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embeddings/oleObject1.bin" ContentType="application/vnd.openxmlformats-officedocument.oleObject"/>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drawings/drawing6.xml" ContentType="application/vnd.openxmlformats-officedocument.drawing+xml"/>
  <Override PartName="/xl/embeddings/oleObject38.bin" ContentType="application/vnd.openxmlformats-officedocument.oleObject"/>
  <Override PartName="/xl/ctrlProps/ctrlProp19.xml" ContentType="application/vnd.ms-excel.controlproperties+xml"/>
  <Override PartName="/xl/ctrlProps/ctrlProp20.xml" ContentType="application/vnd.ms-excel.controlproperties+xml"/>
  <Override PartName="/xl/comments3.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backupFile="1" codeName="ThisWorkbook"/>
  <mc:AlternateContent xmlns:mc="http://schemas.openxmlformats.org/markup-compatibility/2006">
    <mc:Choice Requires="x15">
      <x15ac:absPath xmlns:x15ac="http://schemas.microsoft.com/office/spreadsheetml/2010/11/ac" url="\\marsouin2\Users\plasci\Desktop\CSpace2023\Fusex\FX04\"/>
    </mc:Choice>
  </mc:AlternateContent>
  <workbookProtection workbookAlgorithmName="SHA-512" workbookHashValue="hmHz3E9dYERauRylgRW0VoFvGMNMBuMmln3TmeHepUImFIbwvsv4paGIcWQo8xnqm2GnujMc6Q1JqC87wOD9tQ==" workbookSaltValue="FoWFUmGIx1SQUrMt1yQ+WA==" workbookSpinCount="100000" lockStructure="1"/>
  <bookViews>
    <workbookView xWindow="0" yWindow="0" windowWidth="19200" windowHeight="11460" tabRatio="694" activeTab="8"/>
  </bookViews>
  <sheets>
    <sheet name="Stabilito" sheetId="6" r:id="rId1"/>
    <sheet name="Trajecto" sheetId="1" r:id="rId2"/>
    <sheet name="Courbes" sheetId="2" r:id="rId3"/>
    <sheet name="Propu" sheetId="4" r:id="rId4"/>
    <sheet name="Calculs" sheetId="3" r:id="rId5"/>
    <sheet name="Abaco" sheetId="8" r:id="rId6"/>
    <sheet name="Info" sheetId="5" r:id="rId7"/>
    <sheet name="Controle" sheetId="7" r:id="rId8"/>
    <sheet name="Fiche de vol" sheetId="10" r:id="rId9"/>
  </sheets>
  <externalReferences>
    <externalReference r:id="rId10"/>
    <externalReference r:id="rId11"/>
  </externalReferences>
  <definedNames>
    <definedName name="_xlnm._FilterDatabase" localSheetId="3" hidden="1">Propu!$O$317:$P$345</definedName>
    <definedName name="a_prop">Abaco!$G$41:$G$67</definedName>
    <definedName name="Acc_max">Trajecto!$L$24</definedName>
    <definedName name="acc_x">Calculs!$D$4:$D$1004</definedName>
    <definedName name="acc_xz">Calculs!$F$4:$F$1004</definedName>
    <definedName name="acc_z">Calculs!$E$4:$E$1004</definedName>
    <definedName name="Alt_para">Trajecto!$I$27</definedName>
    <definedName name="alt_prop">Abaco!$J$41:$J$67</definedName>
    <definedName name="Alt_rampe">Trajecto!$C$20</definedName>
    <definedName name="Alt_sat">Trajecto!$I$25</definedName>
    <definedName name="Altitude_culmi">Trajecto!$I$26</definedName>
    <definedName name="b_bal">Abaco!$I$41:$I$67</definedName>
    <definedName name="b_prop">Abaco!$H$41:$H$67</definedName>
    <definedName name="Beta">Calculs!$M$4:$M$1004</definedName>
    <definedName name="Beta_rampe">Trajecto!$C$19</definedName>
    <definedName name="BetaD">Calculs!$N$4:$N$1004</definedName>
    <definedName name="CdP">Propu!$B$3:$Y$4</definedName>
    <definedName name="CdP_P">Propu!$B$4:$Y$4</definedName>
    <definedName name="CdP_t">Propu!$B$3:$Y$3</definedName>
    <definedName name="Club">Stabilito!$C$9</definedName>
    <definedName name="Cn">Stabilito!$H$28</definedName>
    <definedName name="Cn0">Stabilito!$I$28</definedName>
    <definedName name="Cnai" localSheetId="0">Stabilito!$O$19</definedName>
    <definedName name="Cnai0">Stabilito!$P$19</definedName>
    <definedName name="Cnail" localSheetId="0">Stabilito!$O$20</definedName>
    <definedName name="Cnc" localSheetId="0">Stabilito!$O$21</definedName>
    <definedName name="Cni" localSheetId="0">Stabilito!$O$22</definedName>
    <definedName name="Cni0">Stabilito!$P$22</definedName>
    <definedName name="Cnj" localSheetId="0">Stabilito!$O$23</definedName>
    <definedName name="Cno" localSheetId="0">Stabilito!$O$18</definedName>
    <definedName name="Cnr" localSheetId="0">Stabilito!$O$24</definedName>
    <definedName name="Combustion">Propu!$X$2</definedName>
    <definedName name="CritCnmax" localSheetId="0">Stabilito!$J$28</definedName>
    <definedName name="CritCnmin" localSheetId="0">Stabilito!$G$28</definedName>
    <definedName name="CritFinessemax" localSheetId="0">Stabilito!$J$27</definedName>
    <definedName name="CritFinessemin" localSheetId="0">Stabilito!$G$27</definedName>
    <definedName name="CritMsCnmax" localSheetId="0">Stabilito!$J$30</definedName>
    <definedName name="CritMsCnmin" localSheetId="0">Stabilito!$G$30</definedName>
    <definedName name="CritMsmax" localSheetId="0">Stabilito!$J$29</definedName>
    <definedName name="CritMsmin" localSheetId="0">Stabilito!$G$29</definedName>
    <definedName name="Cx">Trajecto!$C$15</definedName>
    <definedName name="Cx_para">Trajecto!$C$28</definedName>
    <definedName name="Cx_satellite">Trajecto!$D$28</definedName>
    <definedName name="D_ail">Stabilito!$C$34</definedName>
    <definedName name="D_can" localSheetId="0">Stabilito!$D$34</definedName>
    <definedName name="D_int" localSheetId="0">Stabilito!$E$34</definedName>
    <definedName name="D_og">Stabilito!$C$23</definedName>
    <definedName name="D_ref">Stabilito!$C$14</definedName>
    <definedName name="D_var">Abaco!$B$41:$B$67</definedName>
    <definedName name="D1j">Stabilito!$M$7</definedName>
    <definedName name="D1r">Stabilito!$O$7</definedName>
    <definedName name="D2j" localSheetId="8">Stabilito!$M$8</definedName>
    <definedName name="D2j">Stabilito!$M$8</definedName>
    <definedName name="D2r" localSheetId="8">Stabilito!$O$8</definedName>
    <definedName name="D2r">Stabilito!$O$8</definedName>
    <definedName name="Débit">Calculs!$R$4:$R$1004</definedName>
    <definedName name="Depotage">Propu!$Z$2</definedName>
    <definedName name="Diam_propu">Propu!$T$2</definedName>
    <definedName name="Dt_para">Trajecto!$C$31</definedName>
    <definedName name="Dt_satellite">Trajecto!$D$31</definedName>
    <definedName name="Dx_para">Trajecto!$C$33</definedName>
    <definedName name="Dx_sat">Trajecto!$D$33</definedName>
    <definedName name="E_ail">Stabilito!$C$30</definedName>
    <definedName name="E_can">Stabilito!$D$30</definedName>
    <definedName name="E_int" localSheetId="0">Stabilito!$E$30</definedName>
    <definedName name="ep_ail">Stabilito!$C$31</definedName>
    <definedName name="ep_can">Stabilito!$D$31</definedName>
    <definedName name="ep_int" localSheetId="0">Stabilito!$E$31</definedName>
    <definedName name="Event">Calculs!$Y$4:$Y$1004</definedName>
    <definedName name="Event_para">Calculs!$Z$4:$Z$1004</definedName>
    <definedName name="Event_sat">Calculs!$AA$4:$AA$1004</definedName>
    <definedName name="f_ail" localSheetId="0">Stabilito!$C$35</definedName>
    <definedName name="f_can" localSheetId="0">Stabilito!$D$35</definedName>
    <definedName name="f_int" localSheetId="0">Stabilito!$E$35</definedName>
    <definedName name="Finesse">Stabilito!$H$27</definedName>
    <definedName name="Forme_ogive">Stabilito!$C$21</definedName>
    <definedName name="g">Info!$E$52</definedName>
    <definedName name="i_P">Calculs!$P$4:$P$1004</definedName>
    <definedName name="I_total">Propu!$D$2</definedName>
    <definedName name="ISP">Propu!$F$2</definedName>
    <definedName name="l_j">Stabilito!$M$6</definedName>
    <definedName name="l_r">Stabilito!$O$6</definedName>
    <definedName name="L_rampe">Trajecto!$C$18</definedName>
    <definedName name="Lang">Stabilito!$M$2</definedName>
    <definedName name="Liste_µfu">Propu!$F$317:$F$346</definedName>
    <definedName name="Liste_fusex">Propu!$R$317:$R$346</definedName>
    <definedName name="Liste_H2O">Propu!$C$317:$D$346</definedName>
    <definedName name="Liste_minif">Propu!$L$317:$M$346</definedName>
    <definedName name="Liste_minifT">Propu!$O$317:$O$346</definedName>
    <definedName name="Liste_propu">Propu!$A$317:$A$330</definedName>
    <definedName name="Liste_RC">Propu!$I$317:$J$346</definedName>
    <definedName name="Long_ogive">Stabilito!$C$22</definedName>
    <definedName name="Long_propu">Propu!$R$2</definedName>
    <definedName name="Long_tot">Stabilito!$C$13</definedName>
    <definedName name="m">Calculs!$S$4:$S$1004</definedName>
    <definedName name="m_ail">Stabilito!$C$27</definedName>
    <definedName name="m_bal">Abaco!$F$41:$F$67</definedName>
    <definedName name="m_can">Stabilito!$D$27</definedName>
    <definedName name="m_int" localSheetId="0">Stabilito!$E$27</definedName>
    <definedName name="m_poudre">Propu!$J$2</definedName>
    <definedName name="m_prop">Abaco!$E$41:$E$67</definedName>
    <definedName name="m_satellite">Trajecto!$D$24</definedName>
    <definedName name="m_tot">Trajecto!$C$10</definedName>
    <definedName name="m_var">Abaco!$D$41:$D$67</definedName>
    <definedName name="m_vide">Trajecto!$C$24</definedName>
    <definedName name="Masse_ail">Controle!$H$63</definedName>
    <definedName name="MassePlein">Stabilito!$M$14</definedName>
    <definedName name="MasseSans">Stabilito!$P$14</definedName>
    <definedName name="MasseVide">Stabilito!$N$14</definedName>
    <definedName name="Menu_Empennage">Stabilito!$B$111:$B$112</definedName>
    <definedName name="Menu_Lang">Stabilito!$B$93:$B$94</definedName>
    <definedName name="Menu_Ogive">Stabilito!$B$107:$B$109</definedName>
    <definedName name="Menu_sat">Trajecto!$B$104:$B$105</definedName>
    <definedName name="Menu_Transitions">Stabilito!$B$114:$B$115</definedName>
    <definedName name="Menu_Type">Stabilito!$B$96:$B$100</definedName>
    <definedName name="Menu_with_motor">Stabilito!$B$103:$B$105</definedName>
    <definedName name="MpropuPlein">Propu!$H$2</definedName>
    <definedName name="MpropuVide">Propu!$L$2</definedName>
    <definedName name="MS_Cn_max">Stabilito!$I$30</definedName>
    <definedName name="MS_Cn_max0">Stabilito!#REF!</definedName>
    <definedName name="MS_Cn_min">Stabilito!$H$30</definedName>
    <definedName name="MS_Cn_min0">Stabilito!#REF!</definedName>
    <definedName name="MS_max">Stabilito!$I$29</definedName>
    <definedName name="MS_max0">Stabilito!#REF!</definedName>
    <definedName name="MS_min">Stabilito!$H$29</definedName>
    <definedName name="MS_min0">Stabilito!#REF!</definedName>
    <definedName name="n_ail">Stabilito!$C$28</definedName>
    <definedName name="n_can">Stabilito!$D$28</definedName>
    <definedName name="n_int" localSheetId="0">Stabilito!$E$28</definedName>
    <definedName name="Nb_diam">Stabilito!$M$4</definedName>
    <definedName name="Nb_sat">Trajecto!$D$23</definedName>
    <definedName name="Nom">Stabilito!$C$8</definedName>
    <definedName name="p_ail">Stabilito!$C$29</definedName>
    <definedName name="p_can">Stabilito!$D$29</definedName>
    <definedName name="p_int" localSheetId="0">Stabilito!$E$29</definedName>
    <definedName name="pas">Calculs!$A$4:$A$1004</definedName>
    <definedName name="Poids">Calculs!$T$4:$T$1004</definedName>
    <definedName name="Portee_balistique">Trajecto!$J$28</definedName>
    <definedName name="pos_x">Calculs!$J$4:$J$1004</definedName>
    <definedName name="pos_xz">Calculs!$L$4:$L$1004</definedName>
    <definedName name="pos_z">Calculs!$K$4:$K$1004</definedName>
    <definedName name="pos_z_montant">Calculs!$AE$4:$AE$1004</definedName>
    <definedName name="Poussee">Calculs!$Q$4:$Q$1004</definedName>
    <definedName name="Propu">Stabilito!$C$17</definedName>
    <definedName name="Q_ail">Stabilito!$C$32</definedName>
    <definedName name="Q_can">Stabilito!$D$32</definedName>
    <definedName name="Q_int" localSheetId="0">Stabilito!$E$32</definedName>
    <definedName name="Q_var">Abaco!$C$41:$C$67</definedName>
    <definedName name="R_rampe">Calculs!$U$4:$U$1004</definedName>
    <definedName name="Rho">Calculs!$V$4:$V$1004</definedName>
    <definedName name="Rho_moyen">Info!$E$53</definedName>
    <definedName name="S_ail">Controle!$H$64</definedName>
    <definedName name="S_FUSEX">[1]Ctrl!$M$150</definedName>
    <definedName name="S_para">Trajecto!$C$27</definedName>
    <definedName name="S_para_croix">Trajecto!$B$47</definedName>
    <definedName name="S_para_rond">Trajecto!$B$55</definedName>
    <definedName name="S_satellite">Trajecto!$D$27</definedName>
    <definedName name="Sref">Trajecto!$C$14</definedName>
    <definedName name="sS">Trajecto!$F$132</definedName>
    <definedName name="t">Calculs!$B$4:$B$1004</definedName>
    <definedName name="T_balistique">Trajecto!$H$28</definedName>
    <definedName name="T_ini">Trajecto!$H$40</definedName>
    <definedName name="T_para">Trajecto!$C$113</definedName>
    <definedName name="T_satellite">Trajecto!$D$26</definedName>
    <definedName name="Temps_culmi">Trajecto!$H$26</definedName>
    <definedName name="Temps_fin_propu">Propu!$X$3</definedName>
    <definedName name="Trainee">Calculs!$W$4:$W$1004</definedName>
    <definedName name="tT_fus">Trajecto!$F$133</definedName>
    <definedName name="tT_sat">Trajecto!$F$150</definedName>
    <definedName name="Type_fusee">Stabilito!$C$10</definedName>
    <definedName name="Type_masquage" localSheetId="5">Stabilito!$C$26</definedName>
    <definedName name="Type_masquage" localSheetId="0">Stabilito!$C$26</definedName>
    <definedName name="Type_propu">Propu!$V$2</definedName>
    <definedName name="V_ini">Trajecto!$K$40</definedName>
    <definedName name="V_ouv_sat">Trajecto!$K$25</definedName>
    <definedName name="V_ouverture">Trajecto!$K$27</definedName>
    <definedName name="V_para">Trajecto!$C$30</definedName>
    <definedName name="V_prop">Abaco!$K$41:$K$67</definedName>
    <definedName name="V_satellite">Trajecto!$D$30</definedName>
    <definedName name="V_vent">Trajecto!$C$29</definedName>
    <definedName name="V_vent_sat">Trajecto!$D$29</definedName>
    <definedName name="Version" localSheetId="0">Stabilito!$Q$36</definedName>
    <definedName name="Version" localSheetId="1">Trajecto!$N$35</definedName>
    <definedName name="Vit_culmi">Trajecto!$K$26</definedName>
    <definedName name="Vit_max">Trajecto!$K$24</definedName>
    <definedName name="vit_x">Calculs!$G$4:$G$1004</definedName>
    <definedName name="vit_xz">Calculs!$I$4:$I$1004</definedName>
    <definedName name="vit_z">Calculs!$H$4:$H$1004</definedName>
    <definedName name="Vsortie_de_rampe">Trajecto!$K$23</definedName>
    <definedName name="X_ail">Stabilito!$C$33</definedName>
    <definedName name="X_can">Stabilito!$D$33</definedName>
    <definedName name="X_culmi">Trajecto!$J$26</definedName>
    <definedName name="X_ini">Trajecto!$J$40</definedName>
    <definedName name="X_int" localSheetId="0">Stabilito!$E$33</definedName>
    <definedName name="X_j">Stabilito!$M$9</definedName>
    <definedName name="X_para">Trajecto!$J$27</definedName>
    <definedName name="X_r">Stabilito!$O$9</definedName>
    <definedName name="X_satellite">Trajecto!$J$25</definedName>
    <definedName name="XcgPlein">Stabilito!$M$15</definedName>
    <definedName name="XcgSans">Stabilito!$P$15</definedName>
    <definedName name="XcgVide">Stabilito!$N$15</definedName>
    <definedName name="XCp" localSheetId="0">Stabilito!$H$31</definedName>
    <definedName name="XCp0">Stabilito!$I$31</definedName>
    <definedName name="XCpa" localSheetId="0">Stabilito!$M$20</definedName>
    <definedName name="XCpai" localSheetId="0">Stabilito!$M$19</definedName>
    <definedName name="XCpai0">Stabilito!$N$19</definedName>
    <definedName name="XCpc" localSheetId="0">Stabilito!$M$21</definedName>
    <definedName name="XCpi" localSheetId="0">Stabilito!$M$22</definedName>
    <definedName name="XCpi0">Stabilito!$N$22</definedName>
    <definedName name="XCpj" localSheetId="0">Stabilito!$M$23</definedName>
    <definedName name="XCpo" localSheetId="0">Stabilito!$M$18</definedName>
    <definedName name="XCpr" localSheetId="0">Stabilito!$M$24</definedName>
    <definedName name="XpropuPlein">Propu!$N$2</definedName>
    <definedName name="XpropuRef">Stabilito!$C$18</definedName>
    <definedName name="XpropuVide">Propu!$P$2</definedName>
    <definedName name="Z_ini">Trajecto!$I$40</definedName>
    <definedName name="_xlnm.Print_Area" localSheetId="5">Abaco!$A$1:$M$35</definedName>
    <definedName name="_xlnm.Print_Area" localSheetId="2">Courbes!$A$1:$K$78</definedName>
    <definedName name="_xlnm.Print_Area" localSheetId="0">Stabilito!$A$1:$Q$37</definedName>
    <definedName name="_xlnm.Print_Area" localSheetId="1">Trajecto!$A$1:$N$35</definedName>
    <definedName name="zZ_fus">Trajecto!$F$134</definedName>
    <definedName name="zZ_sat">Trajecto!$F$151</definedName>
  </definedNames>
  <calcPr calcId="162913"/>
</workbook>
</file>

<file path=xl/calcChain.xml><?xml version="1.0" encoding="utf-8"?>
<calcChain xmlns="http://schemas.openxmlformats.org/spreadsheetml/2006/main">
  <c r="B4" i="10" l="1"/>
  <c r="E138" i="7" l="1"/>
  <c r="C34" i="6" l="1"/>
  <c r="H43" i="10" l="1"/>
  <c r="H42" i="10"/>
  <c r="H41" i="10"/>
  <c r="H40" i="10"/>
  <c r="H39" i="10"/>
  <c r="H38" i="10"/>
  <c r="G44" i="10"/>
  <c r="G43" i="10"/>
  <c r="G42" i="10"/>
  <c r="G41" i="10"/>
  <c r="G40" i="10"/>
  <c r="G39" i="10"/>
  <c r="G38" i="10"/>
  <c r="G4" i="10" l="1"/>
  <c r="B6" i="10"/>
  <c r="X307" i="4"/>
  <c r="W307" i="4"/>
  <c r="V307" i="4"/>
  <c r="U307" i="4"/>
  <c r="T307" i="4"/>
  <c r="S307" i="4"/>
  <c r="R307" i="4"/>
  <c r="Q307" i="4"/>
  <c r="P307" i="4"/>
  <c r="O307" i="4"/>
  <c r="N307" i="4"/>
  <c r="M307" i="4"/>
  <c r="L307" i="4"/>
  <c r="K307" i="4"/>
  <c r="J307" i="4"/>
  <c r="I307" i="4"/>
  <c r="H307" i="4"/>
  <c r="G307" i="4"/>
  <c r="F307" i="4"/>
  <c r="E307" i="4"/>
  <c r="D307" i="4"/>
  <c r="C307" i="4"/>
  <c r="B307" i="4"/>
  <c r="J304" i="4"/>
  <c r="B304" i="4"/>
  <c r="O7" i="6"/>
  <c r="K25" i="7"/>
  <c r="H6" i="7"/>
  <c r="C19" i="6"/>
  <c r="L322" i="4"/>
  <c r="L324" i="4"/>
  <c r="L325" i="4"/>
  <c r="L326" i="4"/>
  <c r="L320" i="4"/>
  <c r="L319" i="4"/>
  <c r="L318" i="4"/>
  <c r="L317" i="4"/>
  <c r="I321" i="4"/>
  <c r="I320" i="4"/>
  <c r="I319" i="4"/>
  <c r="I318" i="4"/>
  <c r="I317" i="4"/>
  <c r="X151" i="4"/>
  <c r="W151" i="4"/>
  <c r="V151" i="4"/>
  <c r="U151" i="4"/>
  <c r="T151" i="4"/>
  <c r="S151" i="4"/>
  <c r="R151" i="4"/>
  <c r="Q151" i="4"/>
  <c r="P151" i="4"/>
  <c r="O151" i="4"/>
  <c r="N151" i="4"/>
  <c r="M151" i="4"/>
  <c r="L151" i="4"/>
  <c r="K151" i="4"/>
  <c r="J151" i="4"/>
  <c r="I151" i="4"/>
  <c r="H151" i="4"/>
  <c r="G151" i="4"/>
  <c r="F151" i="4"/>
  <c r="E151" i="4"/>
  <c r="D151" i="4"/>
  <c r="C151" i="4"/>
  <c r="B151" i="4"/>
  <c r="J148" i="4"/>
  <c r="B148" i="4"/>
  <c r="D103" i="4"/>
  <c r="E103" i="4"/>
  <c r="F103" i="4"/>
  <c r="G103" i="4"/>
  <c r="H103" i="4"/>
  <c r="I103" i="4"/>
  <c r="J103" i="4"/>
  <c r="K103" i="4"/>
  <c r="L103" i="4"/>
  <c r="M103" i="4"/>
  <c r="N103" i="4"/>
  <c r="O103" i="4"/>
  <c r="P103" i="4"/>
  <c r="Q103" i="4"/>
  <c r="R103" i="4"/>
  <c r="S103" i="4"/>
  <c r="T103" i="4"/>
  <c r="U103" i="4"/>
  <c r="V103" i="4"/>
  <c r="W103" i="4"/>
  <c r="X103" i="4"/>
  <c r="S98" i="4"/>
  <c r="T98" i="4"/>
  <c r="U98" i="4"/>
  <c r="V98" i="4"/>
  <c r="W98" i="4"/>
  <c r="X98" i="4"/>
  <c r="D98" i="4"/>
  <c r="E98" i="4"/>
  <c r="F98" i="4"/>
  <c r="G98" i="4"/>
  <c r="H98" i="4"/>
  <c r="I98" i="4"/>
  <c r="J98" i="4"/>
  <c r="K98" i="4"/>
  <c r="L98" i="4"/>
  <c r="M98" i="4"/>
  <c r="N98" i="4"/>
  <c r="O98" i="4"/>
  <c r="P98" i="4"/>
  <c r="Q98" i="4"/>
  <c r="R98" i="4"/>
  <c r="C103" i="4"/>
  <c r="C98" i="4"/>
  <c r="X104" i="4"/>
  <c r="X105" i="4" s="1"/>
  <c r="W104" i="4"/>
  <c r="V104" i="4"/>
  <c r="U104" i="4"/>
  <c r="T105" i="4" s="1"/>
  <c r="T104" i="4"/>
  <c r="S105" i="4" s="1"/>
  <c r="S104" i="4"/>
  <c r="R104" i="4"/>
  <c r="R105" i="4" s="1"/>
  <c r="Q104" i="4"/>
  <c r="P105" i="4" s="1"/>
  <c r="P104" i="4"/>
  <c r="O104" i="4"/>
  <c r="N105" i="4"/>
  <c r="N104" i="4"/>
  <c r="M104" i="4"/>
  <c r="L104" i="4"/>
  <c r="K104" i="4"/>
  <c r="J105" i="4" s="1"/>
  <c r="J104" i="4"/>
  <c r="I105" i="4" s="1"/>
  <c r="I104" i="4"/>
  <c r="H104" i="4"/>
  <c r="G104" i="4"/>
  <c r="F104" i="4"/>
  <c r="E104" i="4"/>
  <c r="E105" i="4" s="1"/>
  <c r="D104" i="4"/>
  <c r="C104" i="4"/>
  <c r="B105" i="4" s="1"/>
  <c r="B104" i="4"/>
  <c r="L102" i="4"/>
  <c r="H102" i="4"/>
  <c r="B102" i="4"/>
  <c r="X99" i="4"/>
  <c r="W99" i="4"/>
  <c r="V100" i="4" s="1"/>
  <c r="V99" i="4"/>
  <c r="U99" i="4"/>
  <c r="T99" i="4"/>
  <c r="S99" i="4"/>
  <c r="R100" i="4" s="1"/>
  <c r="R99" i="4"/>
  <c r="Q99" i="4"/>
  <c r="P99" i="4"/>
  <c r="P100" i="4" s="1"/>
  <c r="O99" i="4"/>
  <c r="N99" i="4"/>
  <c r="M99" i="4"/>
  <c r="L99" i="4"/>
  <c r="L100" i="4" s="1"/>
  <c r="K99" i="4"/>
  <c r="J99" i="4"/>
  <c r="J100" i="4" s="1"/>
  <c r="I99" i="4"/>
  <c r="H99" i="4"/>
  <c r="G100" i="4" s="1"/>
  <c r="G99" i="4"/>
  <c r="F99" i="4"/>
  <c r="E100" i="4"/>
  <c r="E99" i="4"/>
  <c r="D99" i="4"/>
  <c r="C99" i="4"/>
  <c r="B100" i="4" s="1"/>
  <c r="B99" i="4"/>
  <c r="L97" i="4"/>
  <c r="H97" i="4"/>
  <c r="B97" i="4"/>
  <c r="X95" i="4"/>
  <c r="W95" i="4"/>
  <c r="V95" i="4"/>
  <c r="U95" i="4"/>
  <c r="T95" i="4"/>
  <c r="S95" i="4"/>
  <c r="R95" i="4"/>
  <c r="Q95" i="4"/>
  <c r="P95" i="4"/>
  <c r="O95" i="4"/>
  <c r="N95" i="4"/>
  <c r="M95" i="4"/>
  <c r="L95" i="4"/>
  <c r="K95" i="4"/>
  <c r="J95" i="4"/>
  <c r="I95" i="4"/>
  <c r="H95" i="4"/>
  <c r="G95" i="4"/>
  <c r="F95" i="4"/>
  <c r="E95" i="4"/>
  <c r="D95" i="4"/>
  <c r="C95" i="4"/>
  <c r="B95" i="4"/>
  <c r="J92" i="4"/>
  <c r="B92" i="4"/>
  <c r="O344" i="4"/>
  <c r="O343" i="4"/>
  <c r="O342" i="4"/>
  <c r="O341" i="4"/>
  <c r="Q206" i="4"/>
  <c r="P206" i="4"/>
  <c r="O206" i="4"/>
  <c r="N206" i="4"/>
  <c r="M206" i="4"/>
  <c r="L206" i="4"/>
  <c r="K206" i="4"/>
  <c r="J206" i="4"/>
  <c r="I206" i="4"/>
  <c r="H206" i="4"/>
  <c r="G206" i="4"/>
  <c r="F206" i="4"/>
  <c r="E206" i="4"/>
  <c r="D206" i="4"/>
  <c r="C206" i="4"/>
  <c r="B206" i="4"/>
  <c r="J203" i="4"/>
  <c r="B203" i="4"/>
  <c r="E5" i="7"/>
  <c r="H7" i="7"/>
  <c r="E7" i="7"/>
  <c r="E6" i="7"/>
  <c r="H9" i="7"/>
  <c r="K26" i="7"/>
  <c r="K23" i="7"/>
  <c r="J26" i="7"/>
  <c r="J25" i="7"/>
  <c r="J23" i="7"/>
  <c r="G27" i="7"/>
  <c r="G26" i="7"/>
  <c r="F26" i="7"/>
  <c r="G25" i="7"/>
  <c r="F25" i="7"/>
  <c r="G24" i="7"/>
  <c r="F24" i="7"/>
  <c r="G23" i="7"/>
  <c r="F23" i="7"/>
  <c r="D27" i="7"/>
  <c r="D24" i="7"/>
  <c r="B31" i="6"/>
  <c r="B30" i="6"/>
  <c r="B29" i="6"/>
  <c r="B28" i="6"/>
  <c r="B27" i="6"/>
  <c r="B35" i="6"/>
  <c r="B34" i="6"/>
  <c r="B33" i="6"/>
  <c r="B32" i="6"/>
  <c r="U35" i="7"/>
  <c r="U34" i="7"/>
  <c r="U33" i="7"/>
  <c r="U32" i="7"/>
  <c r="U31" i="7"/>
  <c r="U30" i="7"/>
  <c r="P32" i="7"/>
  <c r="P31" i="7"/>
  <c r="Q34" i="7"/>
  <c r="P29" i="7"/>
  <c r="U20" i="7"/>
  <c r="Q17" i="7"/>
  <c r="U16" i="7"/>
  <c r="U13" i="7"/>
  <c r="Q12" i="7"/>
  <c r="U11" i="7"/>
  <c r="Q3" i="7"/>
  <c r="E17" i="7"/>
  <c r="E16" i="7"/>
  <c r="E15" i="7"/>
  <c r="E13" i="7"/>
  <c r="B52" i="1"/>
  <c r="B50" i="1"/>
  <c r="B55" i="1"/>
  <c r="D27" i="1"/>
  <c r="I69" i="7" s="1"/>
  <c r="D24" i="1"/>
  <c r="C18" i="1"/>
  <c r="H8" i="7" s="1"/>
  <c r="C161" i="6"/>
  <c r="C162" i="6"/>
  <c r="C160" i="6"/>
  <c r="C159" i="6"/>
  <c r="C158" i="6"/>
  <c r="C25" i="6"/>
  <c r="M21" i="6"/>
  <c r="C140" i="6"/>
  <c r="D25" i="7"/>
  <c r="F108" i="1"/>
  <c r="C113" i="1" s="1"/>
  <c r="C152" i="1"/>
  <c r="C150" i="1"/>
  <c r="C148" i="1"/>
  <c r="N33" i="1"/>
  <c r="C131" i="1"/>
  <c r="B25" i="1"/>
  <c r="J30" i="6"/>
  <c r="E191" i="6" s="1"/>
  <c r="G30" i="6"/>
  <c r="E182" i="6" s="1"/>
  <c r="J29" i="6"/>
  <c r="B188" i="6" s="1"/>
  <c r="G29" i="6"/>
  <c r="J28" i="6"/>
  <c r="C185" i="6" s="1"/>
  <c r="J27" i="6"/>
  <c r="G28" i="6"/>
  <c r="G27" i="6"/>
  <c r="W35" i="6"/>
  <c r="B100" i="6"/>
  <c r="B97" i="6"/>
  <c r="B98" i="6"/>
  <c r="Q241" i="4"/>
  <c r="P241" i="4"/>
  <c r="O241" i="4"/>
  <c r="N241" i="4"/>
  <c r="M241" i="4"/>
  <c r="L241" i="4"/>
  <c r="K241" i="4"/>
  <c r="J241" i="4"/>
  <c r="I241" i="4"/>
  <c r="H241" i="4"/>
  <c r="G241" i="4"/>
  <c r="F241" i="4"/>
  <c r="E241" i="4"/>
  <c r="D241" i="4"/>
  <c r="C241" i="4"/>
  <c r="B241" i="4"/>
  <c r="S240" i="4"/>
  <c r="T240" i="4"/>
  <c r="S239" i="4"/>
  <c r="T239" i="4" s="1"/>
  <c r="J238" i="4"/>
  <c r="B238" i="4"/>
  <c r="O321" i="4"/>
  <c r="O320" i="4"/>
  <c r="S131" i="4"/>
  <c r="R131" i="4"/>
  <c r="Q131" i="4"/>
  <c r="P131" i="4"/>
  <c r="O131" i="4"/>
  <c r="N131" i="4"/>
  <c r="M131" i="4"/>
  <c r="L131" i="4"/>
  <c r="K131" i="4"/>
  <c r="J131" i="4"/>
  <c r="I131" i="4"/>
  <c r="H131" i="4"/>
  <c r="G131" i="4"/>
  <c r="F131" i="4"/>
  <c r="E131" i="4"/>
  <c r="D131" i="4"/>
  <c r="C131" i="4"/>
  <c r="B131" i="4"/>
  <c r="V130" i="4"/>
  <c r="U131" i="4" s="1"/>
  <c r="T131" i="4"/>
  <c r="J128" i="4"/>
  <c r="B128" i="4"/>
  <c r="R126" i="4"/>
  <c r="Q126" i="4"/>
  <c r="P126" i="4"/>
  <c r="O126" i="4"/>
  <c r="N126" i="4"/>
  <c r="M126" i="4"/>
  <c r="L126" i="4"/>
  <c r="K126" i="4"/>
  <c r="J126" i="4"/>
  <c r="I126" i="4"/>
  <c r="H126" i="4"/>
  <c r="G126" i="4"/>
  <c r="F126" i="4"/>
  <c r="E126" i="4"/>
  <c r="D126" i="4"/>
  <c r="C126" i="4"/>
  <c r="B126" i="4"/>
  <c r="T125" i="4"/>
  <c r="S126" i="4" s="1"/>
  <c r="J123" i="4"/>
  <c r="B123" i="4"/>
  <c r="O340" i="4"/>
  <c r="T256" i="4"/>
  <c r="S256" i="4"/>
  <c r="R256" i="4"/>
  <c r="Q256" i="4"/>
  <c r="P256" i="4"/>
  <c r="O256" i="4"/>
  <c r="N256" i="4"/>
  <c r="M256" i="4"/>
  <c r="L256" i="4"/>
  <c r="K256" i="4"/>
  <c r="J256" i="4"/>
  <c r="I256" i="4"/>
  <c r="H256" i="4"/>
  <c r="G256" i="4"/>
  <c r="F256" i="4"/>
  <c r="E256" i="4"/>
  <c r="D256" i="4"/>
  <c r="C256" i="4"/>
  <c r="B256" i="4"/>
  <c r="V255" i="4"/>
  <c r="W255" i="4" s="1"/>
  <c r="V254" i="4"/>
  <c r="W254" i="4" s="1"/>
  <c r="X254" i="4" s="1"/>
  <c r="J253" i="4"/>
  <c r="B253" i="4"/>
  <c r="O337" i="4"/>
  <c r="Q236" i="4"/>
  <c r="P236" i="4"/>
  <c r="O236" i="4"/>
  <c r="N236" i="4"/>
  <c r="M236" i="4"/>
  <c r="L236" i="4"/>
  <c r="K236" i="4"/>
  <c r="J236" i="4"/>
  <c r="I236" i="4"/>
  <c r="H236" i="4"/>
  <c r="G236" i="4"/>
  <c r="F236" i="4"/>
  <c r="E236" i="4"/>
  <c r="D236" i="4"/>
  <c r="C236" i="4"/>
  <c r="B236" i="4"/>
  <c r="S235" i="4"/>
  <c r="T235" i="4" s="1"/>
  <c r="S234" i="4"/>
  <c r="T234" i="4"/>
  <c r="U234" i="4" s="1"/>
  <c r="V234" i="4" s="1"/>
  <c r="W234" i="4" s="1"/>
  <c r="J233" i="4"/>
  <c r="B233" i="4"/>
  <c r="O346" i="4"/>
  <c r="Q211" i="4"/>
  <c r="P211" i="4"/>
  <c r="O211" i="4"/>
  <c r="N211" i="4"/>
  <c r="M211" i="4"/>
  <c r="L211" i="4"/>
  <c r="K211" i="4"/>
  <c r="J211" i="4"/>
  <c r="I211" i="4"/>
  <c r="H211" i="4"/>
  <c r="G211" i="4"/>
  <c r="F211" i="4"/>
  <c r="E211" i="4"/>
  <c r="D211" i="4"/>
  <c r="C211" i="4"/>
  <c r="B211" i="4"/>
  <c r="S211" i="4"/>
  <c r="R211" i="4"/>
  <c r="J208" i="4"/>
  <c r="B208" i="4"/>
  <c r="O336" i="4"/>
  <c r="O335" i="4"/>
  <c r="O334" i="4"/>
  <c r="O333" i="4"/>
  <c r="O338" i="4"/>
  <c r="O339" i="4"/>
  <c r="O345" i="4"/>
  <c r="O323" i="4"/>
  <c r="O324" i="4"/>
  <c r="O325" i="4"/>
  <c r="O326" i="4"/>
  <c r="O327" i="4"/>
  <c r="O319" i="4"/>
  <c r="O322" i="4"/>
  <c r="O328" i="4"/>
  <c r="O329" i="4"/>
  <c r="O330" i="4"/>
  <c r="O331" i="4"/>
  <c r="O332" i="4"/>
  <c r="O318" i="4"/>
  <c r="O317" i="4"/>
  <c r="U256" i="4"/>
  <c r="R236" i="4"/>
  <c r="X231" i="4"/>
  <c r="W231" i="4"/>
  <c r="V231" i="4"/>
  <c r="U231" i="4"/>
  <c r="T231" i="4"/>
  <c r="S231" i="4"/>
  <c r="R231" i="4"/>
  <c r="Q231" i="4"/>
  <c r="P231" i="4"/>
  <c r="O231" i="4"/>
  <c r="N231" i="4"/>
  <c r="M231" i="4"/>
  <c r="L231" i="4"/>
  <c r="K231" i="4"/>
  <c r="J231" i="4"/>
  <c r="I231" i="4"/>
  <c r="H231" i="4"/>
  <c r="G231" i="4"/>
  <c r="F231" i="4"/>
  <c r="E231" i="4"/>
  <c r="D231" i="4"/>
  <c r="C231" i="4"/>
  <c r="B231" i="4"/>
  <c r="J228" i="4"/>
  <c r="B228" i="4"/>
  <c r="Q226" i="4"/>
  <c r="P226" i="4"/>
  <c r="O226" i="4"/>
  <c r="N226" i="4"/>
  <c r="M226" i="4"/>
  <c r="L226" i="4"/>
  <c r="K226" i="4"/>
  <c r="J226" i="4"/>
  <c r="I226" i="4"/>
  <c r="H226" i="4"/>
  <c r="G226" i="4"/>
  <c r="F226" i="4"/>
  <c r="E226" i="4"/>
  <c r="D226" i="4"/>
  <c r="C226" i="4"/>
  <c r="B226" i="4"/>
  <c r="T225" i="4"/>
  <c r="U225" i="4" s="1"/>
  <c r="R226" i="4"/>
  <c r="T224" i="4"/>
  <c r="U224" i="4" s="1"/>
  <c r="V224" i="4" s="1"/>
  <c r="W224" i="4" s="1"/>
  <c r="J223" i="4"/>
  <c r="B223" i="4"/>
  <c r="V249" i="4"/>
  <c r="W249" i="4" s="1"/>
  <c r="W244" i="4"/>
  <c r="Q251" i="4"/>
  <c r="P251" i="4"/>
  <c r="O251" i="4"/>
  <c r="N251" i="4"/>
  <c r="M251" i="4"/>
  <c r="L251" i="4"/>
  <c r="K251" i="4"/>
  <c r="J251" i="4"/>
  <c r="I251" i="4"/>
  <c r="H251" i="4"/>
  <c r="G251" i="4"/>
  <c r="F251" i="4"/>
  <c r="E251" i="4"/>
  <c r="D251" i="4"/>
  <c r="C251" i="4"/>
  <c r="B251" i="4"/>
  <c r="J248" i="4"/>
  <c r="B248" i="4"/>
  <c r="J246" i="4"/>
  <c r="I246" i="4"/>
  <c r="H246" i="4"/>
  <c r="G246" i="4"/>
  <c r="F246" i="4"/>
  <c r="E246" i="4"/>
  <c r="D246" i="4"/>
  <c r="C246" i="4"/>
  <c r="B246" i="4"/>
  <c r="J243" i="4"/>
  <c r="B243" i="4"/>
  <c r="L194" i="4"/>
  <c r="M194" i="4"/>
  <c r="R334" i="4"/>
  <c r="R335" i="4"/>
  <c r="R336" i="4"/>
  <c r="R337" i="4"/>
  <c r="R338" i="4"/>
  <c r="R339" i="4"/>
  <c r="S195" i="4"/>
  <c r="T195" i="4"/>
  <c r="U195" i="4" s="1"/>
  <c r="V195" i="4" s="1"/>
  <c r="W195" i="4" s="1"/>
  <c r="X195" i="4" s="1"/>
  <c r="X196" i="4" s="1"/>
  <c r="J196" i="4"/>
  <c r="I196" i="4"/>
  <c r="H196" i="4"/>
  <c r="G196" i="4"/>
  <c r="F196" i="4"/>
  <c r="E196" i="4"/>
  <c r="D196" i="4"/>
  <c r="C196" i="4"/>
  <c r="B196" i="4"/>
  <c r="J193" i="4"/>
  <c r="B193" i="4"/>
  <c r="S200" i="4"/>
  <c r="T200" i="4" s="1"/>
  <c r="S199" i="4"/>
  <c r="T199" i="4" s="1"/>
  <c r="U199" i="4" s="1"/>
  <c r="V199" i="4" s="1"/>
  <c r="W199" i="4" s="1"/>
  <c r="X199" i="4" s="1"/>
  <c r="Q201" i="4"/>
  <c r="P201" i="4"/>
  <c r="O201" i="4"/>
  <c r="N201" i="4"/>
  <c r="M201" i="4"/>
  <c r="L201" i="4"/>
  <c r="K201" i="4"/>
  <c r="J201" i="4"/>
  <c r="I201" i="4"/>
  <c r="H201" i="4"/>
  <c r="G201" i="4"/>
  <c r="F201" i="4"/>
  <c r="E201" i="4"/>
  <c r="D201" i="4"/>
  <c r="C201" i="4"/>
  <c r="B201" i="4"/>
  <c r="J198" i="4"/>
  <c r="B198" i="4"/>
  <c r="B213" i="4"/>
  <c r="B216" i="4"/>
  <c r="C216" i="4"/>
  <c r="D216" i="4"/>
  <c r="E216" i="4"/>
  <c r="F216" i="4"/>
  <c r="G216" i="4"/>
  <c r="H216" i="4"/>
  <c r="I216" i="4"/>
  <c r="J216" i="4"/>
  <c r="K216" i="4"/>
  <c r="L216" i="4"/>
  <c r="M216" i="4"/>
  <c r="N216" i="4"/>
  <c r="O216" i="4"/>
  <c r="P216" i="4"/>
  <c r="Q216" i="4"/>
  <c r="S215" i="4"/>
  <c r="T215" i="4" s="1"/>
  <c r="S214" i="4"/>
  <c r="J213" i="4"/>
  <c r="A2" i="4"/>
  <c r="B133" i="4"/>
  <c r="B4" i="3"/>
  <c r="AC4" i="3" s="1"/>
  <c r="B136" i="4"/>
  <c r="C136" i="4"/>
  <c r="D136" i="4"/>
  <c r="E136" i="4"/>
  <c r="F136" i="4"/>
  <c r="G136" i="4"/>
  <c r="H136" i="4"/>
  <c r="I136" i="4"/>
  <c r="J136" i="4"/>
  <c r="K136" i="4"/>
  <c r="L136" i="4"/>
  <c r="M136" i="4"/>
  <c r="N136" i="4"/>
  <c r="O136" i="4"/>
  <c r="P136" i="4"/>
  <c r="Q136" i="4"/>
  <c r="R136" i="4"/>
  <c r="S136" i="4"/>
  <c r="T136" i="4"/>
  <c r="U136" i="4"/>
  <c r="V136" i="4"/>
  <c r="W136" i="4"/>
  <c r="X136" i="4"/>
  <c r="J133" i="4"/>
  <c r="N4" i="3"/>
  <c r="M4" i="3" s="1"/>
  <c r="H4" i="3" s="1"/>
  <c r="J4" i="3"/>
  <c r="L4" i="3" s="1"/>
  <c r="K4" i="3"/>
  <c r="V4" i="3" s="1"/>
  <c r="I4" i="3"/>
  <c r="B113" i="4"/>
  <c r="C35" i="6"/>
  <c r="M18" i="6"/>
  <c r="B116" i="4"/>
  <c r="C116" i="4"/>
  <c r="D116" i="4"/>
  <c r="E116" i="4"/>
  <c r="F116" i="4"/>
  <c r="G116" i="4"/>
  <c r="H116" i="4"/>
  <c r="I116" i="4"/>
  <c r="J116" i="4"/>
  <c r="K116" i="4"/>
  <c r="L116" i="4"/>
  <c r="M116" i="4"/>
  <c r="N116" i="4"/>
  <c r="O116" i="4"/>
  <c r="P116" i="4"/>
  <c r="Q116" i="4"/>
  <c r="R116" i="4"/>
  <c r="S116" i="4"/>
  <c r="U115" i="4"/>
  <c r="T116" i="4" s="1"/>
  <c r="J113" i="4"/>
  <c r="B166" i="4"/>
  <c r="C166" i="4"/>
  <c r="D166" i="4"/>
  <c r="E166" i="4"/>
  <c r="F166" i="4"/>
  <c r="G166" i="4"/>
  <c r="H166" i="4"/>
  <c r="I166" i="4"/>
  <c r="J166" i="4"/>
  <c r="K166" i="4"/>
  <c r="L166" i="4"/>
  <c r="M166" i="4"/>
  <c r="N166" i="4"/>
  <c r="O166" i="4"/>
  <c r="P166" i="4"/>
  <c r="Q166" i="4"/>
  <c r="R166" i="4"/>
  <c r="T165" i="4"/>
  <c r="S166" i="4" s="1"/>
  <c r="X164" i="4"/>
  <c r="L163" i="4"/>
  <c r="J163" i="4" s="1"/>
  <c r="B47" i="1"/>
  <c r="C27" i="1" s="1"/>
  <c r="E127" i="7" s="1"/>
  <c r="D29" i="1"/>
  <c r="B29" i="4"/>
  <c r="C29" i="4"/>
  <c r="D26" i="4" s="1"/>
  <c r="F26" i="4" s="1"/>
  <c r="D29" i="4"/>
  <c r="E29" i="4"/>
  <c r="F29" i="4"/>
  <c r="G29" i="4"/>
  <c r="H29" i="4"/>
  <c r="I29" i="4"/>
  <c r="J29" i="4"/>
  <c r="K29" i="4"/>
  <c r="L29" i="4"/>
  <c r="M29" i="4"/>
  <c r="N29" i="4"/>
  <c r="O29" i="4"/>
  <c r="P29" i="4"/>
  <c r="Q29" i="4"/>
  <c r="R29" i="4"/>
  <c r="S29" i="4"/>
  <c r="T29" i="4"/>
  <c r="U29" i="4"/>
  <c r="V29" i="4"/>
  <c r="W29" i="4"/>
  <c r="X29" i="4"/>
  <c r="J26" i="4"/>
  <c r="B34" i="4"/>
  <c r="C34" i="4"/>
  <c r="D34" i="4"/>
  <c r="E34" i="4"/>
  <c r="F34" i="4"/>
  <c r="G34" i="4"/>
  <c r="H34" i="4"/>
  <c r="I34" i="4"/>
  <c r="J34" i="4"/>
  <c r="K34" i="4"/>
  <c r="L34" i="4"/>
  <c r="M34" i="4"/>
  <c r="N34" i="4"/>
  <c r="O34" i="4"/>
  <c r="P34" i="4"/>
  <c r="Q34" i="4"/>
  <c r="R34" i="4"/>
  <c r="S34" i="4"/>
  <c r="T34" i="4"/>
  <c r="U34" i="4"/>
  <c r="V34" i="4"/>
  <c r="W34" i="4"/>
  <c r="X34" i="4"/>
  <c r="J31" i="4"/>
  <c r="B39" i="4"/>
  <c r="C39" i="4"/>
  <c r="D39" i="4"/>
  <c r="E39" i="4"/>
  <c r="F39" i="4"/>
  <c r="G39" i="4"/>
  <c r="H39" i="4"/>
  <c r="I39" i="4"/>
  <c r="J39" i="4"/>
  <c r="K39" i="4"/>
  <c r="L39" i="4"/>
  <c r="M39" i="4"/>
  <c r="N39" i="4"/>
  <c r="O39" i="4"/>
  <c r="P39" i="4"/>
  <c r="Q39" i="4"/>
  <c r="R39" i="4"/>
  <c r="S39" i="4"/>
  <c r="T39" i="4"/>
  <c r="U39" i="4"/>
  <c r="V39" i="4"/>
  <c r="W39" i="4"/>
  <c r="X39" i="4"/>
  <c r="J36" i="4"/>
  <c r="B44" i="4"/>
  <c r="C44" i="4"/>
  <c r="D41" i="4" s="1"/>
  <c r="F41" i="4" s="1"/>
  <c r="D44" i="4"/>
  <c r="E44" i="4"/>
  <c r="F44" i="4"/>
  <c r="G44" i="4"/>
  <c r="H44" i="4"/>
  <c r="I44" i="4"/>
  <c r="J44" i="4"/>
  <c r="K44" i="4"/>
  <c r="L44" i="4"/>
  <c r="M44" i="4"/>
  <c r="N44" i="4"/>
  <c r="O44" i="4"/>
  <c r="P44" i="4"/>
  <c r="Q44" i="4"/>
  <c r="R44" i="4"/>
  <c r="S44" i="4"/>
  <c r="T44" i="4"/>
  <c r="U44" i="4"/>
  <c r="V44" i="4"/>
  <c r="W44" i="4"/>
  <c r="X44" i="4"/>
  <c r="J41" i="4"/>
  <c r="B49" i="4"/>
  <c r="C49" i="4"/>
  <c r="D46" i="4" s="1"/>
  <c r="F46" i="4" s="1"/>
  <c r="D49" i="4"/>
  <c r="E49" i="4"/>
  <c r="F49" i="4"/>
  <c r="G49" i="4"/>
  <c r="H49" i="4"/>
  <c r="I49" i="4"/>
  <c r="J49" i="4"/>
  <c r="K49" i="4"/>
  <c r="L49" i="4"/>
  <c r="M49" i="4"/>
  <c r="N49" i="4"/>
  <c r="O49" i="4"/>
  <c r="P49" i="4"/>
  <c r="Q49" i="4"/>
  <c r="R49" i="4"/>
  <c r="S49" i="4"/>
  <c r="T49" i="4"/>
  <c r="U49" i="4"/>
  <c r="V49" i="4"/>
  <c r="W49" i="4"/>
  <c r="X49" i="4"/>
  <c r="J46" i="4"/>
  <c r="B54" i="4"/>
  <c r="C54" i="4"/>
  <c r="D54" i="4"/>
  <c r="E54" i="4"/>
  <c r="F54" i="4"/>
  <c r="G54" i="4"/>
  <c r="H54" i="4"/>
  <c r="I54" i="4"/>
  <c r="J54" i="4"/>
  <c r="K54" i="4"/>
  <c r="L54" i="4"/>
  <c r="M54" i="4"/>
  <c r="N54" i="4"/>
  <c r="O54" i="4"/>
  <c r="P54" i="4"/>
  <c r="Q54" i="4"/>
  <c r="R54" i="4"/>
  <c r="S54" i="4"/>
  <c r="T54" i="4"/>
  <c r="U54" i="4"/>
  <c r="V54" i="4"/>
  <c r="W54" i="4"/>
  <c r="X54" i="4"/>
  <c r="J51" i="4"/>
  <c r="B59" i="4"/>
  <c r="C59" i="4"/>
  <c r="D59" i="4"/>
  <c r="E59" i="4"/>
  <c r="F59" i="4"/>
  <c r="G59" i="4"/>
  <c r="H59" i="4"/>
  <c r="I59" i="4"/>
  <c r="J59" i="4"/>
  <c r="K59" i="4"/>
  <c r="L59" i="4"/>
  <c r="M59" i="4"/>
  <c r="N59" i="4"/>
  <c r="O59" i="4"/>
  <c r="P59" i="4"/>
  <c r="Q59" i="4"/>
  <c r="R59" i="4"/>
  <c r="S59" i="4"/>
  <c r="T59" i="4"/>
  <c r="U59" i="4"/>
  <c r="V59" i="4"/>
  <c r="W59" i="4"/>
  <c r="X59" i="4"/>
  <c r="J56" i="4"/>
  <c r="B64" i="4"/>
  <c r="C64" i="4"/>
  <c r="D61" i="4" s="1"/>
  <c r="F61" i="4" s="1"/>
  <c r="D64" i="4"/>
  <c r="E64" i="4"/>
  <c r="F64" i="4"/>
  <c r="G64" i="4"/>
  <c r="H64" i="4"/>
  <c r="I64" i="4"/>
  <c r="J64" i="4"/>
  <c r="K64" i="4"/>
  <c r="L64" i="4"/>
  <c r="M64" i="4"/>
  <c r="N64" i="4"/>
  <c r="O64" i="4"/>
  <c r="P64" i="4"/>
  <c r="Q64" i="4"/>
  <c r="R64" i="4"/>
  <c r="S64" i="4"/>
  <c r="T64" i="4"/>
  <c r="U64" i="4"/>
  <c r="V64" i="4"/>
  <c r="W64" i="4"/>
  <c r="X64" i="4"/>
  <c r="J61" i="4"/>
  <c r="B70" i="4"/>
  <c r="C70" i="4"/>
  <c r="D67" i="4" s="1"/>
  <c r="F67" i="4" s="1"/>
  <c r="D70" i="4"/>
  <c r="E70" i="4"/>
  <c r="F70" i="4"/>
  <c r="G70" i="4"/>
  <c r="H70" i="4"/>
  <c r="I70" i="4"/>
  <c r="J70" i="4"/>
  <c r="K70" i="4"/>
  <c r="L70" i="4"/>
  <c r="M70" i="4"/>
  <c r="N70" i="4"/>
  <c r="O70" i="4"/>
  <c r="P70" i="4"/>
  <c r="Q70" i="4"/>
  <c r="R70" i="4"/>
  <c r="S70" i="4"/>
  <c r="T70" i="4"/>
  <c r="U70" i="4"/>
  <c r="V70" i="4"/>
  <c r="W70" i="4"/>
  <c r="X70" i="4"/>
  <c r="J67" i="4"/>
  <c r="B75" i="4"/>
  <c r="C75" i="4"/>
  <c r="D75" i="4"/>
  <c r="E75" i="4"/>
  <c r="F75" i="4"/>
  <c r="G75" i="4"/>
  <c r="H75" i="4"/>
  <c r="I75" i="4"/>
  <c r="J75" i="4"/>
  <c r="K75" i="4"/>
  <c r="L75" i="4"/>
  <c r="M75" i="4"/>
  <c r="N75" i="4"/>
  <c r="O75" i="4"/>
  <c r="P75" i="4"/>
  <c r="Q75" i="4"/>
  <c r="R75" i="4"/>
  <c r="S75" i="4"/>
  <c r="T75" i="4"/>
  <c r="U75" i="4"/>
  <c r="V75" i="4"/>
  <c r="W75" i="4"/>
  <c r="X75" i="4"/>
  <c r="J72" i="4"/>
  <c r="B80" i="4"/>
  <c r="C80" i="4"/>
  <c r="D80" i="4"/>
  <c r="E80" i="4"/>
  <c r="F80" i="4"/>
  <c r="G80" i="4"/>
  <c r="H80" i="4"/>
  <c r="I80" i="4"/>
  <c r="J80" i="4"/>
  <c r="K80" i="4"/>
  <c r="L80" i="4"/>
  <c r="M80" i="4"/>
  <c r="N80" i="4"/>
  <c r="O80" i="4"/>
  <c r="P80" i="4"/>
  <c r="Q80" i="4"/>
  <c r="R80" i="4"/>
  <c r="S80" i="4"/>
  <c r="T80" i="4"/>
  <c r="U80" i="4"/>
  <c r="V80" i="4"/>
  <c r="W80" i="4"/>
  <c r="X80" i="4"/>
  <c r="J77" i="4"/>
  <c r="C84" i="4"/>
  <c r="B84" i="4"/>
  <c r="D84" i="4"/>
  <c r="E84" i="4"/>
  <c r="F84" i="4"/>
  <c r="G84" i="4"/>
  <c r="F85" i="4" s="1"/>
  <c r="H84" i="4"/>
  <c r="I84" i="4"/>
  <c r="J84" i="4"/>
  <c r="I85" i="4" s="1"/>
  <c r="K84" i="4"/>
  <c r="K85" i="4" s="1"/>
  <c r="L84" i="4"/>
  <c r="M84" i="4"/>
  <c r="N84" i="4"/>
  <c r="O84" i="4"/>
  <c r="N85" i="4" s="1"/>
  <c r="P84" i="4"/>
  <c r="Q84" i="4"/>
  <c r="R84" i="4"/>
  <c r="Q85" i="4" s="1"/>
  <c r="S84" i="4"/>
  <c r="S85" i="4" s="1"/>
  <c r="T84" i="4"/>
  <c r="U84" i="4"/>
  <c r="V84" i="4"/>
  <c r="W84" i="4"/>
  <c r="V85" i="4" s="1"/>
  <c r="X84" i="4"/>
  <c r="H82" i="4"/>
  <c r="L82" i="4"/>
  <c r="J82" i="4" s="1"/>
  <c r="C89" i="4"/>
  <c r="C90" i="4" s="1"/>
  <c r="B89" i="4"/>
  <c r="D89" i="4"/>
  <c r="E89" i="4"/>
  <c r="E90" i="4" s="1"/>
  <c r="F89" i="4"/>
  <c r="G89" i="4"/>
  <c r="H89" i="4"/>
  <c r="I89" i="4"/>
  <c r="H90" i="4" s="1"/>
  <c r="J89" i="4"/>
  <c r="K89" i="4"/>
  <c r="L89" i="4"/>
  <c r="M89" i="4"/>
  <c r="M90" i="4" s="1"/>
  <c r="N89" i="4"/>
  <c r="O89" i="4"/>
  <c r="P89" i="4"/>
  <c r="Q89" i="4"/>
  <c r="P90" i="4" s="1"/>
  <c r="R89" i="4"/>
  <c r="S89" i="4"/>
  <c r="T89" i="4"/>
  <c r="U89" i="4"/>
  <c r="U90" i="4" s="1"/>
  <c r="V89" i="4"/>
  <c r="W89" i="4"/>
  <c r="X89" i="4"/>
  <c r="X90" i="4" s="1"/>
  <c r="H87" i="4"/>
  <c r="L87" i="4"/>
  <c r="B111" i="4"/>
  <c r="C111" i="4"/>
  <c r="D111" i="4"/>
  <c r="E111" i="4"/>
  <c r="F111" i="4"/>
  <c r="G111" i="4"/>
  <c r="H111" i="4"/>
  <c r="I111" i="4"/>
  <c r="J111" i="4"/>
  <c r="K111" i="4"/>
  <c r="L111" i="4"/>
  <c r="M111" i="4"/>
  <c r="N111" i="4"/>
  <c r="O111" i="4"/>
  <c r="P111" i="4"/>
  <c r="Q111" i="4"/>
  <c r="R111" i="4"/>
  <c r="T110" i="4"/>
  <c r="S111" i="4" s="1"/>
  <c r="J108" i="4"/>
  <c r="B121" i="4"/>
  <c r="C121" i="4"/>
  <c r="D121" i="4"/>
  <c r="E121" i="4"/>
  <c r="F121" i="4"/>
  <c r="G121" i="4"/>
  <c r="H121" i="4"/>
  <c r="I121" i="4"/>
  <c r="J121" i="4"/>
  <c r="K121" i="4"/>
  <c r="L121" i="4"/>
  <c r="M121" i="4"/>
  <c r="N121" i="4"/>
  <c r="O121" i="4"/>
  <c r="P121" i="4"/>
  <c r="Q121" i="4"/>
  <c r="R121" i="4"/>
  <c r="T120" i="4"/>
  <c r="S121" i="4" s="1"/>
  <c r="J118" i="4"/>
  <c r="B141" i="4"/>
  <c r="C141" i="4"/>
  <c r="D141" i="4"/>
  <c r="E141" i="4"/>
  <c r="F141" i="4"/>
  <c r="G141" i="4"/>
  <c r="H141" i="4"/>
  <c r="I141" i="4"/>
  <c r="J141" i="4"/>
  <c r="K141" i="4"/>
  <c r="L141" i="4"/>
  <c r="M141" i="4"/>
  <c r="N141" i="4"/>
  <c r="O141" i="4"/>
  <c r="P141" i="4"/>
  <c r="Q141" i="4"/>
  <c r="R141" i="4"/>
  <c r="S141" i="4"/>
  <c r="T141" i="4"/>
  <c r="U141" i="4"/>
  <c r="V141" i="4"/>
  <c r="W141" i="4"/>
  <c r="X141" i="4"/>
  <c r="J138" i="4"/>
  <c r="B146" i="4"/>
  <c r="D143" i="4" s="1"/>
  <c r="F143" i="4" s="1"/>
  <c r="C146" i="4"/>
  <c r="D146" i="4"/>
  <c r="E146" i="4"/>
  <c r="F146" i="4"/>
  <c r="G146" i="4"/>
  <c r="H146" i="4"/>
  <c r="I146" i="4"/>
  <c r="J146" i="4"/>
  <c r="K146" i="4"/>
  <c r="L146" i="4"/>
  <c r="M146" i="4"/>
  <c r="N146" i="4"/>
  <c r="O146" i="4"/>
  <c r="P146" i="4"/>
  <c r="Q146" i="4"/>
  <c r="R146" i="4"/>
  <c r="S146" i="4"/>
  <c r="T146" i="4"/>
  <c r="U146" i="4"/>
  <c r="V146" i="4"/>
  <c r="W146" i="4"/>
  <c r="X146" i="4"/>
  <c r="J143" i="4"/>
  <c r="B156" i="4"/>
  <c r="C156" i="4"/>
  <c r="D156" i="4"/>
  <c r="E156" i="4"/>
  <c r="F156" i="4"/>
  <c r="G156" i="4"/>
  <c r="H156" i="4"/>
  <c r="I156" i="4"/>
  <c r="J156" i="4"/>
  <c r="K156" i="4"/>
  <c r="L156" i="4"/>
  <c r="M156" i="4"/>
  <c r="N156" i="4"/>
  <c r="O156" i="4"/>
  <c r="P156" i="4"/>
  <c r="Q156" i="4"/>
  <c r="R156" i="4"/>
  <c r="S156" i="4"/>
  <c r="T156" i="4"/>
  <c r="U156" i="4"/>
  <c r="V156" i="4"/>
  <c r="W156" i="4"/>
  <c r="X156" i="4"/>
  <c r="J153" i="4"/>
  <c r="B161" i="4"/>
  <c r="D158" i="4" s="1"/>
  <c r="F158" i="4" s="1"/>
  <c r="C161" i="4"/>
  <c r="D161" i="4"/>
  <c r="E161" i="4"/>
  <c r="F161" i="4"/>
  <c r="G161" i="4"/>
  <c r="H161" i="4"/>
  <c r="I161" i="4"/>
  <c r="J161" i="4"/>
  <c r="K161" i="4"/>
  <c r="L161" i="4"/>
  <c r="M161" i="4"/>
  <c r="N161" i="4"/>
  <c r="O161" i="4"/>
  <c r="P161" i="4"/>
  <c r="Q161" i="4"/>
  <c r="R161" i="4"/>
  <c r="S161" i="4"/>
  <c r="T161" i="4"/>
  <c r="U161" i="4"/>
  <c r="V161" i="4"/>
  <c r="W161" i="4"/>
  <c r="X161" i="4"/>
  <c r="J158" i="4"/>
  <c r="B171" i="4"/>
  <c r="D168" i="4" s="1"/>
  <c r="F168" i="4" s="1"/>
  <c r="C171" i="4"/>
  <c r="D171" i="4"/>
  <c r="E171" i="4"/>
  <c r="F171" i="4"/>
  <c r="G171" i="4"/>
  <c r="H171" i="4"/>
  <c r="I171" i="4"/>
  <c r="J171" i="4"/>
  <c r="K171" i="4"/>
  <c r="L171" i="4"/>
  <c r="M171" i="4"/>
  <c r="N171" i="4"/>
  <c r="O171" i="4"/>
  <c r="P171" i="4"/>
  <c r="Q171" i="4"/>
  <c r="R171" i="4"/>
  <c r="S171" i="4"/>
  <c r="T171" i="4"/>
  <c r="U171" i="4"/>
  <c r="V171" i="4"/>
  <c r="W171" i="4"/>
  <c r="X171" i="4"/>
  <c r="J168" i="4"/>
  <c r="B176" i="4"/>
  <c r="C176" i="4"/>
  <c r="D176" i="4"/>
  <c r="E176" i="4"/>
  <c r="F176" i="4"/>
  <c r="G176" i="4"/>
  <c r="H176" i="4"/>
  <c r="I176" i="4"/>
  <c r="J176" i="4"/>
  <c r="K176" i="4"/>
  <c r="L176" i="4"/>
  <c r="M176" i="4"/>
  <c r="N176" i="4"/>
  <c r="O176" i="4"/>
  <c r="P176" i="4"/>
  <c r="Q176" i="4"/>
  <c r="R176" i="4"/>
  <c r="S176" i="4"/>
  <c r="T176" i="4"/>
  <c r="U176" i="4"/>
  <c r="V176" i="4"/>
  <c r="W176" i="4"/>
  <c r="X176" i="4"/>
  <c r="J173" i="4"/>
  <c r="B181" i="4"/>
  <c r="D178" i="4" s="1"/>
  <c r="F178" i="4" s="1"/>
  <c r="C181" i="4"/>
  <c r="D181" i="4"/>
  <c r="E181" i="4"/>
  <c r="F181" i="4"/>
  <c r="G181" i="4"/>
  <c r="H181" i="4"/>
  <c r="I181" i="4"/>
  <c r="J181" i="4"/>
  <c r="K181" i="4"/>
  <c r="L181" i="4"/>
  <c r="M181" i="4"/>
  <c r="N181" i="4"/>
  <c r="O181" i="4"/>
  <c r="P181" i="4"/>
  <c r="Q181" i="4"/>
  <c r="R181" i="4"/>
  <c r="S181" i="4"/>
  <c r="T181" i="4"/>
  <c r="U181" i="4"/>
  <c r="V181" i="4"/>
  <c r="W181" i="4"/>
  <c r="X181" i="4"/>
  <c r="J178" i="4"/>
  <c r="B186" i="4"/>
  <c r="C186" i="4"/>
  <c r="D186" i="4"/>
  <c r="E186" i="4"/>
  <c r="F186" i="4"/>
  <c r="G186" i="4"/>
  <c r="H186" i="4"/>
  <c r="I186" i="4"/>
  <c r="J186" i="4"/>
  <c r="K186" i="4"/>
  <c r="L186" i="4"/>
  <c r="M186" i="4"/>
  <c r="N186" i="4"/>
  <c r="O186" i="4"/>
  <c r="P186" i="4"/>
  <c r="Q186" i="4"/>
  <c r="R186" i="4"/>
  <c r="S186" i="4"/>
  <c r="T186" i="4"/>
  <c r="U186" i="4"/>
  <c r="V186" i="4"/>
  <c r="W186" i="4"/>
  <c r="X186" i="4"/>
  <c r="J183" i="4"/>
  <c r="B191" i="4"/>
  <c r="C191" i="4"/>
  <c r="D191" i="4"/>
  <c r="E191" i="4"/>
  <c r="F191" i="4"/>
  <c r="G191" i="4"/>
  <c r="H191" i="4"/>
  <c r="I191" i="4"/>
  <c r="J191" i="4"/>
  <c r="K191" i="4"/>
  <c r="L191" i="4"/>
  <c r="M191" i="4"/>
  <c r="N191" i="4"/>
  <c r="O191" i="4"/>
  <c r="P191" i="4"/>
  <c r="Q191" i="4"/>
  <c r="R191" i="4"/>
  <c r="T190" i="4"/>
  <c r="U190" i="4" s="1"/>
  <c r="X189" i="4"/>
  <c r="L188" i="4"/>
  <c r="J188" i="4" s="1"/>
  <c r="B221" i="4"/>
  <c r="D218" i="4" s="1"/>
  <c r="F218" i="4" s="1"/>
  <c r="C221" i="4"/>
  <c r="D221" i="4"/>
  <c r="E221" i="4"/>
  <c r="F221" i="4"/>
  <c r="G221" i="4"/>
  <c r="H221" i="4"/>
  <c r="I221" i="4"/>
  <c r="J221" i="4"/>
  <c r="K221" i="4"/>
  <c r="L221" i="4"/>
  <c r="M221" i="4"/>
  <c r="N221" i="4"/>
  <c r="O221" i="4"/>
  <c r="P221" i="4"/>
  <c r="Q221" i="4"/>
  <c r="R221" i="4"/>
  <c r="S221" i="4"/>
  <c r="T221" i="4"/>
  <c r="U221" i="4"/>
  <c r="V221" i="4"/>
  <c r="W221" i="4"/>
  <c r="X221" i="4"/>
  <c r="J218" i="4"/>
  <c r="B261" i="4"/>
  <c r="D258" i="4" s="1"/>
  <c r="F258" i="4" s="1"/>
  <c r="C261" i="4"/>
  <c r="D261" i="4"/>
  <c r="E261" i="4"/>
  <c r="F261" i="4"/>
  <c r="G261" i="4"/>
  <c r="H261" i="4"/>
  <c r="I261" i="4"/>
  <c r="J261" i="4"/>
  <c r="K261" i="4"/>
  <c r="L261" i="4"/>
  <c r="M261" i="4"/>
  <c r="N261" i="4"/>
  <c r="O261" i="4"/>
  <c r="P261" i="4"/>
  <c r="Q261" i="4"/>
  <c r="R261" i="4"/>
  <c r="S261" i="4"/>
  <c r="T261" i="4"/>
  <c r="U261" i="4"/>
  <c r="V261" i="4"/>
  <c r="W261" i="4"/>
  <c r="X261" i="4"/>
  <c r="J258" i="4"/>
  <c r="B266" i="4"/>
  <c r="C266" i="4"/>
  <c r="D266" i="4"/>
  <c r="E266" i="4"/>
  <c r="F266" i="4"/>
  <c r="G266" i="4"/>
  <c r="H266" i="4"/>
  <c r="I266" i="4"/>
  <c r="J266" i="4"/>
  <c r="K266" i="4"/>
  <c r="L266" i="4"/>
  <c r="M266" i="4"/>
  <c r="N266" i="4"/>
  <c r="O266" i="4"/>
  <c r="P266" i="4"/>
  <c r="Q266" i="4"/>
  <c r="R266" i="4"/>
  <c r="S266" i="4"/>
  <c r="T266" i="4"/>
  <c r="U266" i="4"/>
  <c r="V266" i="4"/>
  <c r="W266" i="4"/>
  <c r="X266" i="4"/>
  <c r="J263" i="4"/>
  <c r="B272" i="4"/>
  <c r="C272" i="4"/>
  <c r="D272" i="4"/>
  <c r="E272" i="4"/>
  <c r="F272" i="4"/>
  <c r="G272" i="4"/>
  <c r="H272" i="4"/>
  <c r="I272" i="4"/>
  <c r="J272" i="4"/>
  <c r="K272" i="4"/>
  <c r="L272" i="4"/>
  <c r="M272" i="4"/>
  <c r="N272" i="4"/>
  <c r="O272" i="4"/>
  <c r="P272" i="4"/>
  <c r="Q272" i="4"/>
  <c r="R272" i="4"/>
  <c r="S272" i="4"/>
  <c r="T272" i="4"/>
  <c r="U272" i="4"/>
  <c r="V272" i="4"/>
  <c r="W272" i="4"/>
  <c r="X272" i="4"/>
  <c r="J269" i="4"/>
  <c r="B277" i="4"/>
  <c r="D274" i="4" s="1"/>
  <c r="F274" i="4" s="1"/>
  <c r="C277" i="4"/>
  <c r="D277" i="4"/>
  <c r="E277" i="4"/>
  <c r="F277" i="4"/>
  <c r="G277" i="4"/>
  <c r="H277" i="4"/>
  <c r="I277" i="4"/>
  <c r="J277" i="4"/>
  <c r="K277" i="4"/>
  <c r="L277" i="4"/>
  <c r="M277" i="4"/>
  <c r="N277" i="4"/>
  <c r="O277" i="4"/>
  <c r="P277" i="4"/>
  <c r="Q277" i="4"/>
  <c r="R277" i="4"/>
  <c r="S277" i="4"/>
  <c r="T277" i="4"/>
  <c r="U277" i="4"/>
  <c r="V277" i="4"/>
  <c r="W277" i="4"/>
  <c r="X277" i="4"/>
  <c r="J274" i="4"/>
  <c r="B282" i="4"/>
  <c r="D279" i="4" s="1"/>
  <c r="F279" i="4" s="1"/>
  <c r="C282" i="4"/>
  <c r="D282" i="4"/>
  <c r="E282" i="4"/>
  <c r="F282" i="4"/>
  <c r="G282" i="4"/>
  <c r="H282" i="4"/>
  <c r="I282" i="4"/>
  <c r="J282" i="4"/>
  <c r="K282" i="4"/>
  <c r="L282" i="4"/>
  <c r="M282" i="4"/>
  <c r="N282" i="4"/>
  <c r="O282" i="4"/>
  <c r="P282" i="4"/>
  <c r="Q282" i="4"/>
  <c r="R282" i="4"/>
  <c r="S282" i="4"/>
  <c r="T282" i="4"/>
  <c r="U282" i="4"/>
  <c r="V282" i="4"/>
  <c r="W282" i="4"/>
  <c r="X282" i="4"/>
  <c r="J279" i="4"/>
  <c r="B287" i="4"/>
  <c r="C287" i="4"/>
  <c r="D287" i="4"/>
  <c r="E287" i="4"/>
  <c r="F287" i="4"/>
  <c r="G287" i="4"/>
  <c r="H287" i="4"/>
  <c r="I287" i="4"/>
  <c r="J287" i="4"/>
  <c r="K287" i="4"/>
  <c r="L287" i="4"/>
  <c r="M287" i="4"/>
  <c r="N287" i="4"/>
  <c r="O287" i="4"/>
  <c r="P287" i="4"/>
  <c r="Q287" i="4"/>
  <c r="R287" i="4"/>
  <c r="S287" i="4"/>
  <c r="T287" i="4"/>
  <c r="U287" i="4"/>
  <c r="V287" i="4"/>
  <c r="W287" i="4"/>
  <c r="X287" i="4"/>
  <c r="J284" i="4"/>
  <c r="B292" i="4"/>
  <c r="C292" i="4"/>
  <c r="D292" i="4"/>
  <c r="E292" i="4"/>
  <c r="F292" i="4"/>
  <c r="G292" i="4"/>
  <c r="H292" i="4"/>
  <c r="I292" i="4"/>
  <c r="J292" i="4"/>
  <c r="K292" i="4"/>
  <c r="L292" i="4"/>
  <c r="M292" i="4"/>
  <c r="N292" i="4"/>
  <c r="O292" i="4"/>
  <c r="P292" i="4"/>
  <c r="Q292" i="4"/>
  <c r="R292" i="4"/>
  <c r="S292" i="4"/>
  <c r="T292" i="4"/>
  <c r="U292" i="4"/>
  <c r="V292" i="4"/>
  <c r="W292" i="4"/>
  <c r="X292" i="4"/>
  <c r="J289" i="4"/>
  <c r="B297" i="4"/>
  <c r="C297" i="4"/>
  <c r="D297" i="4"/>
  <c r="E297" i="4"/>
  <c r="F297" i="4"/>
  <c r="G297" i="4"/>
  <c r="H297" i="4"/>
  <c r="I297" i="4"/>
  <c r="J297" i="4"/>
  <c r="K297" i="4"/>
  <c r="L297" i="4"/>
  <c r="M297" i="4"/>
  <c r="N297" i="4"/>
  <c r="O297" i="4"/>
  <c r="P297" i="4"/>
  <c r="Q297" i="4"/>
  <c r="R297" i="4"/>
  <c r="S297" i="4"/>
  <c r="T297" i="4"/>
  <c r="U297" i="4"/>
  <c r="V297" i="4"/>
  <c r="W297" i="4"/>
  <c r="X297" i="4"/>
  <c r="J294" i="4"/>
  <c r="B302" i="4"/>
  <c r="C302" i="4"/>
  <c r="D302" i="4"/>
  <c r="E302" i="4"/>
  <c r="F302" i="4"/>
  <c r="G302" i="4"/>
  <c r="H302" i="4"/>
  <c r="I302" i="4"/>
  <c r="J302" i="4"/>
  <c r="K302" i="4"/>
  <c r="L302" i="4"/>
  <c r="M302" i="4"/>
  <c r="N302" i="4"/>
  <c r="O302" i="4"/>
  <c r="P302" i="4"/>
  <c r="Q302" i="4"/>
  <c r="R302" i="4"/>
  <c r="S302" i="4"/>
  <c r="T302" i="4"/>
  <c r="U302" i="4"/>
  <c r="V302" i="4"/>
  <c r="W302" i="4"/>
  <c r="X302" i="4"/>
  <c r="J299" i="4"/>
  <c r="B312" i="4"/>
  <c r="C312" i="4"/>
  <c r="D312" i="4"/>
  <c r="E312" i="4"/>
  <c r="F312" i="4"/>
  <c r="G312" i="4"/>
  <c r="H312" i="4"/>
  <c r="I312" i="4"/>
  <c r="J312" i="4"/>
  <c r="K312" i="4"/>
  <c r="L312" i="4"/>
  <c r="M312" i="4"/>
  <c r="N312" i="4"/>
  <c r="O312" i="4"/>
  <c r="P312" i="4"/>
  <c r="Q312" i="4"/>
  <c r="R312" i="4"/>
  <c r="S312" i="4"/>
  <c r="T312" i="4"/>
  <c r="U312" i="4"/>
  <c r="V312" i="4"/>
  <c r="W312" i="4"/>
  <c r="X312" i="4"/>
  <c r="J309" i="4"/>
  <c r="A316" i="4"/>
  <c r="B26" i="4"/>
  <c r="N26" i="4"/>
  <c r="B31" i="4"/>
  <c r="N31" i="4"/>
  <c r="B36" i="4"/>
  <c r="N36" i="4"/>
  <c r="B41" i="4"/>
  <c r="N41" i="4"/>
  <c r="B46" i="4"/>
  <c r="N46" i="4"/>
  <c r="B51" i="4"/>
  <c r="N51" i="4"/>
  <c r="B56" i="4"/>
  <c r="N56" i="4"/>
  <c r="B61" i="4"/>
  <c r="N61" i="4"/>
  <c r="B67" i="4"/>
  <c r="B72" i="4"/>
  <c r="B77" i="4"/>
  <c r="B82" i="4"/>
  <c r="B87" i="4"/>
  <c r="B108" i="4"/>
  <c r="B118" i="4"/>
  <c r="B138" i="4"/>
  <c r="B143" i="4"/>
  <c r="B153" i="4"/>
  <c r="B158" i="4"/>
  <c r="B163" i="4"/>
  <c r="B168" i="4"/>
  <c r="B173" i="4"/>
  <c r="B178" i="4"/>
  <c r="B183" i="4"/>
  <c r="B188" i="4"/>
  <c r="B218" i="4"/>
  <c r="B258" i="4"/>
  <c r="B263" i="4"/>
  <c r="B269" i="4"/>
  <c r="B274" i="4"/>
  <c r="B279" i="4"/>
  <c r="B284" i="4"/>
  <c r="B289" i="4"/>
  <c r="B294" i="4"/>
  <c r="B299" i="4"/>
  <c r="B309" i="4"/>
  <c r="E116" i="7"/>
  <c r="E139" i="7" s="1"/>
  <c r="F85" i="7"/>
  <c r="H118" i="7"/>
  <c r="H111" i="7"/>
  <c r="E102" i="7"/>
  <c r="E103" i="7"/>
  <c r="E104" i="7"/>
  <c r="E100" i="7"/>
  <c r="H105" i="7"/>
  <c r="J105" i="7"/>
  <c r="J101" i="7"/>
  <c r="J97" i="7"/>
  <c r="F97" i="7"/>
  <c r="J92" i="7"/>
  <c r="J88" i="7"/>
  <c r="J86" i="7"/>
  <c r="J84" i="7"/>
  <c r="F90" i="7"/>
  <c r="F82" i="7"/>
  <c r="D85" i="7"/>
  <c r="D83" i="7"/>
  <c r="D81" i="7"/>
  <c r="D80" i="7"/>
  <c r="B19" i="6"/>
  <c r="F321" i="4"/>
  <c r="F320" i="4"/>
  <c r="C21" i="5"/>
  <c r="C20" i="5"/>
  <c r="C26" i="5"/>
  <c r="C22" i="5"/>
  <c r="C17" i="5"/>
  <c r="C19" i="5"/>
  <c r="C16" i="5"/>
  <c r="C15" i="5"/>
  <c r="L2" i="6"/>
  <c r="C317" i="4"/>
  <c r="F317" i="4"/>
  <c r="R317" i="4"/>
  <c r="C318" i="4"/>
  <c r="F318" i="4"/>
  <c r="R318" i="4"/>
  <c r="C319" i="4"/>
  <c r="F319" i="4"/>
  <c r="C320" i="4"/>
  <c r="C321" i="4"/>
  <c r="C322" i="4"/>
  <c r="C323" i="4"/>
  <c r="C324" i="4"/>
  <c r="B146" i="2"/>
  <c r="B35" i="1"/>
  <c r="B36" i="6"/>
  <c r="B15" i="8"/>
  <c r="B76" i="2"/>
  <c r="B11" i="8"/>
  <c r="B107" i="1"/>
  <c r="F42" i="5"/>
  <c r="B71" i="8"/>
  <c r="B78" i="8"/>
  <c r="C5" i="8"/>
  <c r="B76" i="8"/>
  <c r="B74" i="8"/>
  <c r="B73" i="8"/>
  <c r="B79" i="8" s="1"/>
  <c r="B10" i="8"/>
  <c r="C4" i="8"/>
  <c r="C16" i="8"/>
  <c r="C14" i="8"/>
  <c r="C12" i="8"/>
  <c r="B12" i="8"/>
  <c r="C9" i="8"/>
  <c r="C8" i="8"/>
  <c r="B8" i="8"/>
  <c r="C7" i="8"/>
  <c r="N36" i="6"/>
  <c r="C51" i="5"/>
  <c r="C53" i="5"/>
  <c r="T18" i="6"/>
  <c r="S17" i="6"/>
  <c r="S19" i="6"/>
  <c r="S18" i="6"/>
  <c r="S13" i="6"/>
  <c r="S14" i="6"/>
  <c r="S12" i="6"/>
  <c r="T16" i="6"/>
  <c r="T11" i="6"/>
  <c r="L38" i="6"/>
  <c r="B93" i="1"/>
  <c r="B79" i="2"/>
  <c r="H64" i="7"/>
  <c r="H63" i="7" s="1"/>
  <c r="E59" i="7"/>
  <c r="E55" i="7"/>
  <c r="D20" i="10" s="1"/>
  <c r="H52" i="7"/>
  <c r="E45" i="7"/>
  <c r="D45" i="7"/>
  <c r="E44" i="7"/>
  <c r="D44" i="7"/>
  <c r="E46" i="7"/>
  <c r="D46" i="7"/>
  <c r="E43" i="7"/>
  <c r="D43" i="7"/>
  <c r="E41" i="7"/>
  <c r="E50" i="7"/>
  <c r="E48" i="7"/>
  <c r="E47" i="7"/>
  <c r="H50" i="7"/>
  <c r="E51" i="7"/>
  <c r="C31" i="7"/>
  <c r="C5" i="5"/>
  <c r="C6" i="5"/>
  <c r="C7" i="5"/>
  <c r="C8" i="5"/>
  <c r="C10" i="5"/>
  <c r="C11" i="5"/>
  <c r="C12" i="5"/>
  <c r="C13" i="5"/>
  <c r="C23" i="5"/>
  <c r="C25" i="5"/>
  <c r="C28" i="5"/>
  <c r="C33" i="5"/>
  <c r="F34" i="5"/>
  <c r="F35" i="5"/>
  <c r="F36" i="5"/>
  <c r="F37" i="5"/>
  <c r="F38" i="5"/>
  <c r="F39" i="5"/>
  <c r="F40" i="5"/>
  <c r="C52" i="5"/>
  <c r="A1" i="4"/>
  <c r="A3" i="4"/>
  <c r="A4" i="4"/>
  <c r="B77" i="2"/>
  <c r="B78" i="2"/>
  <c r="B131" i="2"/>
  <c r="B133" i="2"/>
  <c r="B134" i="2"/>
  <c r="B135" i="2"/>
  <c r="B137" i="2"/>
  <c r="B138" i="2"/>
  <c r="B140" i="2"/>
  <c r="B141" i="2"/>
  <c r="B144" i="2"/>
  <c r="C4" i="1"/>
  <c r="C6" i="1"/>
  <c r="C7" i="1"/>
  <c r="C23" i="1" s="1"/>
  <c r="B8" i="1"/>
  <c r="C8" i="1"/>
  <c r="C9" i="1"/>
  <c r="B10" i="1"/>
  <c r="B11" i="1"/>
  <c r="C11" i="1"/>
  <c r="C13" i="1"/>
  <c r="C17" i="1"/>
  <c r="B18" i="1"/>
  <c r="B19" i="1"/>
  <c r="C22" i="1"/>
  <c r="G22" i="1"/>
  <c r="H22" i="1"/>
  <c r="J22" i="1"/>
  <c r="K22" i="1"/>
  <c r="F23" i="1"/>
  <c r="B24" i="1"/>
  <c r="F24" i="1"/>
  <c r="B26" i="1"/>
  <c r="F25" i="1"/>
  <c r="H25" i="1"/>
  <c r="F27" i="1"/>
  <c r="B29" i="1"/>
  <c r="F28" i="1"/>
  <c r="B30" i="1"/>
  <c r="B31" i="1"/>
  <c r="H31" i="1"/>
  <c r="B32" i="1"/>
  <c r="F32" i="1"/>
  <c r="B33" i="1"/>
  <c r="F33" i="1"/>
  <c r="F34" i="1"/>
  <c r="A38" i="1"/>
  <c r="F38" i="1"/>
  <c r="H38" i="1"/>
  <c r="J38" i="1"/>
  <c r="K38" i="1"/>
  <c r="F40" i="1"/>
  <c r="M40" i="1"/>
  <c r="F41" i="1"/>
  <c r="B42" i="1"/>
  <c r="F42" i="1"/>
  <c r="F43" i="1"/>
  <c r="B44" i="1"/>
  <c r="F45" i="1"/>
  <c r="F46" i="1"/>
  <c r="F47" i="1"/>
  <c r="L47" i="1"/>
  <c r="F48" i="1"/>
  <c r="H48" i="1"/>
  <c r="F49" i="1"/>
  <c r="I49" i="1"/>
  <c r="L49" i="1"/>
  <c r="M49" i="1"/>
  <c r="B102" i="1"/>
  <c r="B109" i="1"/>
  <c r="B110" i="1"/>
  <c r="B111" i="1"/>
  <c r="B112" i="1"/>
  <c r="B113" i="1"/>
  <c r="B117" i="1"/>
  <c r="C140" i="1"/>
  <c r="C142" i="1"/>
  <c r="C144" i="1"/>
  <c r="B148" i="1"/>
  <c r="C4" i="6"/>
  <c r="C6" i="6"/>
  <c r="L6" i="6"/>
  <c r="C7" i="6"/>
  <c r="L7" i="6"/>
  <c r="B8" i="6"/>
  <c r="L8" i="6"/>
  <c r="L9" i="6"/>
  <c r="B11" i="6"/>
  <c r="M11" i="6"/>
  <c r="N11" i="6"/>
  <c r="P11" i="6"/>
  <c r="B12" i="6"/>
  <c r="L12" i="6"/>
  <c r="B13" i="6"/>
  <c r="L13" i="6"/>
  <c r="B14" i="6"/>
  <c r="L14" i="6"/>
  <c r="L15" i="6"/>
  <c r="C16" i="6"/>
  <c r="B18" i="6"/>
  <c r="L18" i="6"/>
  <c r="L19" i="6"/>
  <c r="C20" i="6"/>
  <c r="L20" i="6"/>
  <c r="B21" i="6"/>
  <c r="L21" i="6"/>
  <c r="B22" i="6"/>
  <c r="L22" i="6"/>
  <c r="B23" i="6"/>
  <c r="D25" i="6"/>
  <c r="F26" i="6"/>
  <c r="H26" i="6"/>
  <c r="E27" i="6"/>
  <c r="F28" i="6"/>
  <c r="F29" i="6"/>
  <c r="F30" i="6"/>
  <c r="E31" i="6"/>
  <c r="E32" i="6"/>
  <c r="D35" i="6"/>
  <c r="B91" i="6"/>
  <c r="B96" i="6"/>
  <c r="B103" i="6"/>
  <c r="B104" i="6"/>
  <c r="B105" i="6"/>
  <c r="B107" i="6"/>
  <c r="B108" i="6"/>
  <c r="B109" i="6"/>
  <c r="B114" i="6"/>
  <c r="B115" i="6"/>
  <c r="B117" i="6"/>
  <c r="B118" i="6"/>
  <c r="B119" i="6"/>
  <c r="B121" i="6"/>
  <c r="C124" i="6"/>
  <c r="E124" i="6"/>
  <c r="C125" i="6"/>
  <c r="C126" i="6" s="1"/>
  <c r="C127" i="6" s="1"/>
  <c r="C128" i="6" s="1"/>
  <c r="C129" i="6" s="1"/>
  <c r="D125" i="6"/>
  <c r="E125" i="6" s="1"/>
  <c r="C130" i="6"/>
  <c r="C131" i="6"/>
  <c r="E131" i="6"/>
  <c r="B137" i="6"/>
  <c r="B140" i="6"/>
  <c r="B143" i="6"/>
  <c r="B146" i="6"/>
  <c r="B155" i="6"/>
  <c r="E175" i="6"/>
  <c r="C176" i="6"/>
  <c r="F176" i="6"/>
  <c r="G176" i="6"/>
  <c r="H176" i="6"/>
  <c r="C177" i="6"/>
  <c r="F177" i="6"/>
  <c r="G177" i="6"/>
  <c r="H177" i="6"/>
  <c r="C178" i="6"/>
  <c r="F178" i="6"/>
  <c r="G178" i="6"/>
  <c r="H178" i="6"/>
  <c r="C179" i="6"/>
  <c r="F179" i="6"/>
  <c r="G179" i="6"/>
  <c r="H179" i="6"/>
  <c r="C180" i="6"/>
  <c r="D180" i="6"/>
  <c r="E180" i="6" s="1"/>
  <c r="F180" i="6"/>
  <c r="G180" i="6"/>
  <c r="H180" i="6"/>
  <c r="U120" i="4"/>
  <c r="T121" i="4" s="1"/>
  <c r="W85" i="4"/>
  <c r="U85" i="4"/>
  <c r="O85" i="4"/>
  <c r="M85" i="4"/>
  <c r="G85" i="4"/>
  <c r="R216" i="4"/>
  <c r="D228" i="4"/>
  <c r="F228" i="4" s="1"/>
  <c r="V115" i="4"/>
  <c r="D133" i="4"/>
  <c r="F133" i="4" s="1"/>
  <c r="J87" i="4"/>
  <c r="W90" i="4"/>
  <c r="S90" i="4"/>
  <c r="Q90" i="4"/>
  <c r="O90" i="4"/>
  <c r="K90" i="4"/>
  <c r="I90" i="4"/>
  <c r="G90" i="4"/>
  <c r="T214" i="4"/>
  <c r="U214" i="4" s="1"/>
  <c r="V214" i="4" s="1"/>
  <c r="W214" i="4" s="1"/>
  <c r="D284" i="4"/>
  <c r="F284" i="4" s="1"/>
  <c r="D269" i="4"/>
  <c r="F269" i="4" s="1"/>
  <c r="D263" i="4"/>
  <c r="F263" i="4" s="1"/>
  <c r="E85" i="4"/>
  <c r="X85" i="4"/>
  <c r="T85" i="4"/>
  <c r="R85" i="4"/>
  <c r="P85" i="4"/>
  <c r="L85" i="4"/>
  <c r="J85" i="4"/>
  <c r="H85" i="4"/>
  <c r="D85" i="4"/>
  <c r="B85" i="4"/>
  <c r="D183" i="4"/>
  <c r="F183" i="4" s="1"/>
  <c r="D173" i="4"/>
  <c r="F173" i="4"/>
  <c r="D153" i="4"/>
  <c r="F153" i="4" s="1"/>
  <c r="D138" i="4"/>
  <c r="F138" i="4" s="1"/>
  <c r="V120" i="4"/>
  <c r="W120" i="4" s="1"/>
  <c r="V90" i="4"/>
  <c r="T90" i="4"/>
  <c r="R90" i="4"/>
  <c r="N90" i="4"/>
  <c r="L90" i="4"/>
  <c r="J90" i="4"/>
  <c r="F90" i="4"/>
  <c r="D90" i="4"/>
  <c r="D77" i="4"/>
  <c r="F77" i="4" s="1"/>
  <c r="D72" i="4"/>
  <c r="F72" i="4" s="1"/>
  <c r="D56" i="4"/>
  <c r="F56" i="4" s="1"/>
  <c r="D51" i="4"/>
  <c r="F51" i="4" s="1"/>
  <c r="D36" i="4"/>
  <c r="F36" i="4" s="1"/>
  <c r="D31" i="4"/>
  <c r="F31" i="4" s="1"/>
  <c r="U165" i="4"/>
  <c r="T166" i="4" s="1"/>
  <c r="R201" i="4"/>
  <c r="K196" i="4"/>
  <c r="T211" i="4"/>
  <c r="B189" i="6"/>
  <c r="S226" i="4"/>
  <c r="N194" i="4"/>
  <c r="O194" i="4" s="1"/>
  <c r="L196" i="4"/>
  <c r="S251" i="4"/>
  <c r="L246" i="4"/>
  <c r="K246" i="4"/>
  <c r="R251" i="4"/>
  <c r="U116" i="4"/>
  <c r="W115" i="4"/>
  <c r="X115" i="4" s="1"/>
  <c r="V116" i="4"/>
  <c r="V165" i="4"/>
  <c r="U166" i="4" s="1"/>
  <c r="U211" i="4"/>
  <c r="M246" i="4"/>
  <c r="V250" i="4"/>
  <c r="U251" i="4" s="1"/>
  <c r="T251" i="4"/>
  <c r="V211" i="4"/>
  <c r="N246" i="4"/>
  <c r="X245" i="4"/>
  <c r="X246" i="4" s="1"/>
  <c r="W211" i="4"/>
  <c r="X211" i="4"/>
  <c r="O246" i="4"/>
  <c r="P246" i="4"/>
  <c r="Q246" i="4"/>
  <c r="R246" i="4"/>
  <c r="S246" i="4"/>
  <c r="T246" i="4"/>
  <c r="U246" i="4"/>
  <c r="X244" i="4"/>
  <c r="V246" i="4"/>
  <c r="W130" i="4"/>
  <c r="V131" i="4" s="1"/>
  <c r="U125" i="4"/>
  <c r="V125" i="4" s="1"/>
  <c r="R241" i="4"/>
  <c r="T126" i="4"/>
  <c r="C182" i="6"/>
  <c r="P14" i="6"/>
  <c r="P15" i="6"/>
  <c r="E29" i="1"/>
  <c r="U240" i="4"/>
  <c r="V240" i="4" s="1"/>
  <c r="W240" i="4" s="1"/>
  <c r="S191" i="4"/>
  <c r="D161" i="6"/>
  <c r="E161" i="6" s="1"/>
  <c r="D158" i="6"/>
  <c r="E158" i="6" s="1"/>
  <c r="D162" i="6"/>
  <c r="E162" i="6" s="1"/>
  <c r="D160" i="6"/>
  <c r="E160" i="6" s="1"/>
  <c r="D159" i="6"/>
  <c r="E159" i="6" s="1"/>
  <c r="S206" i="4"/>
  <c r="R206" i="4"/>
  <c r="M196" i="4"/>
  <c r="T206" i="4"/>
  <c r="U206" i="4"/>
  <c r="X205" i="4"/>
  <c r="W206" i="4" s="1"/>
  <c r="V206" i="4"/>
  <c r="X100" i="4"/>
  <c r="L105" i="4"/>
  <c r="C105" i="4"/>
  <c r="G105" i="4"/>
  <c r="K105" i="4"/>
  <c r="O105" i="4"/>
  <c r="S100" i="4"/>
  <c r="U100" i="4"/>
  <c r="D92" i="4"/>
  <c r="F92" i="4" s="1"/>
  <c r="H100" i="4"/>
  <c r="Q100" i="4"/>
  <c r="Q105" i="4"/>
  <c r="D179" i="6" l="1"/>
  <c r="E179" i="6" s="1"/>
  <c r="D177" i="6"/>
  <c r="E177" i="6" s="1"/>
  <c r="D176" i="6"/>
  <c r="E176" i="6" s="1"/>
  <c r="C184" i="6"/>
  <c r="C198" i="6"/>
  <c r="E11" i="7"/>
  <c r="C38" i="10"/>
  <c r="H42" i="7"/>
  <c r="C39" i="10"/>
  <c r="H69" i="7"/>
  <c r="E8" i="7"/>
  <c r="C133" i="6"/>
  <c r="M20" i="6"/>
  <c r="C136" i="6"/>
  <c r="C148" i="6"/>
  <c r="B77" i="8"/>
  <c r="C197" i="6"/>
  <c r="E192" i="6"/>
  <c r="E188" i="6"/>
  <c r="E185" i="6"/>
  <c r="W116" i="4"/>
  <c r="X116" i="4"/>
  <c r="X120" i="4"/>
  <c r="V121" i="4"/>
  <c r="U239" i="4"/>
  <c r="V239" i="4" s="1"/>
  <c r="W239" i="4" s="1"/>
  <c r="X239" i="4" s="1"/>
  <c r="S241" i="4"/>
  <c r="U126" i="4"/>
  <c r="W125" i="4"/>
  <c r="S216" i="4"/>
  <c r="U215" i="4"/>
  <c r="T216" i="4" s="1"/>
  <c r="D309" i="4"/>
  <c r="F309" i="4" s="1"/>
  <c r="D299" i="4"/>
  <c r="F299" i="4" s="1"/>
  <c r="D294" i="4"/>
  <c r="F294" i="4" s="1"/>
  <c r="D208" i="4"/>
  <c r="F208" i="4" s="1"/>
  <c r="B90" i="4"/>
  <c r="D87" i="4" s="1"/>
  <c r="F87" i="4" s="1"/>
  <c r="W165" i="4"/>
  <c r="U121" i="4"/>
  <c r="U110" i="4"/>
  <c r="J97" i="4"/>
  <c r="F100" i="4"/>
  <c r="N100" i="4"/>
  <c r="T100" i="4"/>
  <c r="V105" i="4"/>
  <c r="C100" i="4"/>
  <c r="W100" i="4"/>
  <c r="H105" i="4"/>
  <c r="U105" i="4"/>
  <c r="D126" i="6"/>
  <c r="W250" i="4"/>
  <c r="X250" i="4" s="1"/>
  <c r="X251" i="4" s="1"/>
  <c r="D289" i="4"/>
  <c r="F289" i="4" s="1"/>
  <c r="X130" i="4"/>
  <c r="W246" i="4"/>
  <c r="D243" i="4" s="1"/>
  <c r="F243" i="4" s="1"/>
  <c r="C85" i="4"/>
  <c r="D82" i="4" s="1"/>
  <c r="B199" i="6"/>
  <c r="D100" i="4"/>
  <c r="J102" i="4"/>
  <c r="F105" i="4"/>
  <c r="M105" i="4"/>
  <c r="E186" i="6"/>
  <c r="E187" i="6"/>
  <c r="J24" i="7"/>
  <c r="D304" i="4"/>
  <c r="F304" i="4" s="1"/>
  <c r="U200" i="4"/>
  <c r="S201" i="4"/>
  <c r="N196" i="4"/>
  <c r="P194" i="4"/>
  <c r="T191" i="4"/>
  <c r="V190" i="4"/>
  <c r="T226" i="4"/>
  <c r="V225" i="4"/>
  <c r="X255" i="4"/>
  <c r="V256" i="4"/>
  <c r="X240" i="4"/>
  <c r="V241" i="4"/>
  <c r="U235" i="4"/>
  <c r="S236" i="4"/>
  <c r="D113" i="4"/>
  <c r="F113" i="4" s="1"/>
  <c r="K100" i="4"/>
  <c r="M100" i="4"/>
  <c r="O100" i="4"/>
  <c r="D105" i="4"/>
  <c r="W105" i="4"/>
  <c r="I100" i="4"/>
  <c r="X206" i="4"/>
  <c r="D203" i="4" s="1"/>
  <c r="F203" i="4" s="1"/>
  <c r="U241" i="4"/>
  <c r="B2" i="4"/>
  <c r="M24" i="6"/>
  <c r="K24" i="7"/>
  <c r="F94" i="7"/>
  <c r="M23" i="6"/>
  <c r="B57" i="8"/>
  <c r="C57" i="8" s="1"/>
  <c r="C14" i="1"/>
  <c r="H51" i="7" s="1"/>
  <c r="B59" i="8"/>
  <c r="C59" i="8" s="1"/>
  <c r="D178" i="6"/>
  <c r="E178" i="6" s="1"/>
  <c r="E56" i="7"/>
  <c r="D21" i="10" s="1"/>
  <c r="B61" i="8"/>
  <c r="C61" i="8" s="1"/>
  <c r="E40" i="7"/>
  <c r="O23" i="6"/>
  <c r="O24" i="6"/>
  <c r="B53" i="8"/>
  <c r="C53" i="8" s="1"/>
  <c r="B63" i="8"/>
  <c r="C63" i="8" s="1"/>
  <c r="B67" i="8"/>
  <c r="C67" i="8" s="1"/>
  <c r="B62" i="8"/>
  <c r="C62" i="8" s="1"/>
  <c r="B65" i="8"/>
  <c r="C65" i="8" s="1"/>
  <c r="H27" i="6"/>
  <c r="C15" i="8"/>
  <c r="B66" i="8"/>
  <c r="C66" i="8" s="1"/>
  <c r="B54" i="8"/>
  <c r="C54" i="8" s="1"/>
  <c r="B56" i="8"/>
  <c r="C56" i="8" s="1"/>
  <c r="B60" i="8"/>
  <c r="C60" i="8" s="1"/>
  <c r="O18" i="6"/>
  <c r="D34" i="6"/>
  <c r="O21" i="6" s="1"/>
  <c r="B52" i="8"/>
  <c r="C52" i="8" s="1"/>
  <c r="D26" i="7"/>
  <c r="B51" i="8"/>
  <c r="C51" i="8" s="1"/>
  <c r="B58" i="8"/>
  <c r="C58" i="8" s="1"/>
  <c r="B64" i="8"/>
  <c r="C64" i="8" s="1"/>
  <c r="B50" i="8"/>
  <c r="C50" i="8" s="1"/>
  <c r="B55" i="8"/>
  <c r="C55" i="8" s="1"/>
  <c r="T14" i="6"/>
  <c r="C173" i="6"/>
  <c r="C172" i="6"/>
  <c r="D23" i="7"/>
  <c r="E108" i="7"/>
  <c r="C195" i="6"/>
  <c r="A317" i="4" a="1"/>
  <c r="A341" i="4" s="1"/>
  <c r="D148" i="4"/>
  <c r="F148" i="4" s="1"/>
  <c r="E107" i="7"/>
  <c r="H27" i="1"/>
  <c r="H67" i="7"/>
  <c r="H17" i="7"/>
  <c r="B106" i="1"/>
  <c r="E24" i="1"/>
  <c r="B108" i="1"/>
  <c r="H46" i="1"/>
  <c r="B157" i="1"/>
  <c r="B131" i="1"/>
  <c r="G4" i="3"/>
  <c r="C139" i="6"/>
  <c r="C134" i="6"/>
  <c r="C143" i="6"/>
  <c r="C146" i="6"/>
  <c r="AD4" i="3"/>
  <c r="E190" i="6"/>
  <c r="D30" i="1"/>
  <c r="I68" i="7" s="1"/>
  <c r="C10" i="8"/>
  <c r="AE4" i="3"/>
  <c r="B197" i="6"/>
  <c r="T19" i="6"/>
  <c r="C142" i="6"/>
  <c r="C141" i="6"/>
  <c r="C145" i="6"/>
  <c r="I71" i="7"/>
  <c r="H5" i="7"/>
  <c r="B75" i="8"/>
  <c r="C196" i="6"/>
  <c r="B196" i="6" s="1"/>
  <c r="C147" i="6"/>
  <c r="E42" i="7"/>
  <c r="E193" i="6"/>
  <c r="E189" i="6"/>
  <c r="C183" i="6"/>
  <c r="J90" i="7"/>
  <c r="F118" i="7" s="1"/>
  <c r="C132" i="6"/>
  <c r="F27" i="7"/>
  <c r="H41" i="7"/>
  <c r="C137" i="6"/>
  <c r="C135" i="6"/>
  <c r="C138" i="6"/>
  <c r="E33" i="6"/>
  <c r="C144" i="6"/>
  <c r="T17" i="6"/>
  <c r="E14" i="7"/>
  <c r="B201" i="6"/>
  <c r="C201" i="6" s="1"/>
  <c r="B186" i="6"/>
  <c r="B200" i="6"/>
  <c r="C200" i="6" s="1"/>
  <c r="E183" i="6"/>
  <c r="B187" i="6"/>
  <c r="E184" i="6"/>
  <c r="B202" i="6"/>
  <c r="E3" i="4"/>
  <c r="C167" i="6" l="1"/>
  <c r="C163" i="6"/>
  <c r="C166" i="6"/>
  <c r="H45" i="7"/>
  <c r="H8" i="10"/>
  <c r="D97" i="4"/>
  <c r="F97" i="4" s="1"/>
  <c r="V215" i="4"/>
  <c r="W251" i="4"/>
  <c r="T241" i="4"/>
  <c r="F82" i="4"/>
  <c r="V166" i="4"/>
  <c r="X165" i="4"/>
  <c r="V126" i="4"/>
  <c r="X125" i="4"/>
  <c r="V251" i="4"/>
  <c r="X131" i="4"/>
  <c r="W131" i="4"/>
  <c r="D128" i="4" s="1"/>
  <c r="V110" i="4"/>
  <c r="T111" i="4"/>
  <c r="D102" i="4"/>
  <c r="F102" i="4" s="1"/>
  <c r="E126" i="6"/>
  <c r="D127" i="6"/>
  <c r="W121" i="4"/>
  <c r="X121" i="4"/>
  <c r="W225" i="4"/>
  <c r="U226" i="4"/>
  <c r="Q194" i="4"/>
  <c r="O196" i="4"/>
  <c r="X256" i="4"/>
  <c r="W256" i="4"/>
  <c r="T201" i="4"/>
  <c r="V200" i="4"/>
  <c r="W215" i="4"/>
  <c r="U216" i="4"/>
  <c r="T236" i="4"/>
  <c r="V235" i="4"/>
  <c r="X241" i="4"/>
  <c r="W241" i="4"/>
  <c r="U191" i="4"/>
  <c r="W190" i="4"/>
  <c r="D157" i="6"/>
  <c r="D137" i="6"/>
  <c r="W4" i="3"/>
  <c r="D139" i="6"/>
  <c r="D133" i="6"/>
  <c r="E133" i="6" s="1"/>
  <c r="D156" i="6"/>
  <c r="D135" i="6"/>
  <c r="E135" i="6" s="1"/>
  <c r="E52" i="7"/>
  <c r="D140" i="6"/>
  <c r="E30" i="6"/>
  <c r="E34" i="6"/>
  <c r="D138" i="6"/>
  <c r="D145" i="6"/>
  <c r="D148" i="6"/>
  <c r="D143" i="6"/>
  <c r="D141" i="6"/>
  <c r="D134" i="6"/>
  <c r="E134" i="6" s="1"/>
  <c r="O20" i="6"/>
  <c r="I28" i="6" s="1"/>
  <c r="D136" i="6"/>
  <c r="E136" i="6" s="1"/>
  <c r="D147" i="6"/>
  <c r="E57" i="7"/>
  <c r="D22" i="10" s="1"/>
  <c r="D142" i="6"/>
  <c r="D155" i="6"/>
  <c r="D132" i="6"/>
  <c r="E132" i="6" s="1"/>
  <c r="C168" i="6"/>
  <c r="C169" i="6" s="1"/>
  <c r="D168" i="6"/>
  <c r="D169" i="6" s="1"/>
  <c r="D144" i="6"/>
  <c r="E53" i="7"/>
  <c r="D146" i="6"/>
  <c r="S27" i="6"/>
  <c r="H12" i="7"/>
  <c r="I16" i="7"/>
  <c r="K49" i="1"/>
  <c r="R27" i="1"/>
  <c r="A323" i="4"/>
  <c r="A330" i="4"/>
  <c r="A331" i="4"/>
  <c r="A343" i="4"/>
  <c r="A339" i="4"/>
  <c r="A327" i="4"/>
  <c r="A338" i="4"/>
  <c r="A320" i="4"/>
  <c r="A332" i="4"/>
  <c r="A337" i="4"/>
  <c r="A340" i="4"/>
  <c r="A318" i="4"/>
  <c r="A333" i="4"/>
  <c r="A328" i="4"/>
  <c r="A342" i="4"/>
  <c r="A325" i="4"/>
  <c r="A336" i="4"/>
  <c r="A317" i="4"/>
  <c r="A346" i="4"/>
  <c r="A322" i="4"/>
  <c r="A329" i="4"/>
  <c r="A321" i="4"/>
  <c r="A326" i="4"/>
  <c r="A345" i="4"/>
  <c r="A319" i="4"/>
  <c r="A324" i="4"/>
  <c r="A335" i="4"/>
  <c r="A344" i="4"/>
  <c r="A334" i="4"/>
  <c r="I4" i="4"/>
  <c r="J2" i="4"/>
  <c r="C4" i="4"/>
  <c r="H4" i="4"/>
  <c r="B4" i="4"/>
  <c r="O4" i="4"/>
  <c r="P4" i="4"/>
  <c r="I3" i="4"/>
  <c r="E4" i="4"/>
  <c r="M3" i="4"/>
  <c r="P3" i="4"/>
  <c r="O3" i="4"/>
  <c r="Q4" i="4"/>
  <c r="H3" i="4"/>
  <c r="S3" i="4"/>
  <c r="F3" i="4"/>
  <c r="D2" i="4"/>
  <c r="V2" i="4"/>
  <c r="H2" i="4"/>
  <c r="T3" i="4"/>
  <c r="N2" i="4"/>
  <c r="W4" i="4"/>
  <c r="L3" i="4"/>
  <c r="B3" i="4"/>
  <c r="X3" i="4"/>
  <c r="U4" i="4"/>
  <c r="W3" i="4"/>
  <c r="G4" i="4"/>
  <c r="V3" i="4"/>
  <c r="F2" i="4"/>
  <c r="Y4" i="4"/>
  <c r="P2" i="4"/>
  <c r="R2" i="4"/>
  <c r="K3" i="4"/>
  <c r="R4" i="4"/>
  <c r="K4" i="4"/>
  <c r="D3" i="4"/>
  <c r="S4" i="4"/>
  <c r="V4" i="4"/>
  <c r="T4" i="4"/>
  <c r="X4" i="4"/>
  <c r="L4" i="4"/>
  <c r="M4" i="4"/>
  <c r="N4" i="4"/>
  <c r="Y3" i="4"/>
  <c r="D4" i="4"/>
  <c r="Q3" i="4"/>
  <c r="N3" i="4"/>
  <c r="T2" i="4"/>
  <c r="U3" i="4"/>
  <c r="L2" i="4"/>
  <c r="G3" i="4"/>
  <c r="Z2" i="4"/>
  <c r="C3" i="4"/>
  <c r="J3" i="4"/>
  <c r="F4" i="4"/>
  <c r="X2" i="4"/>
  <c r="R3" i="4"/>
  <c r="J4" i="4"/>
  <c r="D165" i="6" l="1"/>
  <c r="E165" i="6" s="1"/>
  <c r="D166" i="6"/>
  <c r="E166" i="6" s="1"/>
  <c r="D164" i="6"/>
  <c r="E164" i="6" s="1"/>
  <c r="D167" i="6"/>
  <c r="E167" i="6" s="1"/>
  <c r="D163" i="6"/>
  <c r="E163" i="6" s="1"/>
  <c r="E28" i="6"/>
  <c r="A5" i="3"/>
  <c r="B5" i="3" s="1"/>
  <c r="Z5" i="3" s="1"/>
  <c r="N14" i="6"/>
  <c r="C41" i="10" s="1"/>
  <c r="N12" i="6"/>
  <c r="N13" i="6"/>
  <c r="C207" i="6"/>
  <c r="C206" i="6"/>
  <c r="C208" i="6"/>
  <c r="C205" i="6"/>
  <c r="C210" i="6"/>
  <c r="C209" i="6"/>
  <c r="D248" i="4"/>
  <c r="F248" i="4" s="1"/>
  <c r="D238" i="4"/>
  <c r="D253" i="4"/>
  <c r="F106" i="1"/>
  <c r="F105" i="1"/>
  <c r="F104" i="1"/>
  <c r="H18" i="7"/>
  <c r="F107" i="1"/>
  <c r="F103" i="1"/>
  <c r="E101" i="7"/>
  <c r="C171" i="6"/>
  <c r="C170" i="6"/>
  <c r="E49" i="7"/>
  <c r="E18" i="7"/>
  <c r="T13" i="6"/>
  <c r="T12" i="6"/>
  <c r="C174" i="6"/>
  <c r="M13" i="6"/>
  <c r="D171" i="6"/>
  <c r="B48" i="8"/>
  <c r="C48" i="8" s="1"/>
  <c r="D174" i="6"/>
  <c r="B43" i="8"/>
  <c r="C43" i="8" s="1"/>
  <c r="B49" i="8"/>
  <c r="C49" i="8" s="1"/>
  <c r="B41" i="8"/>
  <c r="C41" i="8" s="1"/>
  <c r="B42" i="8"/>
  <c r="C42" i="8" s="1"/>
  <c r="B44" i="8"/>
  <c r="C44" i="8" s="1"/>
  <c r="D172" i="6"/>
  <c r="D170" i="6"/>
  <c r="D173" i="6"/>
  <c r="B46" i="8"/>
  <c r="C46" i="8" s="1"/>
  <c r="B47" i="8"/>
  <c r="C47" i="8" s="1"/>
  <c r="B45" i="8"/>
  <c r="C45" i="8" s="1"/>
  <c r="D57" i="8"/>
  <c r="E57" i="8" s="1"/>
  <c r="G57" i="8" s="1"/>
  <c r="D66" i="8"/>
  <c r="F66" i="8" s="1"/>
  <c r="I66" i="8" s="1"/>
  <c r="D59" i="8"/>
  <c r="F59" i="8" s="1"/>
  <c r="I59" i="8" s="1"/>
  <c r="D47" i="8"/>
  <c r="E47" i="8" s="1"/>
  <c r="G47" i="8" s="1"/>
  <c r="D51" i="8"/>
  <c r="E51" i="8" s="1"/>
  <c r="G51" i="8" s="1"/>
  <c r="M14" i="6"/>
  <c r="D38" i="10" s="1"/>
  <c r="M12" i="6"/>
  <c r="D52" i="8"/>
  <c r="E52" i="8" s="1"/>
  <c r="G52" i="8" s="1"/>
  <c r="D63" i="8"/>
  <c r="E63" i="8" s="1"/>
  <c r="H63" i="8" s="1"/>
  <c r="D64" i="8"/>
  <c r="E64" i="8" s="1"/>
  <c r="G64" i="8" s="1"/>
  <c r="D53" i="8"/>
  <c r="F53" i="8" s="1"/>
  <c r="I53" i="8" s="1"/>
  <c r="D62" i="8"/>
  <c r="E62" i="8" s="1"/>
  <c r="G62" i="8" s="1"/>
  <c r="D42" i="8"/>
  <c r="E42" i="8" s="1"/>
  <c r="G42" i="8" s="1"/>
  <c r="D65" i="8"/>
  <c r="E65" i="8" s="1"/>
  <c r="H65" i="8" s="1"/>
  <c r="D56" i="8"/>
  <c r="F56" i="8" s="1"/>
  <c r="I56" i="8" s="1"/>
  <c r="D67" i="8"/>
  <c r="F67" i="8" s="1"/>
  <c r="I67" i="8" s="1"/>
  <c r="D55" i="8"/>
  <c r="E55" i="8" s="1"/>
  <c r="H55" i="8" s="1"/>
  <c r="D44" i="8"/>
  <c r="F44" i="8" s="1"/>
  <c r="D60" i="8"/>
  <c r="F60" i="8" s="1"/>
  <c r="I60" i="8" s="1"/>
  <c r="D41" i="8"/>
  <c r="E41" i="8" s="1"/>
  <c r="G41" i="8" s="1"/>
  <c r="D48" i="8"/>
  <c r="F48" i="8" s="1"/>
  <c r="D46" i="8"/>
  <c r="F46" i="8" s="1"/>
  <c r="I46" i="8" s="1"/>
  <c r="D45" i="8"/>
  <c r="E45" i="8" s="1"/>
  <c r="G45" i="8" s="1"/>
  <c r="D43" i="8"/>
  <c r="E43" i="8" s="1"/>
  <c r="G43" i="8" s="1"/>
  <c r="D50" i="8"/>
  <c r="F50" i="8" s="1"/>
  <c r="I50" i="8" s="1"/>
  <c r="D61" i="8"/>
  <c r="E61" i="8" s="1"/>
  <c r="G61" i="8" s="1"/>
  <c r="D54" i="8"/>
  <c r="F54" i="8" s="1"/>
  <c r="I54" i="8" s="1"/>
  <c r="D58" i="8"/>
  <c r="E58" i="8" s="1"/>
  <c r="G58" i="8" s="1"/>
  <c r="D49" i="8"/>
  <c r="E49" i="8" s="1"/>
  <c r="G49" i="8" s="1"/>
  <c r="W166" i="4"/>
  <c r="D163" i="4" s="1"/>
  <c r="F163" i="4" s="1"/>
  <c r="X166" i="4"/>
  <c r="N15" i="6"/>
  <c r="I42" i="7" s="1"/>
  <c r="E127" i="6"/>
  <c r="D128" i="6"/>
  <c r="W110" i="4"/>
  <c r="U111" i="4"/>
  <c r="X126" i="4"/>
  <c r="W126" i="4"/>
  <c r="D123" i="4" s="1"/>
  <c r="D118" i="4"/>
  <c r="F118" i="4" s="1"/>
  <c r="C24" i="1"/>
  <c r="C30" i="1" s="1"/>
  <c r="B43" i="10" s="1"/>
  <c r="R194" i="4"/>
  <c r="P196" i="4"/>
  <c r="W235" i="4"/>
  <c r="U236" i="4"/>
  <c r="W200" i="4"/>
  <c r="U201" i="4"/>
  <c r="X215" i="4"/>
  <c r="V216" i="4"/>
  <c r="V226" i="4"/>
  <c r="X225" i="4"/>
  <c r="X190" i="4"/>
  <c r="V191" i="4"/>
  <c r="I31" i="6"/>
  <c r="C154" i="6" s="1"/>
  <c r="E29" i="6"/>
  <c r="C191" i="6"/>
  <c r="D153" i="6"/>
  <c r="C192" i="6"/>
  <c r="I41" i="7" l="1"/>
  <c r="E35" i="6"/>
  <c r="O22" i="6" s="1"/>
  <c r="O19" i="6" s="1"/>
  <c r="M22" i="6"/>
  <c r="C165" i="6"/>
  <c r="C164" i="6"/>
  <c r="E110" i="7"/>
  <c r="AC5" i="3"/>
  <c r="P5" i="3"/>
  <c r="Q5" i="3" s="1"/>
  <c r="R5" i="3" s="1"/>
  <c r="C204" i="6"/>
  <c r="AA5" i="3"/>
  <c r="AD5" i="3"/>
  <c r="A6" i="3"/>
  <c r="B6" i="3" s="1"/>
  <c r="AC6" i="3" s="1"/>
  <c r="M15" i="6"/>
  <c r="D39" i="10" s="1"/>
  <c r="G63" i="8"/>
  <c r="K63" i="8" s="1"/>
  <c r="E50" i="8"/>
  <c r="H50" i="8" s="1"/>
  <c r="H42" i="8"/>
  <c r="J42" i="8" s="1"/>
  <c r="G55" i="8"/>
  <c r="K55" i="8" s="1"/>
  <c r="E48" i="8"/>
  <c r="G48" i="8" s="1"/>
  <c r="I48" i="8"/>
  <c r="H51" i="8"/>
  <c r="K51" i="8" s="1"/>
  <c r="F57" i="8"/>
  <c r="I57" i="8" s="1"/>
  <c r="H57" i="8"/>
  <c r="J57" i="8" s="1"/>
  <c r="F51" i="8"/>
  <c r="I51" i="8" s="1"/>
  <c r="E67" i="8"/>
  <c r="H67" i="8" s="1"/>
  <c r="H41" i="8"/>
  <c r="J41" i="8" s="1"/>
  <c r="H62" i="8"/>
  <c r="K62" i="8" s="1"/>
  <c r="H58" i="8"/>
  <c r="J58" i="8" s="1"/>
  <c r="H52" i="8"/>
  <c r="K52" i="8" s="1"/>
  <c r="F52" i="8"/>
  <c r="I52" i="8" s="1"/>
  <c r="F47" i="8"/>
  <c r="I47" i="8" s="1"/>
  <c r="C150" i="6"/>
  <c r="F62" i="8"/>
  <c r="I62" i="8" s="1"/>
  <c r="F49" i="8"/>
  <c r="I49" i="8" s="1"/>
  <c r="F63" i="8"/>
  <c r="I63" i="8" s="1"/>
  <c r="H61" i="8"/>
  <c r="K61" i="8" s="1"/>
  <c r="C11" i="8"/>
  <c r="H64" i="8"/>
  <c r="K64" i="8" s="1"/>
  <c r="F55" i="8"/>
  <c r="I55" i="8" s="1"/>
  <c r="F42" i="8"/>
  <c r="I42" i="8" s="1"/>
  <c r="E58" i="7"/>
  <c r="H65" i="7" s="1"/>
  <c r="I44" i="8"/>
  <c r="C10" i="1"/>
  <c r="S4" i="3" s="1"/>
  <c r="T4" i="3" s="1"/>
  <c r="U4" i="3" s="1"/>
  <c r="E53" i="8"/>
  <c r="H53" i="8" s="1"/>
  <c r="E66" i="8"/>
  <c r="H66" i="8" s="1"/>
  <c r="F61" i="8"/>
  <c r="I61" i="8" s="1"/>
  <c r="E46" i="8"/>
  <c r="G46" i="8" s="1"/>
  <c r="J41" i="7"/>
  <c r="G65" i="8"/>
  <c r="K65" i="8" s="1"/>
  <c r="F107" i="7"/>
  <c r="E44" i="8"/>
  <c r="G44" i="8" s="1"/>
  <c r="H47" i="8"/>
  <c r="J47" i="8" s="1"/>
  <c r="H43" i="8"/>
  <c r="J43" i="8" s="1"/>
  <c r="F64" i="8"/>
  <c r="I64" i="8" s="1"/>
  <c r="F65" i="8"/>
  <c r="I65" i="8" s="1"/>
  <c r="H45" i="8"/>
  <c r="J45" i="8" s="1"/>
  <c r="H49" i="8"/>
  <c r="J49" i="8" s="1"/>
  <c r="F58" i="8"/>
  <c r="I58" i="8" s="1"/>
  <c r="I29" i="6"/>
  <c r="F43" i="8"/>
  <c r="I43" i="8" s="1"/>
  <c r="F41" i="8"/>
  <c r="I41" i="8" s="1"/>
  <c r="E60" i="8"/>
  <c r="H60" i="8" s="1"/>
  <c r="E59" i="8"/>
  <c r="G59" i="8" s="1"/>
  <c r="F45" i="8"/>
  <c r="I45" i="8" s="1"/>
  <c r="E54" i="8"/>
  <c r="H54" i="8" s="1"/>
  <c r="E56" i="8"/>
  <c r="G56" i="8" s="1"/>
  <c r="V111" i="4"/>
  <c r="X110" i="4"/>
  <c r="E128" i="6"/>
  <c r="D129" i="6"/>
  <c r="H71" i="7"/>
  <c r="X200" i="4"/>
  <c r="V201" i="4"/>
  <c r="S194" i="4"/>
  <c r="Q196" i="4"/>
  <c r="W226" i="4"/>
  <c r="X226" i="4"/>
  <c r="X191" i="4"/>
  <c r="W191" i="4"/>
  <c r="W216" i="4"/>
  <c r="D213" i="4" s="1"/>
  <c r="F213" i="4" s="1"/>
  <c r="X216" i="4"/>
  <c r="V236" i="4"/>
  <c r="X235" i="4"/>
  <c r="B192" i="6"/>
  <c r="H28" i="6"/>
  <c r="C153" i="6"/>
  <c r="H16" i="7"/>
  <c r="K47" i="1"/>
  <c r="P27" i="1"/>
  <c r="H68" i="7"/>
  <c r="P28" i="1"/>
  <c r="M19" i="6" l="1"/>
  <c r="H31" i="6" s="1"/>
  <c r="H29" i="6" s="1"/>
  <c r="H47" i="7" s="1"/>
  <c r="AD6" i="3"/>
  <c r="Z6" i="3"/>
  <c r="F108" i="7"/>
  <c r="C149" i="6"/>
  <c r="A7" i="3"/>
  <c r="B7" i="3" s="1"/>
  <c r="P7" i="3" s="1"/>
  <c r="Q7" i="3" s="1"/>
  <c r="R7" i="3" s="1"/>
  <c r="J42" i="7"/>
  <c r="B191" i="6"/>
  <c r="C155" i="6"/>
  <c r="J63" i="8"/>
  <c r="L63" i="8" s="1"/>
  <c r="AA6" i="3"/>
  <c r="P6" i="3"/>
  <c r="Q6" i="3" s="1"/>
  <c r="R6" i="3" s="1"/>
  <c r="C190" i="6"/>
  <c r="H9" i="10"/>
  <c r="G50" i="8"/>
  <c r="J50" i="8" s="1"/>
  <c r="K42" i="8"/>
  <c r="M42" i="8" s="1"/>
  <c r="J55" i="8"/>
  <c r="L55" i="8" s="1"/>
  <c r="K41" i="8"/>
  <c r="L41" i="8" s="1"/>
  <c r="K57" i="8"/>
  <c r="M57" i="8" s="1"/>
  <c r="H48" i="8"/>
  <c r="J48" i="8" s="1"/>
  <c r="M51" i="8"/>
  <c r="J51" i="8"/>
  <c r="L51" i="8" s="1"/>
  <c r="K58" i="8"/>
  <c r="L58" i="8" s="1"/>
  <c r="G67" i="8"/>
  <c r="J67" i="8" s="1"/>
  <c r="J62" i="8"/>
  <c r="L62" i="8" s="1"/>
  <c r="M52" i="8"/>
  <c r="J52" i="8"/>
  <c r="L52" i="8" s="1"/>
  <c r="G66" i="8"/>
  <c r="J66" i="8" s="1"/>
  <c r="M62" i="8"/>
  <c r="J64" i="8"/>
  <c r="L64" i="8" s="1"/>
  <c r="J61" i="8"/>
  <c r="L61" i="8" s="1"/>
  <c r="H56" i="8"/>
  <c r="J56" i="8" s="1"/>
  <c r="M63" i="8"/>
  <c r="J65" i="8"/>
  <c r="L65" i="8" s="1"/>
  <c r="K43" i="8"/>
  <c r="L43" i="8" s="1"/>
  <c r="M55" i="8"/>
  <c r="K47" i="8"/>
  <c r="L47" i="8" s="1"/>
  <c r="G53" i="8"/>
  <c r="K53" i="8" s="1"/>
  <c r="M53" i="8" s="1"/>
  <c r="C194" i="6"/>
  <c r="D152" i="6"/>
  <c r="H13" i="7"/>
  <c r="S5" i="3"/>
  <c r="T5" i="3" s="1"/>
  <c r="E5" i="3" s="1"/>
  <c r="H5" i="3" s="1"/>
  <c r="H44" i="8"/>
  <c r="J44" i="8" s="1"/>
  <c r="K49" i="8"/>
  <c r="L49" i="8" s="1"/>
  <c r="I30" i="6"/>
  <c r="K45" i="8"/>
  <c r="M45" i="8" s="1"/>
  <c r="I14" i="7"/>
  <c r="H46" i="8"/>
  <c r="J46" i="8" s="1"/>
  <c r="M64" i="8"/>
  <c r="I47" i="7"/>
  <c r="M61" i="8"/>
  <c r="G54" i="8"/>
  <c r="J54" i="8" s="1"/>
  <c r="M65" i="8"/>
  <c r="H46" i="7"/>
  <c r="G60" i="8"/>
  <c r="J60" i="8" s="1"/>
  <c r="H59" i="8"/>
  <c r="J59" i="8" s="1"/>
  <c r="D223" i="4"/>
  <c r="F223" i="4" s="1"/>
  <c r="X111" i="4"/>
  <c r="W111" i="4"/>
  <c r="D188" i="4"/>
  <c r="D130" i="6"/>
  <c r="E130" i="6" s="1"/>
  <c r="E129" i="6"/>
  <c r="S28" i="6"/>
  <c r="C193" i="6"/>
  <c r="F188" i="4"/>
  <c r="X236" i="4"/>
  <c r="W236" i="4"/>
  <c r="R196" i="4"/>
  <c r="T194" i="4"/>
  <c r="W201" i="4"/>
  <c r="X201" i="4"/>
  <c r="H32" i="6" l="1"/>
  <c r="C151" i="6"/>
  <c r="B193" i="6"/>
  <c r="C152" i="6"/>
  <c r="I32" i="6"/>
  <c r="C157" i="6"/>
  <c r="C156" i="6" s="1"/>
  <c r="B194" i="6"/>
  <c r="H30" i="6"/>
  <c r="H33" i="6" s="1"/>
  <c r="H12" i="10" s="1"/>
  <c r="S29" i="6"/>
  <c r="B190" i="6"/>
  <c r="H14" i="7"/>
  <c r="A8" i="3"/>
  <c r="B8" i="3" s="1"/>
  <c r="AC8" i="3" s="1"/>
  <c r="AC7" i="3"/>
  <c r="AD7" i="3"/>
  <c r="AA7" i="3"/>
  <c r="Z7" i="3"/>
  <c r="K50" i="8"/>
  <c r="M50" i="8" s="1"/>
  <c r="M58" i="8"/>
  <c r="M41" i="8"/>
  <c r="L42" i="8"/>
  <c r="L57" i="8"/>
  <c r="K48" i="8"/>
  <c r="L48" i="8" s="1"/>
  <c r="K67" i="8"/>
  <c r="M67" i="8" s="1"/>
  <c r="K56" i="8"/>
  <c r="M56" i="8" s="1"/>
  <c r="K66" i="8"/>
  <c r="M66" i="8" s="1"/>
  <c r="S6" i="3"/>
  <c r="S7" i="3" s="1"/>
  <c r="T7" i="3" s="1"/>
  <c r="M47" i="8"/>
  <c r="K44" i="8"/>
  <c r="M44" i="8" s="1"/>
  <c r="M49" i="8"/>
  <c r="M43" i="8"/>
  <c r="J53" i="8"/>
  <c r="L53" i="8" s="1"/>
  <c r="AH5" i="3"/>
  <c r="AG5" i="3"/>
  <c r="L45" i="8"/>
  <c r="D5" i="3"/>
  <c r="G5" i="3" s="1"/>
  <c r="I48" i="7"/>
  <c r="K46" i="8"/>
  <c r="M46" i="8" s="1"/>
  <c r="K54" i="8"/>
  <c r="M54" i="8" s="1"/>
  <c r="I15" i="7"/>
  <c r="P8" i="3"/>
  <c r="Q8" i="3" s="1"/>
  <c r="R8" i="3" s="1"/>
  <c r="D198" i="4"/>
  <c r="F198" i="4" s="1"/>
  <c r="K60" i="8"/>
  <c r="M60" i="8" s="1"/>
  <c r="D108" i="4"/>
  <c r="F108" i="4" s="1"/>
  <c r="K59" i="8"/>
  <c r="M59" i="8" s="1"/>
  <c r="D233" i="4"/>
  <c r="F233" i="4" s="1"/>
  <c r="U194" i="4"/>
  <c r="S196" i="4"/>
  <c r="K5" i="3"/>
  <c r="H15" i="7" l="1"/>
  <c r="H48" i="7"/>
  <c r="S30" i="6"/>
  <c r="A9" i="3"/>
  <c r="B9" i="3" s="1"/>
  <c r="P9" i="3" s="1"/>
  <c r="Q9" i="3" s="1"/>
  <c r="R9" i="3" s="1"/>
  <c r="Z8" i="3"/>
  <c r="AD8" i="3"/>
  <c r="AA8" i="3"/>
  <c r="L67" i="8"/>
  <c r="L50" i="8"/>
  <c r="M48" i="8"/>
  <c r="L66" i="8"/>
  <c r="L56" i="8"/>
  <c r="T6" i="3"/>
  <c r="S8" i="3"/>
  <c r="L44" i="8"/>
  <c r="L46" i="8"/>
  <c r="L54" i="8"/>
  <c r="F5" i="3"/>
  <c r="L60" i="8"/>
  <c r="L59" i="8"/>
  <c r="T196" i="4"/>
  <c r="V194" i="4"/>
  <c r="M5" i="3"/>
  <c r="N5" i="3" s="1"/>
  <c r="I5" i="3"/>
  <c r="J5" i="3"/>
  <c r="V5" i="3"/>
  <c r="AE5" i="3"/>
  <c r="AD9" i="3" l="1"/>
  <c r="Z9" i="3"/>
  <c r="AC9" i="3"/>
  <c r="AA9" i="3"/>
  <c r="S9" i="3"/>
  <c r="T9" i="3" s="1"/>
  <c r="A10" i="3"/>
  <c r="B10" i="3" s="1"/>
  <c r="Z10" i="3" s="1"/>
  <c r="T8" i="3"/>
  <c r="U196" i="4"/>
  <c r="W194" i="4"/>
  <c r="W5" i="3"/>
  <c r="L5" i="3"/>
  <c r="AA10" i="3" l="1"/>
  <c r="P10" i="3"/>
  <c r="Q10" i="3" s="1"/>
  <c r="R10" i="3" s="1"/>
  <c r="S10" i="3" s="1"/>
  <c r="T10" i="3" s="1"/>
  <c r="A11" i="3"/>
  <c r="B11" i="3" s="1"/>
  <c r="AC11" i="3" s="1"/>
  <c r="AC10" i="3"/>
  <c r="AD10" i="3"/>
  <c r="V196" i="4"/>
  <c r="W196" i="4"/>
  <c r="U5" i="3"/>
  <c r="D6" i="3" s="1"/>
  <c r="AG6" i="3"/>
  <c r="AH6" i="3"/>
  <c r="Z11" i="3" l="1"/>
  <c r="A12" i="3"/>
  <c r="B12" i="3" s="1"/>
  <c r="Z12" i="3" s="1"/>
  <c r="AA11" i="3"/>
  <c r="AD11" i="3"/>
  <c r="P11" i="3"/>
  <c r="Q11" i="3" s="1"/>
  <c r="R11" i="3" s="1"/>
  <c r="S11" i="3" s="1"/>
  <c r="T11" i="3" s="1"/>
  <c r="D193" i="4"/>
  <c r="E6" i="3"/>
  <c r="H6" i="3" s="1"/>
  <c r="K6" i="3" s="1"/>
  <c r="G6" i="3"/>
  <c r="AA12" i="3" l="1"/>
  <c r="A13" i="3"/>
  <c r="B13" i="3" s="1"/>
  <c r="AC13" i="3" s="1"/>
  <c r="P12" i="3"/>
  <c r="Q12" i="3" s="1"/>
  <c r="R12" i="3" s="1"/>
  <c r="S12" i="3" s="1"/>
  <c r="T12" i="3" s="1"/>
  <c r="AD12" i="3"/>
  <c r="AC12" i="3"/>
  <c r="F193" i="4"/>
  <c r="M36" i="6" s="1"/>
  <c r="F6" i="3"/>
  <c r="I6" i="3"/>
  <c r="J6" i="3"/>
  <c r="M6" i="3"/>
  <c r="N6" i="3" s="1"/>
  <c r="V6" i="3"/>
  <c r="AE6" i="3"/>
  <c r="AA13" i="3" l="1"/>
  <c r="A14" i="3"/>
  <c r="B14" i="3" s="1"/>
  <c r="P14" i="3" s="1"/>
  <c r="Q14" i="3" s="1"/>
  <c r="R14" i="3" s="1"/>
  <c r="AD13" i="3"/>
  <c r="P13" i="3"/>
  <c r="Q13" i="3" s="1"/>
  <c r="R13" i="3" s="1"/>
  <c r="S13" i="3" s="1"/>
  <c r="Z13" i="3"/>
  <c r="N34" i="1"/>
  <c r="W6" i="3"/>
  <c r="L6" i="3"/>
  <c r="Z14" i="3" l="1"/>
  <c r="AC14" i="3"/>
  <c r="AD14" i="3"/>
  <c r="AA14" i="3"/>
  <c r="A15" i="3"/>
  <c r="B15" i="3" s="1"/>
  <c r="AC15" i="3" s="1"/>
  <c r="S14" i="3"/>
  <c r="T14" i="3" s="1"/>
  <c r="T13" i="3"/>
  <c r="AH7" i="3"/>
  <c r="AG7" i="3"/>
  <c r="U6" i="3"/>
  <c r="D7" i="3" s="1"/>
  <c r="Y5" i="3"/>
  <c r="A16" i="3" l="1"/>
  <c r="B16" i="3" s="1"/>
  <c r="P16" i="3" s="1"/>
  <c r="Q16" i="3" s="1"/>
  <c r="R16" i="3" s="1"/>
  <c r="AA15" i="3"/>
  <c r="AD15" i="3"/>
  <c r="Z15" i="3"/>
  <c r="P15" i="3"/>
  <c r="Q15" i="3" s="1"/>
  <c r="R15" i="3" s="1"/>
  <c r="S15" i="3" s="1"/>
  <c r="T15" i="3" s="1"/>
  <c r="G7" i="3"/>
  <c r="E7" i="3"/>
  <c r="H7" i="3" s="1"/>
  <c r="A17" i="3" l="1"/>
  <c r="B17" i="3" s="1"/>
  <c r="A18" i="3" s="1"/>
  <c r="B18" i="3" s="1"/>
  <c r="AC18" i="3" s="1"/>
  <c r="AD16" i="3"/>
  <c r="AA16" i="3"/>
  <c r="Z16" i="3"/>
  <c r="AC16" i="3"/>
  <c r="S16" i="3"/>
  <c r="T16" i="3" s="1"/>
  <c r="F7" i="3"/>
  <c r="I7" i="3"/>
  <c r="J7" i="3"/>
  <c r="M7" i="3"/>
  <c r="N7" i="3" s="1"/>
  <c r="K7" i="3"/>
  <c r="Z18" i="3" l="1"/>
  <c r="A19" i="3"/>
  <c r="B19" i="3" s="1"/>
  <c r="Z19" i="3" s="1"/>
  <c r="AA17" i="3"/>
  <c r="P17" i="3"/>
  <c r="Q17" i="3" s="1"/>
  <c r="R17" i="3" s="1"/>
  <c r="S17" i="3" s="1"/>
  <c r="T17" i="3" s="1"/>
  <c r="AC17" i="3"/>
  <c r="P18" i="3"/>
  <c r="Q18" i="3" s="1"/>
  <c r="R18" i="3" s="1"/>
  <c r="AD18" i="3"/>
  <c r="AA18" i="3"/>
  <c r="AD17" i="3"/>
  <c r="Z17" i="3"/>
  <c r="P19" i="3"/>
  <c r="Q19" i="3" s="1"/>
  <c r="R19" i="3" s="1"/>
  <c r="A20" i="3"/>
  <c r="B20" i="3" s="1"/>
  <c r="AA19" i="3"/>
  <c r="AC19" i="3"/>
  <c r="L7" i="3"/>
  <c r="V7" i="3"/>
  <c r="W7" i="3" s="1"/>
  <c r="AE7" i="3"/>
  <c r="AD19" i="3" l="1"/>
  <c r="S18" i="3"/>
  <c r="S19" i="3" s="1"/>
  <c r="AH8" i="3"/>
  <c r="U7" i="3"/>
  <c r="D8" i="3" s="1"/>
  <c r="AG8" i="3"/>
  <c r="Y6" i="3"/>
  <c r="P20" i="3"/>
  <c r="Q20" i="3" s="1"/>
  <c r="R20" i="3" s="1"/>
  <c r="A21" i="3"/>
  <c r="B21" i="3" s="1"/>
  <c r="AA20" i="3"/>
  <c r="Z20" i="3"/>
  <c r="AD20" i="3"/>
  <c r="AC20" i="3"/>
  <c r="T18" i="3" l="1"/>
  <c r="E8" i="3"/>
  <c r="H8" i="3" s="1"/>
  <c r="K8" i="3" s="1"/>
  <c r="AD21" i="3"/>
  <c r="P21" i="3"/>
  <c r="Q21" i="3" s="1"/>
  <c r="R21" i="3" s="1"/>
  <c r="AC21" i="3"/>
  <c r="AA21" i="3"/>
  <c r="Z21" i="3"/>
  <c r="A22" i="3"/>
  <c r="B22" i="3" s="1"/>
  <c r="G8" i="3"/>
  <c r="S20" i="3"/>
  <c r="T19" i="3"/>
  <c r="F8" i="3" l="1"/>
  <c r="AC22" i="3"/>
  <c r="A23" i="3"/>
  <c r="B23" i="3" s="1"/>
  <c r="AD22" i="3"/>
  <c r="AA22" i="3"/>
  <c r="Z22" i="3"/>
  <c r="P22" i="3"/>
  <c r="Q22" i="3" s="1"/>
  <c r="R22" i="3" s="1"/>
  <c r="I8" i="3"/>
  <c r="J8" i="3"/>
  <c r="M8" i="3"/>
  <c r="N8" i="3" s="1"/>
  <c r="V8" i="3"/>
  <c r="AE8" i="3"/>
  <c r="T20" i="3"/>
  <c r="S21" i="3"/>
  <c r="W8" i="3" l="1"/>
  <c r="A24" i="3"/>
  <c r="B24" i="3" s="1"/>
  <c r="Z23" i="3"/>
  <c r="AA23" i="3"/>
  <c r="AC23" i="3"/>
  <c r="AD23" i="3"/>
  <c r="P23" i="3"/>
  <c r="Q23" i="3" s="1"/>
  <c r="R23" i="3" s="1"/>
  <c r="T21" i="3"/>
  <c r="S22" i="3"/>
  <c r="L8" i="3"/>
  <c r="U8" i="3" l="1"/>
  <c r="D9" i="3" s="1"/>
  <c r="AH9" i="3"/>
  <c r="AG9" i="3"/>
  <c r="Y7" i="3"/>
  <c r="AA24" i="3"/>
  <c r="Z24" i="3"/>
  <c r="AC24" i="3"/>
  <c r="AD24" i="3"/>
  <c r="A25" i="3"/>
  <c r="B25" i="3" s="1"/>
  <c r="P24" i="3"/>
  <c r="Q24" i="3" s="1"/>
  <c r="R24" i="3" s="1"/>
  <c r="T22" i="3"/>
  <c r="S23" i="3"/>
  <c r="E9" i="3" l="1"/>
  <c r="H9" i="3" s="1"/>
  <c r="K9" i="3" s="1"/>
  <c r="P25" i="3"/>
  <c r="Q25" i="3" s="1"/>
  <c r="R25" i="3" s="1"/>
  <c r="Z25" i="3"/>
  <c r="A26" i="3"/>
  <c r="B26" i="3" s="1"/>
  <c r="AC25" i="3"/>
  <c r="AA25" i="3"/>
  <c r="AD25" i="3"/>
  <c r="S24" i="3"/>
  <c r="T23" i="3"/>
  <c r="G9" i="3"/>
  <c r="F9" i="3" l="1"/>
  <c r="AD26" i="3"/>
  <c r="P26" i="3"/>
  <c r="Q26" i="3" s="1"/>
  <c r="R26" i="3" s="1"/>
  <c r="A27" i="3"/>
  <c r="B27" i="3" s="1"/>
  <c r="AA26" i="3"/>
  <c r="Z26" i="3"/>
  <c r="AC26" i="3"/>
  <c r="S25" i="3"/>
  <c r="T24" i="3"/>
  <c r="V9" i="3"/>
  <c r="AE9" i="3"/>
  <c r="I9" i="3"/>
  <c r="J9" i="3"/>
  <c r="M9" i="3"/>
  <c r="N9" i="3" s="1"/>
  <c r="W9" i="3" l="1"/>
  <c r="P27" i="3"/>
  <c r="Q27" i="3" s="1"/>
  <c r="R27" i="3" s="1"/>
  <c r="Z27" i="3"/>
  <c r="AA27" i="3"/>
  <c r="AD27" i="3"/>
  <c r="A28" i="3"/>
  <c r="B28" i="3" s="1"/>
  <c r="AC27" i="3"/>
  <c r="S26" i="3"/>
  <c r="T25" i="3"/>
  <c r="L9" i="3"/>
  <c r="Z28" i="3" l="1"/>
  <c r="P28" i="3"/>
  <c r="Q28" i="3" s="1"/>
  <c r="R28" i="3" s="1"/>
  <c r="A29" i="3"/>
  <c r="B29" i="3" s="1"/>
  <c r="AA28" i="3"/>
  <c r="AC28" i="3"/>
  <c r="AD28" i="3"/>
  <c r="AH10" i="3"/>
  <c r="U9" i="3"/>
  <c r="E10" i="3" s="1"/>
  <c r="H10" i="3" s="1"/>
  <c r="AG10" i="3"/>
  <c r="Y8" i="3"/>
  <c r="T26" i="3"/>
  <c r="S27" i="3"/>
  <c r="K10" i="3" l="1"/>
  <c r="S28" i="3"/>
  <c r="T27" i="3"/>
  <c r="AC29" i="3"/>
  <c r="P29" i="3"/>
  <c r="Q29" i="3" s="1"/>
  <c r="R29" i="3" s="1"/>
  <c r="A30" i="3"/>
  <c r="B30" i="3" s="1"/>
  <c r="AD29" i="3"/>
  <c r="Z29" i="3"/>
  <c r="AA29" i="3"/>
  <c r="D10" i="3"/>
  <c r="Z30" i="3" l="1"/>
  <c r="P30" i="3"/>
  <c r="Q30" i="3" s="1"/>
  <c r="R30" i="3" s="1"/>
  <c r="AC30" i="3"/>
  <c r="AA30" i="3"/>
  <c r="AD30" i="3"/>
  <c r="A31" i="3"/>
  <c r="B31" i="3" s="1"/>
  <c r="F10" i="3"/>
  <c r="G10" i="3"/>
  <c r="V10" i="3"/>
  <c r="AE10" i="3"/>
  <c r="T28" i="3"/>
  <c r="S29" i="3"/>
  <c r="I10" i="3" l="1"/>
  <c r="W10" i="3" s="1"/>
  <c r="J10" i="3"/>
  <c r="M10" i="3"/>
  <c r="N10" i="3" s="1"/>
  <c r="AC31" i="3"/>
  <c r="A32" i="3"/>
  <c r="B32" i="3" s="1"/>
  <c r="Z31" i="3"/>
  <c r="P31" i="3"/>
  <c r="Q31" i="3" s="1"/>
  <c r="R31" i="3" s="1"/>
  <c r="AD31" i="3"/>
  <c r="AA31" i="3"/>
  <c r="S30" i="3"/>
  <c r="T29" i="3"/>
  <c r="A33" i="3" l="1"/>
  <c r="B33" i="3" s="1"/>
  <c r="Z32" i="3"/>
  <c r="P32" i="3"/>
  <c r="Q32" i="3" s="1"/>
  <c r="R32" i="3" s="1"/>
  <c r="AD32" i="3"/>
  <c r="AC32" i="3"/>
  <c r="AA32" i="3"/>
  <c r="L10" i="3"/>
  <c r="T30" i="3"/>
  <c r="S31" i="3"/>
  <c r="P33" i="3" l="1"/>
  <c r="Q33" i="3" s="1"/>
  <c r="R33" i="3" s="1"/>
  <c r="AC33" i="3"/>
  <c r="A34" i="3"/>
  <c r="B34" i="3" s="1"/>
  <c r="AA33" i="3"/>
  <c r="Z33" i="3"/>
  <c r="AD33" i="3"/>
  <c r="AG11" i="3"/>
  <c r="AH11" i="3"/>
  <c r="U10" i="3"/>
  <c r="E11" i="3" s="1"/>
  <c r="H11" i="3" s="1"/>
  <c r="Y9" i="3"/>
  <c r="T31" i="3"/>
  <c r="S32" i="3"/>
  <c r="K11" i="3" l="1"/>
  <c r="T32" i="3"/>
  <c r="S33" i="3"/>
  <c r="Z34" i="3"/>
  <c r="P34" i="3"/>
  <c r="Q34" i="3" s="1"/>
  <c r="R34" i="3" s="1"/>
  <c r="AC34" i="3"/>
  <c r="AD34" i="3"/>
  <c r="A35" i="3"/>
  <c r="B35" i="3" s="1"/>
  <c r="AA34" i="3"/>
  <c r="D11" i="3"/>
  <c r="S34" i="3" l="1"/>
  <c r="T33" i="3"/>
  <c r="V11" i="3"/>
  <c r="AE11" i="3"/>
  <c r="A36" i="3"/>
  <c r="B36" i="3" s="1"/>
  <c r="Z35" i="3"/>
  <c r="AD35" i="3"/>
  <c r="AA35" i="3"/>
  <c r="AC35" i="3"/>
  <c r="P35" i="3"/>
  <c r="Q35" i="3" s="1"/>
  <c r="R35" i="3" s="1"/>
  <c r="F11" i="3"/>
  <c r="G11" i="3"/>
  <c r="S35" i="3" l="1"/>
  <c r="T34" i="3"/>
  <c r="AD36" i="3"/>
  <c r="AA36" i="3"/>
  <c r="P36" i="3"/>
  <c r="Q36" i="3" s="1"/>
  <c r="R36" i="3" s="1"/>
  <c r="Z36" i="3"/>
  <c r="A37" i="3"/>
  <c r="B37" i="3" s="1"/>
  <c r="AC36" i="3"/>
  <c r="I11" i="3"/>
  <c r="W11" i="3" s="1"/>
  <c r="J11" i="3"/>
  <c r="M11" i="3"/>
  <c r="N11" i="3" s="1"/>
  <c r="AD37" i="3" l="1"/>
  <c r="Z37" i="3"/>
  <c r="AA37" i="3"/>
  <c r="AC37" i="3"/>
  <c r="P37" i="3"/>
  <c r="Q37" i="3" s="1"/>
  <c r="R37" i="3" s="1"/>
  <c r="A38" i="3"/>
  <c r="B38" i="3" s="1"/>
  <c r="L11" i="3"/>
  <c r="T35" i="3"/>
  <c r="S36" i="3"/>
  <c r="P38" i="3" l="1"/>
  <c r="Q38" i="3" s="1"/>
  <c r="R38" i="3" s="1"/>
  <c r="A39" i="3"/>
  <c r="B39" i="3" s="1"/>
  <c r="AC38" i="3"/>
  <c r="AA38" i="3"/>
  <c r="AD38" i="3"/>
  <c r="Z38" i="3"/>
  <c r="AH12" i="3"/>
  <c r="U11" i="3"/>
  <c r="E12" i="3" s="1"/>
  <c r="H12" i="3" s="1"/>
  <c r="AG12" i="3"/>
  <c r="Y10" i="3"/>
  <c r="T36" i="3"/>
  <c r="S37" i="3"/>
  <c r="D12" i="3" l="1"/>
  <c r="G12" i="3" s="1"/>
  <c r="S38" i="3"/>
  <c r="T37" i="3"/>
  <c r="K12" i="3"/>
  <c r="AC39" i="3"/>
  <c r="P39" i="3"/>
  <c r="Q39" i="3" s="1"/>
  <c r="R39" i="3" s="1"/>
  <c r="AD39" i="3"/>
  <c r="Z39" i="3"/>
  <c r="A40" i="3"/>
  <c r="B40" i="3" s="1"/>
  <c r="AA39" i="3"/>
  <c r="F12" i="3" l="1"/>
  <c r="P40" i="3"/>
  <c r="Q40" i="3" s="1"/>
  <c r="R40" i="3" s="1"/>
  <c r="AA40" i="3"/>
  <c r="A41" i="3"/>
  <c r="B41" i="3" s="1"/>
  <c r="AC40" i="3"/>
  <c r="Z40" i="3"/>
  <c r="AD40" i="3"/>
  <c r="V12" i="3"/>
  <c r="AE12" i="3"/>
  <c r="S39" i="3"/>
  <c r="T38" i="3"/>
  <c r="I12" i="3"/>
  <c r="J12" i="3"/>
  <c r="M12" i="3"/>
  <c r="N12" i="3" s="1"/>
  <c r="W12" i="3" l="1"/>
  <c r="P41" i="3"/>
  <c r="Q41" i="3" s="1"/>
  <c r="R41" i="3" s="1"/>
  <c r="AC41" i="3"/>
  <c r="A42" i="3"/>
  <c r="B42" i="3" s="1"/>
  <c r="AA41" i="3"/>
  <c r="Z41" i="3"/>
  <c r="AD41" i="3"/>
  <c r="L12" i="3"/>
  <c r="T39" i="3"/>
  <c r="S40" i="3"/>
  <c r="AG13" i="3" l="1"/>
  <c r="U12" i="3"/>
  <c r="E13" i="3" s="1"/>
  <c r="H13" i="3" s="1"/>
  <c r="AH13" i="3"/>
  <c r="Y11" i="3"/>
  <c r="P42" i="3"/>
  <c r="Q42" i="3" s="1"/>
  <c r="R42" i="3" s="1"/>
  <c r="Z42" i="3"/>
  <c r="AA42" i="3"/>
  <c r="A43" i="3"/>
  <c r="B43" i="3" s="1"/>
  <c r="AD42" i="3"/>
  <c r="AC42" i="3"/>
  <c r="S41" i="3"/>
  <c r="T40" i="3"/>
  <c r="D13" i="3" l="1"/>
  <c r="F13" i="3" s="1"/>
  <c r="K13" i="3"/>
  <c r="AC43" i="3"/>
  <c r="P43" i="3"/>
  <c r="Q43" i="3" s="1"/>
  <c r="R43" i="3" s="1"/>
  <c r="AD43" i="3"/>
  <c r="Z43" i="3"/>
  <c r="A44" i="3"/>
  <c r="B44" i="3" s="1"/>
  <c r="AA43" i="3"/>
  <c r="T41" i="3"/>
  <c r="S42" i="3"/>
  <c r="G13" i="3" l="1"/>
  <c r="I13" i="3" s="1"/>
  <c r="AA44" i="3"/>
  <c r="P44" i="3"/>
  <c r="Q44" i="3" s="1"/>
  <c r="R44" i="3" s="1"/>
  <c r="AD44" i="3"/>
  <c r="A45" i="3"/>
  <c r="B45" i="3" s="1"/>
  <c r="Z44" i="3"/>
  <c r="AC44" i="3"/>
  <c r="T42" i="3"/>
  <c r="S43" i="3"/>
  <c r="V13" i="3"/>
  <c r="AE13" i="3"/>
  <c r="J13" i="3" l="1"/>
  <c r="L13" i="3" s="1"/>
  <c r="M13" i="3"/>
  <c r="N13" i="3" s="1"/>
  <c r="P45" i="3"/>
  <c r="Q45" i="3" s="1"/>
  <c r="R45" i="3" s="1"/>
  <c r="A46" i="3"/>
  <c r="B46" i="3" s="1"/>
  <c r="AA45" i="3"/>
  <c r="AD45" i="3"/>
  <c r="Z45" i="3"/>
  <c r="AC45" i="3"/>
  <c r="S44" i="3"/>
  <c r="T43" i="3"/>
  <c r="W13" i="3"/>
  <c r="P46" i="3" l="1"/>
  <c r="Q46" i="3" s="1"/>
  <c r="R46" i="3" s="1"/>
  <c r="AA46" i="3"/>
  <c r="AD46" i="3"/>
  <c r="A47" i="3"/>
  <c r="B47" i="3" s="1"/>
  <c r="Z46" i="3"/>
  <c r="AC46" i="3"/>
  <c r="S45" i="3"/>
  <c r="T44" i="3"/>
  <c r="AH14" i="3"/>
  <c r="AG14" i="3"/>
  <c r="U13" i="3"/>
  <c r="D14" i="3" s="1"/>
  <c r="Y12" i="3"/>
  <c r="E14" i="3" l="1"/>
  <c r="H14" i="3" s="1"/>
  <c r="K14" i="3" s="1"/>
  <c r="AD47" i="3"/>
  <c r="AA47" i="3"/>
  <c r="P47" i="3"/>
  <c r="Q47" i="3" s="1"/>
  <c r="R47" i="3" s="1"/>
  <c r="A48" i="3"/>
  <c r="B48" i="3" s="1"/>
  <c r="Z47" i="3"/>
  <c r="AC47" i="3"/>
  <c r="S46" i="3"/>
  <c r="T45" i="3"/>
  <c r="G14" i="3"/>
  <c r="F14" i="3" l="1"/>
  <c r="AC48" i="3"/>
  <c r="Z48" i="3"/>
  <c r="AA48" i="3"/>
  <c r="A49" i="3"/>
  <c r="B49" i="3" s="1"/>
  <c r="AD48" i="3"/>
  <c r="P48" i="3"/>
  <c r="Q48" i="3" s="1"/>
  <c r="R48" i="3" s="1"/>
  <c r="V14" i="3"/>
  <c r="AE14" i="3"/>
  <c r="I14" i="3"/>
  <c r="J14" i="3"/>
  <c r="M14" i="3"/>
  <c r="N14" i="3" s="1"/>
  <c r="S47" i="3"/>
  <c r="T46" i="3"/>
  <c r="T47" i="3" l="1"/>
  <c r="S48" i="3"/>
  <c r="A50" i="3"/>
  <c r="B50" i="3" s="1"/>
  <c r="P49" i="3"/>
  <c r="Q49" i="3" s="1"/>
  <c r="R49" i="3" s="1"/>
  <c r="AC49" i="3"/>
  <c r="AD49" i="3"/>
  <c r="AA49" i="3"/>
  <c r="Z49" i="3"/>
  <c r="W14" i="3"/>
  <c r="L14" i="3"/>
  <c r="U14" i="3" l="1"/>
  <c r="E15" i="3" s="1"/>
  <c r="H15" i="3" s="1"/>
  <c r="AG15" i="3"/>
  <c r="AH15" i="3"/>
  <c r="Y13" i="3"/>
  <c r="Z50" i="3"/>
  <c r="AA50" i="3"/>
  <c r="P50" i="3"/>
  <c r="Q50" i="3" s="1"/>
  <c r="R50" i="3" s="1"/>
  <c r="A51" i="3"/>
  <c r="B51" i="3" s="1"/>
  <c r="AD50" i="3"/>
  <c r="AC50" i="3"/>
  <c r="T48" i="3"/>
  <c r="S49" i="3"/>
  <c r="D15" i="3" l="1"/>
  <c r="F15" i="3" s="1"/>
  <c r="AD51" i="3"/>
  <c r="A52" i="3"/>
  <c r="B52" i="3" s="1"/>
  <c r="P51" i="3"/>
  <c r="Q51" i="3" s="1"/>
  <c r="R51" i="3" s="1"/>
  <c r="AA51" i="3"/>
  <c r="Z51" i="3"/>
  <c r="AC51" i="3"/>
  <c r="K15" i="3"/>
  <c r="S50" i="3"/>
  <c r="T49" i="3"/>
  <c r="G15" i="3" l="1"/>
  <c r="I15" i="3" s="1"/>
  <c r="A53" i="3"/>
  <c r="B53" i="3" s="1"/>
  <c r="AC52" i="3"/>
  <c r="P52" i="3"/>
  <c r="Q52" i="3" s="1"/>
  <c r="R52" i="3" s="1"/>
  <c r="AA52" i="3"/>
  <c r="AD52" i="3"/>
  <c r="Z52" i="3"/>
  <c r="T50" i="3"/>
  <c r="S51" i="3"/>
  <c r="V15" i="3"/>
  <c r="AE15" i="3"/>
  <c r="J15" i="3" l="1"/>
  <c r="L15" i="3" s="1"/>
  <c r="M15" i="3"/>
  <c r="N15" i="3" s="1"/>
  <c r="A54" i="3"/>
  <c r="B54" i="3" s="1"/>
  <c r="AD53" i="3"/>
  <c r="P53" i="3"/>
  <c r="Q53" i="3" s="1"/>
  <c r="R53" i="3" s="1"/>
  <c r="AA53" i="3"/>
  <c r="AC53" i="3"/>
  <c r="Z53" i="3"/>
  <c r="T51" i="3"/>
  <c r="S52" i="3"/>
  <c r="W15" i="3"/>
  <c r="AC54" i="3" l="1"/>
  <c r="P54" i="3"/>
  <c r="Q54" i="3" s="1"/>
  <c r="R54" i="3" s="1"/>
  <c r="A55" i="3"/>
  <c r="B55" i="3" s="1"/>
  <c r="AA54" i="3"/>
  <c r="Z54" i="3"/>
  <c r="AD54" i="3"/>
  <c r="T52" i="3"/>
  <c r="S53" i="3"/>
  <c r="U15" i="3"/>
  <c r="D16" i="3" s="1"/>
  <c r="AG16" i="3"/>
  <c r="AH16" i="3"/>
  <c r="Y14" i="3"/>
  <c r="E16" i="3" l="1"/>
  <c r="H16" i="3" s="1"/>
  <c r="K16" i="3" s="1"/>
  <c r="G16" i="3"/>
  <c r="S54" i="3"/>
  <c r="T53" i="3"/>
  <c r="P55" i="3"/>
  <c r="Q55" i="3" s="1"/>
  <c r="R55" i="3" s="1"/>
  <c r="A56" i="3"/>
  <c r="B56" i="3" s="1"/>
  <c r="AC55" i="3"/>
  <c r="AA55" i="3"/>
  <c r="Z55" i="3"/>
  <c r="AD55" i="3"/>
  <c r="F16" i="3" l="1"/>
  <c r="P56" i="3"/>
  <c r="Q56" i="3" s="1"/>
  <c r="R56" i="3" s="1"/>
  <c r="AA56" i="3"/>
  <c r="A57" i="3"/>
  <c r="B57" i="3" s="1"/>
  <c r="AD56" i="3"/>
  <c r="Z56" i="3"/>
  <c r="AC56" i="3"/>
  <c r="I16" i="3"/>
  <c r="J16" i="3"/>
  <c r="M16" i="3"/>
  <c r="N16" i="3" s="1"/>
  <c r="S55" i="3"/>
  <c r="T54" i="3"/>
  <c r="V16" i="3"/>
  <c r="AE16" i="3"/>
  <c r="S56" i="3" l="1"/>
  <c r="T55" i="3"/>
  <c r="AD57" i="3"/>
  <c r="AA57" i="3"/>
  <c r="A58" i="3"/>
  <c r="B58" i="3" s="1"/>
  <c r="AC57" i="3"/>
  <c r="P57" i="3"/>
  <c r="Q57" i="3" s="1"/>
  <c r="R57" i="3" s="1"/>
  <c r="Z57" i="3"/>
  <c r="L16" i="3"/>
  <c r="W16" i="3"/>
  <c r="Z58" i="3" l="1"/>
  <c r="AD58" i="3"/>
  <c r="AA58" i="3"/>
  <c r="P58" i="3"/>
  <c r="Q58" i="3" s="1"/>
  <c r="R58" i="3" s="1"/>
  <c r="A59" i="3"/>
  <c r="B59" i="3" s="1"/>
  <c r="AC58" i="3"/>
  <c r="S57" i="3"/>
  <c r="T56" i="3"/>
  <c r="U16" i="3"/>
  <c r="D17" i="3" s="1"/>
  <c r="AG17" i="3"/>
  <c r="AH17" i="3"/>
  <c r="Y15" i="3"/>
  <c r="G17" i="3" l="1"/>
  <c r="P59" i="3"/>
  <c r="Q59" i="3" s="1"/>
  <c r="R59" i="3" s="1"/>
  <c r="A60" i="3"/>
  <c r="B60" i="3" s="1"/>
  <c r="AC59" i="3"/>
  <c r="AD59" i="3"/>
  <c r="Z59" i="3"/>
  <c r="AA59" i="3"/>
  <c r="E17" i="3"/>
  <c r="H17" i="3" s="1"/>
  <c r="S58" i="3"/>
  <c r="T57" i="3"/>
  <c r="AC60" i="3" l="1"/>
  <c r="AD60" i="3"/>
  <c r="Z60" i="3"/>
  <c r="P60" i="3"/>
  <c r="Q60" i="3" s="1"/>
  <c r="R60" i="3" s="1"/>
  <c r="A61" i="3"/>
  <c r="B61" i="3" s="1"/>
  <c r="AA60" i="3"/>
  <c r="F17" i="3"/>
  <c r="I17" i="3"/>
  <c r="J17" i="3"/>
  <c r="M17" i="3"/>
  <c r="N17" i="3" s="1"/>
  <c r="K17" i="3"/>
  <c r="S59" i="3"/>
  <c r="T58" i="3"/>
  <c r="A62" i="3" l="1"/>
  <c r="B62" i="3" s="1"/>
  <c r="Z61" i="3"/>
  <c r="AD61" i="3"/>
  <c r="AC61" i="3"/>
  <c r="P61" i="3"/>
  <c r="Q61" i="3" s="1"/>
  <c r="R61" i="3" s="1"/>
  <c r="AA61" i="3"/>
  <c r="T59" i="3"/>
  <c r="S60" i="3"/>
  <c r="V17" i="3"/>
  <c r="W17" i="3" s="1"/>
  <c r="AE17" i="3"/>
  <c r="L17" i="3"/>
  <c r="AD62" i="3" l="1"/>
  <c r="P62" i="3"/>
  <c r="Q62" i="3" s="1"/>
  <c r="R62" i="3" s="1"/>
  <c r="Z62" i="3"/>
  <c r="AA62" i="3"/>
  <c r="AC62" i="3"/>
  <c r="A63" i="3"/>
  <c r="B63" i="3" s="1"/>
  <c r="S61" i="3"/>
  <c r="T60" i="3"/>
  <c r="U17" i="3"/>
  <c r="E18" i="3" s="1"/>
  <c r="H18" i="3" s="1"/>
  <c r="AG18" i="3"/>
  <c r="AH18" i="3"/>
  <c r="Y16" i="3"/>
  <c r="D18" i="3" l="1"/>
  <c r="G18" i="3" s="1"/>
  <c r="K18" i="3"/>
  <c r="AC63" i="3"/>
  <c r="AA63" i="3"/>
  <c r="A64" i="3"/>
  <c r="B64" i="3" s="1"/>
  <c r="AD63" i="3"/>
  <c r="P63" i="3"/>
  <c r="Q63" i="3" s="1"/>
  <c r="R63" i="3" s="1"/>
  <c r="Z63" i="3"/>
  <c r="S62" i="3"/>
  <c r="T61" i="3"/>
  <c r="F18" i="3" l="1"/>
  <c r="I18" i="3"/>
  <c r="J18" i="3"/>
  <c r="M18" i="3"/>
  <c r="N18" i="3" s="1"/>
  <c r="S63" i="3"/>
  <c r="T62" i="3"/>
  <c r="A65" i="3"/>
  <c r="B65" i="3" s="1"/>
  <c r="Z64" i="3"/>
  <c r="AA64" i="3"/>
  <c r="AC64" i="3"/>
  <c r="AD64" i="3"/>
  <c r="P64" i="3"/>
  <c r="Q64" i="3" s="1"/>
  <c r="R64" i="3" s="1"/>
  <c r="V18" i="3"/>
  <c r="AE18" i="3"/>
  <c r="Z65" i="3" l="1"/>
  <c r="AA65" i="3"/>
  <c r="A66" i="3"/>
  <c r="B66" i="3" s="1"/>
  <c r="AC65" i="3"/>
  <c r="P65" i="3"/>
  <c r="Q65" i="3" s="1"/>
  <c r="R65" i="3" s="1"/>
  <c r="AD65" i="3"/>
  <c r="L18" i="3"/>
  <c r="W18" i="3"/>
  <c r="S64" i="3"/>
  <c r="T63" i="3"/>
  <c r="A67" i="3" l="1"/>
  <c r="B67" i="3" s="1"/>
  <c r="P66" i="3"/>
  <c r="Q66" i="3" s="1"/>
  <c r="R66" i="3" s="1"/>
  <c r="AC66" i="3"/>
  <c r="Z66" i="3"/>
  <c r="AD66" i="3"/>
  <c r="AA66" i="3"/>
  <c r="U18" i="3"/>
  <c r="D19" i="3" s="1"/>
  <c r="AH19" i="3"/>
  <c r="AG19" i="3"/>
  <c r="Y17" i="3"/>
  <c r="S65" i="3"/>
  <c r="T64" i="3"/>
  <c r="G19" i="3" l="1"/>
  <c r="E19" i="3"/>
  <c r="H19" i="3" s="1"/>
  <c r="AA67" i="3"/>
  <c r="Z67" i="3"/>
  <c r="AD67" i="3"/>
  <c r="AC67" i="3"/>
  <c r="P67" i="3"/>
  <c r="Q67" i="3" s="1"/>
  <c r="R67" i="3" s="1"/>
  <c r="A68" i="3"/>
  <c r="B68" i="3" s="1"/>
  <c r="S66" i="3"/>
  <c r="T65" i="3"/>
  <c r="F19" i="3" l="1"/>
  <c r="AD68" i="3"/>
  <c r="AC68" i="3"/>
  <c r="Z68" i="3"/>
  <c r="AA68" i="3"/>
  <c r="A69" i="3"/>
  <c r="B69" i="3" s="1"/>
  <c r="P68" i="3"/>
  <c r="Q68" i="3" s="1"/>
  <c r="R68" i="3" s="1"/>
  <c r="I19" i="3"/>
  <c r="J19" i="3"/>
  <c r="M19" i="3"/>
  <c r="N19" i="3" s="1"/>
  <c r="K19" i="3"/>
  <c r="S67" i="3"/>
  <c r="T66" i="3"/>
  <c r="Z69" i="3" l="1"/>
  <c r="AC69" i="3"/>
  <c r="P69" i="3"/>
  <c r="Q69" i="3" s="1"/>
  <c r="R69" i="3" s="1"/>
  <c r="AA69" i="3"/>
  <c r="AD69" i="3"/>
  <c r="A70" i="3"/>
  <c r="B70" i="3" s="1"/>
  <c r="V19" i="3"/>
  <c r="W19" i="3" s="1"/>
  <c r="AE19" i="3"/>
  <c r="L19" i="3"/>
  <c r="T67" i="3"/>
  <c r="S68" i="3"/>
  <c r="AH20" i="3" l="1"/>
  <c r="U19" i="3"/>
  <c r="E20" i="3" s="1"/>
  <c r="H20" i="3" s="1"/>
  <c r="AG20" i="3"/>
  <c r="Y18" i="3"/>
  <c r="A71" i="3"/>
  <c r="B71" i="3" s="1"/>
  <c r="AC70" i="3"/>
  <c r="AA70" i="3"/>
  <c r="AD70" i="3"/>
  <c r="P70" i="3"/>
  <c r="Q70" i="3" s="1"/>
  <c r="R70" i="3" s="1"/>
  <c r="Z70" i="3"/>
  <c r="S69" i="3"/>
  <c r="T68" i="3"/>
  <c r="D20" i="3" l="1"/>
  <c r="G20" i="3" s="1"/>
  <c r="K20" i="3"/>
  <c r="AA71" i="3"/>
  <c r="A72" i="3"/>
  <c r="B72" i="3" s="1"/>
  <c r="AC71" i="3"/>
  <c r="Z71" i="3"/>
  <c r="AD71" i="3"/>
  <c r="P71" i="3"/>
  <c r="Q71" i="3" s="1"/>
  <c r="R71" i="3" s="1"/>
  <c r="T69" i="3"/>
  <c r="S70" i="3"/>
  <c r="F20" i="3" l="1"/>
  <c r="A73" i="3"/>
  <c r="B73" i="3" s="1"/>
  <c r="Z72" i="3"/>
  <c r="P72" i="3"/>
  <c r="Q72" i="3" s="1"/>
  <c r="R72" i="3" s="1"/>
  <c r="AD72" i="3"/>
  <c r="AA72" i="3"/>
  <c r="AC72" i="3"/>
  <c r="T70" i="3"/>
  <c r="S71" i="3"/>
  <c r="V20" i="3"/>
  <c r="AE20" i="3"/>
  <c r="I20" i="3"/>
  <c r="J20" i="3"/>
  <c r="M20" i="3"/>
  <c r="N20" i="3" s="1"/>
  <c r="AC73" i="3" l="1"/>
  <c r="A74" i="3"/>
  <c r="B74" i="3" s="1"/>
  <c r="Z73" i="3"/>
  <c r="AA73" i="3"/>
  <c r="AD73" i="3"/>
  <c r="P73" i="3"/>
  <c r="Q73" i="3" s="1"/>
  <c r="R73" i="3" s="1"/>
  <c r="L20" i="3"/>
  <c r="T71" i="3"/>
  <c r="S72" i="3"/>
  <c r="W20" i="3"/>
  <c r="AD74" i="3" l="1"/>
  <c r="P74" i="3"/>
  <c r="Q74" i="3" s="1"/>
  <c r="R74" i="3" s="1"/>
  <c r="AC74" i="3"/>
  <c r="A75" i="3"/>
  <c r="B75" i="3" s="1"/>
  <c r="AA74" i="3"/>
  <c r="Z74" i="3"/>
  <c r="AG21" i="3"/>
  <c r="U20" i="3"/>
  <c r="E21" i="3" s="1"/>
  <c r="H21" i="3" s="1"/>
  <c r="AH21" i="3"/>
  <c r="Y19" i="3"/>
  <c r="S73" i="3"/>
  <c r="T72" i="3"/>
  <c r="D21" i="3" l="1"/>
  <c r="G21" i="3" s="1"/>
  <c r="K21" i="3"/>
  <c r="P75" i="3"/>
  <c r="Q75" i="3" s="1"/>
  <c r="R75" i="3" s="1"/>
  <c r="Z75" i="3"/>
  <c r="A76" i="3"/>
  <c r="B76" i="3" s="1"/>
  <c r="AA75" i="3"/>
  <c r="AC75" i="3"/>
  <c r="AD75" i="3"/>
  <c r="T73" i="3"/>
  <c r="S74" i="3"/>
  <c r="F21" i="3" l="1"/>
  <c r="AC76" i="3"/>
  <c r="Z76" i="3"/>
  <c r="AD76" i="3"/>
  <c r="AA76" i="3"/>
  <c r="A77" i="3"/>
  <c r="B77" i="3" s="1"/>
  <c r="P76" i="3"/>
  <c r="Q76" i="3" s="1"/>
  <c r="R76" i="3" s="1"/>
  <c r="I21" i="3"/>
  <c r="J21" i="3"/>
  <c r="M21" i="3"/>
  <c r="N21" i="3" s="1"/>
  <c r="S75" i="3"/>
  <c r="T74" i="3"/>
  <c r="V21" i="3"/>
  <c r="AE21" i="3"/>
  <c r="W21" i="3" l="1"/>
  <c r="S76" i="3"/>
  <c r="T75" i="3"/>
  <c r="A78" i="3"/>
  <c r="B78" i="3" s="1"/>
  <c r="AA77" i="3"/>
  <c r="Z77" i="3"/>
  <c r="P77" i="3"/>
  <c r="Q77" i="3" s="1"/>
  <c r="R77" i="3" s="1"/>
  <c r="AD77" i="3"/>
  <c r="AC77" i="3"/>
  <c r="L21" i="3"/>
  <c r="S77" i="3" l="1"/>
  <c r="T76" i="3"/>
  <c r="AG22" i="3"/>
  <c r="U21" i="3"/>
  <c r="D22" i="3" s="1"/>
  <c r="AH22" i="3"/>
  <c r="Y20" i="3"/>
  <c r="A79" i="3"/>
  <c r="B79" i="3" s="1"/>
  <c r="AD78" i="3"/>
  <c r="P78" i="3"/>
  <c r="Q78" i="3" s="1"/>
  <c r="R78" i="3" s="1"/>
  <c r="AC78" i="3"/>
  <c r="AA78" i="3"/>
  <c r="Z78" i="3"/>
  <c r="G22" i="3" l="1"/>
  <c r="T77" i="3"/>
  <c r="S78" i="3"/>
  <c r="E22" i="3"/>
  <c r="H22" i="3" s="1"/>
  <c r="P79" i="3"/>
  <c r="Q79" i="3" s="1"/>
  <c r="R79" i="3" s="1"/>
  <c r="A80" i="3"/>
  <c r="B80" i="3" s="1"/>
  <c r="Z79" i="3"/>
  <c r="AC79" i="3"/>
  <c r="AA79" i="3"/>
  <c r="AD79" i="3"/>
  <c r="AA80" i="3" l="1"/>
  <c r="A81" i="3"/>
  <c r="B81" i="3" s="1"/>
  <c r="AD80" i="3"/>
  <c r="AC80" i="3"/>
  <c r="P80" i="3"/>
  <c r="Q80" i="3" s="1"/>
  <c r="R80" i="3" s="1"/>
  <c r="Z80" i="3"/>
  <c r="I22" i="3"/>
  <c r="J22" i="3"/>
  <c r="M22" i="3"/>
  <c r="N22" i="3" s="1"/>
  <c r="K22" i="3"/>
  <c r="T78" i="3"/>
  <c r="S79" i="3"/>
  <c r="F22" i="3"/>
  <c r="L22" i="3" l="1"/>
  <c r="S80" i="3"/>
  <c r="T79" i="3"/>
  <c r="Z81" i="3"/>
  <c r="AC81" i="3"/>
  <c r="A82" i="3"/>
  <c r="B82" i="3" s="1"/>
  <c r="AA81" i="3"/>
  <c r="AD81" i="3"/>
  <c r="P81" i="3"/>
  <c r="Q81" i="3" s="1"/>
  <c r="R81" i="3" s="1"/>
  <c r="V22" i="3"/>
  <c r="W22" i="3" s="1"/>
  <c r="AE22" i="3"/>
  <c r="U22" i="3" l="1"/>
  <c r="E23" i="3" s="1"/>
  <c r="H23" i="3" s="1"/>
  <c r="AH23" i="3"/>
  <c r="AG23" i="3"/>
  <c r="Y21" i="3"/>
  <c r="A83" i="3"/>
  <c r="B83" i="3" s="1"/>
  <c r="P82" i="3"/>
  <c r="Q82" i="3" s="1"/>
  <c r="R82" i="3" s="1"/>
  <c r="AC82" i="3"/>
  <c r="AA82" i="3"/>
  <c r="Z82" i="3"/>
  <c r="AD82" i="3"/>
  <c r="T80" i="3"/>
  <c r="S81" i="3"/>
  <c r="AA83" i="3" l="1"/>
  <c r="AC83" i="3"/>
  <c r="P83" i="3"/>
  <c r="Q83" i="3" s="1"/>
  <c r="R83" i="3" s="1"/>
  <c r="Z83" i="3"/>
  <c r="AD83" i="3"/>
  <c r="A84" i="3"/>
  <c r="B84" i="3" s="1"/>
  <c r="K23" i="3"/>
  <c r="D23" i="3"/>
  <c r="T81" i="3"/>
  <c r="S82" i="3"/>
  <c r="AA84" i="3" l="1"/>
  <c r="Z84" i="3"/>
  <c r="A85" i="3"/>
  <c r="B85" i="3" s="1"/>
  <c r="P84" i="3"/>
  <c r="Q84" i="3" s="1"/>
  <c r="R84" i="3" s="1"/>
  <c r="AD84" i="3"/>
  <c r="AC84" i="3"/>
  <c r="T82" i="3"/>
  <c r="S83" i="3"/>
  <c r="V23" i="3"/>
  <c r="AE23" i="3"/>
  <c r="F23" i="3"/>
  <c r="G23" i="3"/>
  <c r="T83" i="3" l="1"/>
  <c r="S84" i="3"/>
  <c r="A86" i="3"/>
  <c r="B86" i="3" s="1"/>
  <c r="P85" i="3"/>
  <c r="Q85" i="3" s="1"/>
  <c r="R85" i="3" s="1"/>
  <c r="AA85" i="3"/>
  <c r="AC85" i="3"/>
  <c r="Z85" i="3"/>
  <c r="AD85" i="3"/>
  <c r="I23" i="3"/>
  <c r="W23" i="3" s="1"/>
  <c r="J23" i="3"/>
  <c r="M23" i="3"/>
  <c r="N23" i="3" s="1"/>
  <c r="AC86" i="3" l="1"/>
  <c r="Z86" i="3"/>
  <c r="P86" i="3"/>
  <c r="Q86" i="3" s="1"/>
  <c r="R86" i="3" s="1"/>
  <c r="AA86" i="3"/>
  <c r="A87" i="3"/>
  <c r="B87" i="3" s="1"/>
  <c r="AD86" i="3"/>
  <c r="S85" i="3"/>
  <c r="T84" i="3"/>
  <c r="L23" i="3"/>
  <c r="P87" i="3" l="1"/>
  <c r="Q87" i="3" s="1"/>
  <c r="R87" i="3" s="1"/>
  <c r="Z87" i="3"/>
  <c r="A88" i="3"/>
  <c r="B88" i="3" s="1"/>
  <c r="AD87" i="3"/>
  <c r="AC87" i="3"/>
  <c r="AA87" i="3"/>
  <c r="AG24" i="3"/>
  <c r="AH24" i="3"/>
  <c r="U23" i="3"/>
  <c r="E24" i="3" s="1"/>
  <c r="H24" i="3" s="1"/>
  <c r="Y22" i="3"/>
  <c r="T85" i="3"/>
  <c r="S86" i="3"/>
  <c r="D24" i="3" l="1"/>
  <c r="G24" i="3" s="1"/>
  <c r="T86" i="3"/>
  <c r="S87" i="3"/>
  <c r="A89" i="3"/>
  <c r="B89" i="3" s="1"/>
  <c r="P88" i="3"/>
  <c r="Q88" i="3" s="1"/>
  <c r="R88" i="3" s="1"/>
  <c r="AC88" i="3"/>
  <c r="Z88" i="3"/>
  <c r="AA88" i="3"/>
  <c r="AD88" i="3"/>
  <c r="K24" i="3"/>
  <c r="F24" i="3" l="1"/>
  <c r="AD89" i="3"/>
  <c r="AC89" i="3"/>
  <c r="P89" i="3"/>
  <c r="Q89" i="3" s="1"/>
  <c r="R89" i="3" s="1"/>
  <c r="Z89" i="3"/>
  <c r="AA89" i="3"/>
  <c r="A90" i="3"/>
  <c r="B90" i="3" s="1"/>
  <c r="S88" i="3"/>
  <c r="T87" i="3"/>
  <c r="V24" i="3"/>
  <c r="AE24" i="3"/>
  <c r="I24" i="3"/>
  <c r="J24" i="3"/>
  <c r="M24" i="3"/>
  <c r="N24" i="3" s="1"/>
  <c r="T88" i="3" l="1"/>
  <c r="S89" i="3"/>
  <c r="A91" i="3"/>
  <c r="B91" i="3" s="1"/>
  <c r="P90" i="3"/>
  <c r="Q90" i="3" s="1"/>
  <c r="R90" i="3" s="1"/>
  <c r="AC90" i="3"/>
  <c r="Z90" i="3"/>
  <c r="AA90" i="3"/>
  <c r="AD90" i="3"/>
  <c r="L24" i="3"/>
  <c r="W24" i="3"/>
  <c r="S90" i="3" l="1"/>
  <c r="T89" i="3"/>
  <c r="P91" i="3"/>
  <c r="Q91" i="3" s="1"/>
  <c r="R91" i="3" s="1"/>
  <c r="AD91" i="3"/>
  <c r="AA91" i="3"/>
  <c r="A92" i="3"/>
  <c r="B92" i="3" s="1"/>
  <c r="AC91" i="3"/>
  <c r="Z91" i="3"/>
  <c r="AH25" i="3"/>
  <c r="AG25" i="3"/>
  <c r="U24" i="3"/>
  <c r="D25" i="3" s="1"/>
  <c r="Y23" i="3"/>
  <c r="E25" i="3" l="1"/>
  <c r="H25" i="3" s="1"/>
  <c r="K25" i="3" s="1"/>
  <c r="G25" i="3"/>
  <c r="AA92" i="3"/>
  <c r="AD92" i="3"/>
  <c r="AC92" i="3"/>
  <c r="P92" i="3"/>
  <c r="Q92" i="3" s="1"/>
  <c r="R92" i="3" s="1"/>
  <c r="Z92" i="3"/>
  <c r="A93" i="3"/>
  <c r="B93" i="3" s="1"/>
  <c r="S91" i="3"/>
  <c r="T90" i="3"/>
  <c r="F25" i="3" l="1"/>
  <c r="S92" i="3"/>
  <c r="T91" i="3"/>
  <c r="Z93" i="3"/>
  <c r="AA93" i="3"/>
  <c r="P93" i="3"/>
  <c r="Q93" i="3" s="1"/>
  <c r="R93" i="3" s="1"/>
  <c r="A94" i="3"/>
  <c r="B94" i="3" s="1"/>
  <c r="AD93" i="3"/>
  <c r="AC93" i="3"/>
  <c r="I25" i="3"/>
  <c r="J25" i="3"/>
  <c r="M25" i="3"/>
  <c r="N25" i="3" s="1"/>
  <c r="V25" i="3"/>
  <c r="AE25" i="3"/>
  <c r="W25" i="3" l="1"/>
  <c r="AC94" i="3"/>
  <c r="Z94" i="3"/>
  <c r="AA94" i="3"/>
  <c r="AD94" i="3"/>
  <c r="A95" i="3"/>
  <c r="B95" i="3" s="1"/>
  <c r="P94" i="3"/>
  <c r="Q94" i="3" s="1"/>
  <c r="R94" i="3" s="1"/>
  <c r="L25" i="3"/>
  <c r="T92" i="3"/>
  <c r="S93" i="3"/>
  <c r="U25" i="3" l="1"/>
  <c r="E26" i="3" s="1"/>
  <c r="H26" i="3" s="1"/>
  <c r="AH26" i="3"/>
  <c r="AG26" i="3"/>
  <c r="Y24" i="3"/>
  <c r="Z95" i="3"/>
  <c r="A96" i="3"/>
  <c r="B96" i="3" s="1"/>
  <c r="P95" i="3"/>
  <c r="Q95" i="3" s="1"/>
  <c r="R95" i="3" s="1"/>
  <c r="AC95" i="3"/>
  <c r="AD95" i="3"/>
  <c r="AA95" i="3"/>
  <c r="S94" i="3"/>
  <c r="T93" i="3"/>
  <c r="D26" i="3" l="1"/>
  <c r="G26" i="3" s="1"/>
  <c r="K26" i="3"/>
  <c r="Z96" i="3"/>
  <c r="P96" i="3"/>
  <c r="Q96" i="3" s="1"/>
  <c r="R96" i="3" s="1"/>
  <c r="AC96" i="3"/>
  <c r="AA96" i="3"/>
  <c r="AD96" i="3"/>
  <c r="A97" i="3"/>
  <c r="B97" i="3" s="1"/>
  <c r="T94" i="3"/>
  <c r="S95" i="3"/>
  <c r="F26" i="3" l="1"/>
  <c r="I26" i="3"/>
  <c r="J26" i="3"/>
  <c r="M26" i="3"/>
  <c r="N26" i="3" s="1"/>
  <c r="S96" i="3"/>
  <c r="T95" i="3"/>
  <c r="A98" i="3"/>
  <c r="B98" i="3" s="1"/>
  <c r="P97" i="3"/>
  <c r="Q97" i="3" s="1"/>
  <c r="R97" i="3" s="1"/>
  <c r="AD97" i="3"/>
  <c r="AA97" i="3"/>
  <c r="Z97" i="3"/>
  <c r="AC97" i="3"/>
  <c r="V26" i="3"/>
  <c r="AE26" i="3"/>
  <c r="W26" i="3" l="1"/>
  <c r="A99" i="3"/>
  <c r="B99" i="3" s="1"/>
  <c r="AD98" i="3"/>
  <c r="AA98" i="3"/>
  <c r="P98" i="3"/>
  <c r="Q98" i="3" s="1"/>
  <c r="R98" i="3" s="1"/>
  <c r="Z98" i="3"/>
  <c r="AC98" i="3"/>
  <c r="S97" i="3"/>
  <c r="T96" i="3"/>
  <c r="L26" i="3"/>
  <c r="AD99" i="3" l="1"/>
  <c r="P99" i="3"/>
  <c r="Q99" i="3" s="1"/>
  <c r="R99" i="3" s="1"/>
  <c r="Z99" i="3"/>
  <c r="A100" i="3"/>
  <c r="B100" i="3" s="1"/>
  <c r="AC99" i="3"/>
  <c r="AA99" i="3"/>
  <c r="T97" i="3"/>
  <c r="S98" i="3"/>
  <c r="AH27" i="3"/>
  <c r="U26" i="3"/>
  <c r="D27" i="3" s="1"/>
  <c r="AG27" i="3"/>
  <c r="Y25" i="3"/>
  <c r="E27" i="3" l="1"/>
  <c r="H27" i="3" s="1"/>
  <c r="K27" i="3" s="1"/>
  <c r="G27" i="3"/>
  <c r="A101" i="3"/>
  <c r="B101" i="3" s="1"/>
  <c r="AA100" i="3"/>
  <c r="AC100" i="3"/>
  <c r="Z100" i="3"/>
  <c r="AD100" i="3"/>
  <c r="P100" i="3"/>
  <c r="Q100" i="3" s="1"/>
  <c r="R100" i="3" s="1"/>
  <c r="T98" i="3"/>
  <c r="S99" i="3"/>
  <c r="F27" i="3" l="1"/>
  <c r="AD101" i="3"/>
  <c r="Z101" i="3"/>
  <c r="P101" i="3"/>
  <c r="Q101" i="3" s="1"/>
  <c r="R101" i="3" s="1"/>
  <c r="AC101" i="3"/>
  <c r="A102" i="3"/>
  <c r="B102" i="3" s="1"/>
  <c r="AA101" i="3"/>
  <c r="I27" i="3"/>
  <c r="J27" i="3"/>
  <c r="M27" i="3"/>
  <c r="N27" i="3" s="1"/>
  <c r="V27" i="3"/>
  <c r="AE27" i="3"/>
  <c r="T99" i="3"/>
  <c r="S100" i="3"/>
  <c r="P102" i="3" l="1"/>
  <c r="Q102" i="3" s="1"/>
  <c r="R102" i="3" s="1"/>
  <c r="A103" i="3"/>
  <c r="B103" i="3" s="1"/>
  <c r="AA102" i="3"/>
  <c r="AC102" i="3"/>
  <c r="AD102" i="3"/>
  <c r="Z102" i="3"/>
  <c r="T100" i="3"/>
  <c r="S101" i="3"/>
  <c r="L27" i="3"/>
  <c r="W27" i="3"/>
  <c r="P103" i="3" l="1"/>
  <c r="Q103" i="3" s="1"/>
  <c r="R103" i="3" s="1"/>
  <c r="AD103" i="3"/>
  <c r="AC103" i="3"/>
  <c r="Z103" i="3"/>
  <c r="A104" i="3"/>
  <c r="B104" i="3" s="1"/>
  <c r="AA103" i="3"/>
  <c r="U27" i="3"/>
  <c r="E28" i="3" s="1"/>
  <c r="H28" i="3" s="1"/>
  <c r="AG28" i="3"/>
  <c r="AH28" i="3"/>
  <c r="Y26" i="3"/>
  <c r="S102" i="3"/>
  <c r="T101" i="3"/>
  <c r="D28" i="3" l="1"/>
  <c r="F28" i="3" s="1"/>
  <c r="K28" i="3"/>
  <c r="A105" i="3"/>
  <c r="B105" i="3" s="1"/>
  <c r="AC104" i="3"/>
  <c r="P104" i="3"/>
  <c r="Q104" i="3" s="1"/>
  <c r="R104" i="3" s="1"/>
  <c r="Z104" i="3"/>
  <c r="AA104" i="3"/>
  <c r="T102" i="3"/>
  <c r="S103" i="3"/>
  <c r="G28" i="3" l="1"/>
  <c r="I28" i="3" s="1"/>
  <c r="A106" i="3"/>
  <c r="B106" i="3" s="1"/>
  <c r="AA105" i="3"/>
  <c r="Z105" i="3"/>
  <c r="P105" i="3"/>
  <c r="Q105" i="3" s="1"/>
  <c r="R105" i="3" s="1"/>
  <c r="AC105" i="3"/>
  <c r="AD105" i="3"/>
  <c r="S104" i="3"/>
  <c r="T103" i="3"/>
  <c r="V28" i="3"/>
  <c r="AE28" i="3"/>
  <c r="M28" i="3" l="1"/>
  <c r="N28" i="3" s="1"/>
  <c r="J28" i="3"/>
  <c r="L28" i="3" s="1"/>
  <c r="W28" i="3"/>
  <c r="P106" i="3"/>
  <c r="Q106" i="3" s="1"/>
  <c r="R106" i="3" s="1"/>
  <c r="Z106" i="3"/>
  <c r="A107" i="3"/>
  <c r="B107" i="3" s="1"/>
  <c r="AD106" i="3"/>
  <c r="AC106" i="3"/>
  <c r="AA106" i="3"/>
  <c r="S105" i="3"/>
  <c r="T104" i="3"/>
  <c r="S106" i="3" l="1"/>
  <c r="T105" i="3"/>
  <c r="Z107" i="3"/>
  <c r="AA107" i="3"/>
  <c r="AC107" i="3"/>
  <c r="AD107" i="3"/>
  <c r="P107" i="3"/>
  <c r="Q107" i="3" s="1"/>
  <c r="R107" i="3" s="1"/>
  <c r="A108" i="3"/>
  <c r="B108" i="3" s="1"/>
  <c r="AH29" i="3"/>
  <c r="AG29" i="3"/>
  <c r="U28" i="3"/>
  <c r="E29" i="3" s="1"/>
  <c r="H29" i="3" s="1"/>
  <c r="Y27" i="3"/>
  <c r="D29" i="3" l="1"/>
  <c r="F29" i="3" s="1"/>
  <c r="Z108" i="3"/>
  <c r="AA108" i="3"/>
  <c r="A109" i="3"/>
  <c r="B109" i="3" s="1"/>
  <c r="AC108" i="3"/>
  <c r="P108" i="3"/>
  <c r="Q108" i="3" s="1"/>
  <c r="R108" i="3" s="1"/>
  <c r="AD108" i="3"/>
  <c r="S107" i="3"/>
  <c r="T106" i="3"/>
  <c r="K29" i="3"/>
  <c r="G29" i="3" l="1"/>
  <c r="M29" i="3" s="1"/>
  <c r="N29" i="3" s="1"/>
  <c r="A110" i="3"/>
  <c r="B110" i="3" s="1"/>
  <c r="AD109" i="3"/>
  <c r="P109" i="3"/>
  <c r="Q109" i="3" s="1"/>
  <c r="R109" i="3" s="1"/>
  <c r="AA109" i="3"/>
  <c r="Z109" i="3"/>
  <c r="AC109" i="3"/>
  <c r="V29" i="3"/>
  <c r="AE29" i="3"/>
  <c r="T107" i="3"/>
  <c r="S108" i="3"/>
  <c r="J29" i="3" l="1"/>
  <c r="L29" i="3" s="1"/>
  <c r="I29" i="3"/>
  <c r="W29" i="3" s="1"/>
  <c r="AA110" i="3"/>
  <c r="A111" i="3"/>
  <c r="B111" i="3" s="1"/>
  <c r="AD110" i="3"/>
  <c r="Z110" i="3"/>
  <c r="P110" i="3"/>
  <c r="Q110" i="3" s="1"/>
  <c r="R110" i="3" s="1"/>
  <c r="AC110" i="3"/>
  <c r="S109" i="3"/>
  <c r="T108" i="3"/>
  <c r="A112" i="3" l="1"/>
  <c r="B112" i="3" s="1"/>
  <c r="AA111" i="3"/>
  <c r="AC111" i="3"/>
  <c r="P111" i="3"/>
  <c r="Q111" i="3" s="1"/>
  <c r="R111" i="3" s="1"/>
  <c r="AD111" i="3"/>
  <c r="Z111" i="3"/>
  <c r="U29" i="3"/>
  <c r="D30" i="3" s="1"/>
  <c r="AG30" i="3"/>
  <c r="AH30" i="3"/>
  <c r="Y28" i="3"/>
  <c r="S110" i="3"/>
  <c r="T109" i="3"/>
  <c r="E30" i="3" l="1"/>
  <c r="H30" i="3" s="1"/>
  <c r="K30" i="3" s="1"/>
  <c r="AD112" i="3"/>
  <c r="P112" i="3"/>
  <c r="Q112" i="3" s="1"/>
  <c r="R112" i="3" s="1"/>
  <c r="AA112" i="3"/>
  <c r="Z112" i="3"/>
  <c r="A113" i="3"/>
  <c r="B113" i="3" s="1"/>
  <c r="AC112" i="3"/>
  <c r="G30" i="3"/>
  <c r="T110" i="3"/>
  <c r="S111" i="3"/>
  <c r="F30" i="3" l="1"/>
  <c r="AC113" i="3"/>
  <c r="AA113" i="3"/>
  <c r="A114" i="3"/>
  <c r="B114" i="3" s="1"/>
  <c r="Z113" i="3"/>
  <c r="P113" i="3"/>
  <c r="Q113" i="3" s="1"/>
  <c r="R113" i="3" s="1"/>
  <c r="AD113" i="3"/>
  <c r="S112" i="3"/>
  <c r="T111" i="3"/>
  <c r="I30" i="3"/>
  <c r="J30" i="3"/>
  <c r="M30" i="3"/>
  <c r="N30" i="3" s="1"/>
  <c r="V30" i="3"/>
  <c r="AE30" i="3"/>
  <c r="W30" i="3" l="1"/>
  <c r="P114" i="3"/>
  <c r="Q114" i="3" s="1"/>
  <c r="R114" i="3" s="1"/>
  <c r="AD114" i="3"/>
  <c r="Z114" i="3"/>
  <c r="AC114" i="3"/>
  <c r="AA114" i="3"/>
  <c r="A115" i="3"/>
  <c r="B115" i="3" s="1"/>
  <c r="S113" i="3"/>
  <c r="T112" i="3"/>
  <c r="L30" i="3"/>
  <c r="AA115" i="3" l="1"/>
  <c r="A116" i="3"/>
  <c r="B116" i="3" s="1"/>
  <c r="Z115" i="3"/>
  <c r="AD115" i="3"/>
  <c r="P115" i="3"/>
  <c r="Q115" i="3" s="1"/>
  <c r="R115" i="3" s="1"/>
  <c r="AC115" i="3"/>
  <c r="T113" i="3"/>
  <c r="S114" i="3"/>
  <c r="U30" i="3"/>
  <c r="D31" i="3" s="1"/>
  <c r="AG31" i="3"/>
  <c r="AH31" i="3"/>
  <c r="Y29" i="3"/>
  <c r="E31" i="3" l="1"/>
  <c r="H31" i="3" s="1"/>
  <c r="K31" i="3" s="1"/>
  <c r="AD116" i="3"/>
  <c r="P116" i="3"/>
  <c r="Q116" i="3" s="1"/>
  <c r="R116" i="3" s="1"/>
  <c r="AA116" i="3"/>
  <c r="A117" i="3"/>
  <c r="B117" i="3" s="1"/>
  <c r="AC116" i="3"/>
  <c r="Z116" i="3"/>
  <c r="S115" i="3"/>
  <c r="T114" i="3"/>
  <c r="G31" i="3"/>
  <c r="F31" i="3" l="1"/>
  <c r="A118" i="3"/>
  <c r="B118" i="3" s="1"/>
  <c r="Z117" i="3"/>
  <c r="P117" i="3"/>
  <c r="Q117" i="3" s="1"/>
  <c r="R117" i="3" s="1"/>
  <c r="AC117" i="3"/>
  <c r="AD117" i="3"/>
  <c r="AA117" i="3"/>
  <c r="S116" i="3"/>
  <c r="T115" i="3"/>
  <c r="V31" i="3"/>
  <c r="AE31" i="3"/>
  <c r="I31" i="3"/>
  <c r="J31" i="3"/>
  <c r="M31" i="3"/>
  <c r="N31" i="3" s="1"/>
  <c r="P118" i="3" l="1"/>
  <c r="Q118" i="3" s="1"/>
  <c r="R118" i="3" s="1"/>
  <c r="Z118" i="3"/>
  <c r="AA118" i="3"/>
  <c r="AC118" i="3"/>
  <c r="A119" i="3"/>
  <c r="B119" i="3" s="1"/>
  <c r="AD118" i="3"/>
  <c r="L31" i="3"/>
  <c r="S117" i="3"/>
  <c r="T116" i="3"/>
  <c r="W31" i="3"/>
  <c r="S118" i="3" l="1"/>
  <c r="T117" i="3"/>
  <c r="AG32" i="3"/>
  <c r="AH32" i="3"/>
  <c r="U31" i="3"/>
  <c r="E32" i="3" s="1"/>
  <c r="H32" i="3" s="1"/>
  <c r="Y30" i="3"/>
  <c r="AD119" i="3"/>
  <c r="Z119" i="3"/>
  <c r="AC119" i="3"/>
  <c r="P119" i="3"/>
  <c r="Q119" i="3" s="1"/>
  <c r="R119" i="3" s="1"/>
  <c r="AA119" i="3"/>
  <c r="A120" i="3"/>
  <c r="B120" i="3" s="1"/>
  <c r="D32" i="3" l="1"/>
  <c r="F32" i="3" s="1"/>
  <c r="K32" i="3"/>
  <c r="T118" i="3"/>
  <c r="S119" i="3"/>
  <c r="P120" i="3"/>
  <c r="Q120" i="3" s="1"/>
  <c r="R120" i="3" s="1"/>
  <c r="Z120" i="3"/>
  <c r="AA120" i="3"/>
  <c r="AD120" i="3"/>
  <c r="A121" i="3"/>
  <c r="B121" i="3" s="1"/>
  <c r="AC120" i="3"/>
  <c r="G32" i="3" l="1"/>
  <c r="I32" i="3" s="1"/>
  <c r="A122" i="3"/>
  <c r="B122" i="3" s="1"/>
  <c r="P121" i="3"/>
  <c r="Q121" i="3" s="1"/>
  <c r="R121" i="3" s="1"/>
  <c r="AC121" i="3"/>
  <c r="AD121" i="3"/>
  <c r="AA121" i="3"/>
  <c r="Z121" i="3"/>
  <c r="V32" i="3"/>
  <c r="AE32" i="3"/>
  <c r="T119" i="3"/>
  <c r="S120" i="3"/>
  <c r="M32" i="3" l="1"/>
  <c r="N32" i="3" s="1"/>
  <c r="J32" i="3"/>
  <c r="L32" i="3" s="1"/>
  <c r="W32" i="3"/>
  <c r="AD122" i="3"/>
  <c r="A123" i="3"/>
  <c r="B123" i="3" s="1"/>
  <c r="Z122" i="3"/>
  <c r="AA122" i="3"/>
  <c r="P122" i="3"/>
  <c r="Q122" i="3" s="1"/>
  <c r="R122" i="3" s="1"/>
  <c r="AC122" i="3"/>
  <c r="S121" i="3"/>
  <c r="T120" i="3"/>
  <c r="T121" i="3" l="1"/>
  <c r="S122" i="3"/>
  <c r="AA123" i="3"/>
  <c r="P123" i="3"/>
  <c r="Q123" i="3" s="1"/>
  <c r="R123" i="3" s="1"/>
  <c r="A124" i="3"/>
  <c r="B124" i="3" s="1"/>
  <c r="Z123" i="3"/>
  <c r="AC123" i="3"/>
  <c r="AD123" i="3"/>
  <c r="AH33" i="3"/>
  <c r="AG33" i="3"/>
  <c r="U32" i="3"/>
  <c r="D33" i="3" s="1"/>
  <c r="Y31" i="3"/>
  <c r="E33" i="3" l="1"/>
  <c r="H33" i="3" s="1"/>
  <c r="K33" i="3" s="1"/>
  <c r="A125" i="3"/>
  <c r="B125" i="3" s="1"/>
  <c r="P124" i="3"/>
  <c r="Q124" i="3" s="1"/>
  <c r="R124" i="3" s="1"/>
  <c r="AC124" i="3"/>
  <c r="AA124" i="3"/>
  <c r="Z124" i="3"/>
  <c r="AD124" i="3"/>
  <c r="T122" i="3"/>
  <c r="S123" i="3"/>
  <c r="G33" i="3"/>
  <c r="F33" i="3" l="1"/>
  <c r="P125" i="3"/>
  <c r="Q125" i="3" s="1"/>
  <c r="R125" i="3" s="1"/>
  <c r="Z125" i="3"/>
  <c r="AC125" i="3"/>
  <c r="AD125" i="3"/>
  <c r="AA125" i="3"/>
  <c r="A126" i="3"/>
  <c r="B126" i="3" s="1"/>
  <c r="S124" i="3"/>
  <c r="T123" i="3"/>
  <c r="I33" i="3"/>
  <c r="J33" i="3"/>
  <c r="M33" i="3"/>
  <c r="N33" i="3" s="1"/>
  <c r="V33" i="3"/>
  <c r="AE33" i="3"/>
  <c r="W33" i="3" l="1"/>
  <c r="AA126" i="3"/>
  <c r="P126" i="3"/>
  <c r="Q126" i="3" s="1"/>
  <c r="R126" i="3" s="1"/>
  <c r="Z126" i="3"/>
  <c r="AC126" i="3"/>
  <c r="A127" i="3"/>
  <c r="B127" i="3" s="1"/>
  <c r="AD126" i="3"/>
  <c r="L33" i="3"/>
  <c r="S125" i="3"/>
  <c r="T124" i="3"/>
  <c r="Z127" i="3" l="1"/>
  <c r="AC127" i="3"/>
  <c r="P127" i="3"/>
  <c r="Q127" i="3" s="1"/>
  <c r="R127" i="3" s="1"/>
  <c r="AD127" i="3"/>
  <c r="A128" i="3"/>
  <c r="B128" i="3" s="1"/>
  <c r="AA127" i="3"/>
  <c r="AH34" i="3"/>
  <c r="AG34" i="3"/>
  <c r="U33" i="3"/>
  <c r="D34" i="3" s="1"/>
  <c r="Y32" i="3"/>
  <c r="S126" i="3"/>
  <c r="T125" i="3"/>
  <c r="G34" i="3" l="1"/>
  <c r="P128" i="3"/>
  <c r="Q128" i="3" s="1"/>
  <c r="R128" i="3" s="1"/>
  <c r="Z128" i="3"/>
  <c r="AC128" i="3"/>
  <c r="AA128" i="3"/>
  <c r="A129" i="3"/>
  <c r="B129" i="3" s="1"/>
  <c r="AD128" i="3"/>
  <c r="E34" i="3"/>
  <c r="H34" i="3" s="1"/>
  <c r="S127" i="3"/>
  <c r="T126" i="3"/>
  <c r="F34" i="3" l="1"/>
  <c r="I34" i="3"/>
  <c r="J34" i="3"/>
  <c r="M34" i="3"/>
  <c r="N34" i="3" s="1"/>
  <c r="K34" i="3"/>
  <c r="P129" i="3"/>
  <c r="Q129" i="3" s="1"/>
  <c r="R129" i="3" s="1"/>
  <c r="AC129" i="3"/>
  <c r="Z129" i="3"/>
  <c r="A130" i="3"/>
  <c r="B130" i="3" s="1"/>
  <c r="AD129" i="3"/>
  <c r="AA129" i="3"/>
  <c r="S128" i="3"/>
  <c r="T127" i="3"/>
  <c r="A131" i="3" l="1"/>
  <c r="B131" i="3" s="1"/>
  <c r="AD130" i="3"/>
  <c r="P130" i="3"/>
  <c r="Q130" i="3" s="1"/>
  <c r="R130" i="3" s="1"/>
  <c r="AC130" i="3"/>
  <c r="AA130" i="3"/>
  <c r="Z130" i="3"/>
  <c r="S129" i="3"/>
  <c r="T128" i="3"/>
  <c r="V34" i="3"/>
  <c r="W34" i="3" s="1"/>
  <c r="AE34" i="3"/>
  <c r="L34" i="3"/>
  <c r="T129" i="3" l="1"/>
  <c r="S130" i="3"/>
  <c r="AC131" i="3"/>
  <c r="AD131" i="3"/>
  <c r="A132" i="3"/>
  <c r="B132" i="3" s="1"/>
  <c r="Z131" i="3"/>
  <c r="P131" i="3"/>
  <c r="Q131" i="3" s="1"/>
  <c r="R131" i="3" s="1"/>
  <c r="AA131" i="3"/>
  <c r="U34" i="3"/>
  <c r="E35" i="3" s="1"/>
  <c r="H35" i="3" s="1"/>
  <c r="AH35" i="3"/>
  <c r="AG35" i="3"/>
  <c r="Y33" i="3"/>
  <c r="D35" i="3" l="1"/>
  <c r="G35" i="3" s="1"/>
  <c r="AD132" i="3"/>
  <c r="P132" i="3"/>
  <c r="Q132" i="3" s="1"/>
  <c r="R132" i="3" s="1"/>
  <c r="Z132" i="3"/>
  <c r="A133" i="3"/>
  <c r="B133" i="3" s="1"/>
  <c r="AC132" i="3"/>
  <c r="AA132" i="3"/>
  <c r="T130" i="3"/>
  <c r="S131" i="3"/>
  <c r="K35" i="3"/>
  <c r="F35" i="3" l="1"/>
  <c r="AD133" i="3"/>
  <c r="P133" i="3"/>
  <c r="Q133" i="3" s="1"/>
  <c r="R133" i="3" s="1"/>
  <c r="Z133" i="3"/>
  <c r="A134" i="3"/>
  <c r="B134" i="3" s="1"/>
  <c r="AA133" i="3"/>
  <c r="AC133" i="3"/>
  <c r="S132" i="3"/>
  <c r="T131" i="3"/>
  <c r="I35" i="3"/>
  <c r="J35" i="3"/>
  <c r="M35" i="3"/>
  <c r="N35" i="3" s="1"/>
  <c r="V35" i="3"/>
  <c r="AE35" i="3"/>
  <c r="W35" i="3" l="1"/>
  <c r="AC134" i="3"/>
  <c r="AD134" i="3"/>
  <c r="AA134" i="3"/>
  <c r="A135" i="3"/>
  <c r="B135" i="3" s="1"/>
  <c r="P134" i="3"/>
  <c r="Q134" i="3" s="1"/>
  <c r="R134" i="3" s="1"/>
  <c r="Z134" i="3"/>
  <c r="L35" i="3"/>
  <c r="S133" i="3"/>
  <c r="T132" i="3"/>
  <c r="AD135" i="3" l="1"/>
  <c r="P135" i="3"/>
  <c r="Q135" i="3" s="1"/>
  <c r="R135" i="3" s="1"/>
  <c r="A136" i="3"/>
  <c r="B136" i="3" s="1"/>
  <c r="AA135" i="3"/>
  <c r="AC135" i="3"/>
  <c r="Z135" i="3"/>
  <c r="S134" i="3"/>
  <c r="T133" i="3"/>
  <c r="U35" i="3"/>
  <c r="E36" i="3" s="1"/>
  <c r="H36" i="3" s="1"/>
  <c r="AG36" i="3"/>
  <c r="AH36" i="3"/>
  <c r="Y34" i="3"/>
  <c r="K36" i="3" l="1"/>
  <c r="A137" i="3"/>
  <c r="B137" i="3" s="1"/>
  <c r="P136" i="3"/>
  <c r="Q136" i="3" s="1"/>
  <c r="R136" i="3" s="1"/>
  <c r="AA136" i="3"/>
  <c r="Z136" i="3"/>
  <c r="AD136" i="3"/>
  <c r="AC136" i="3"/>
  <c r="T134" i="3"/>
  <c r="S135" i="3"/>
  <c r="D36" i="3"/>
  <c r="T135" i="3" l="1"/>
  <c r="S136" i="3"/>
  <c r="F36" i="3"/>
  <c r="G36" i="3"/>
  <c r="P137" i="3"/>
  <c r="Q137" i="3" s="1"/>
  <c r="R137" i="3" s="1"/>
  <c r="Z137" i="3"/>
  <c r="AA137" i="3"/>
  <c r="AD137" i="3"/>
  <c r="AC137" i="3"/>
  <c r="A138" i="3"/>
  <c r="B138" i="3" s="1"/>
  <c r="V36" i="3"/>
  <c r="AE36" i="3"/>
  <c r="A139" i="3" l="1"/>
  <c r="B139" i="3" s="1"/>
  <c r="AC138" i="3"/>
  <c r="P138" i="3"/>
  <c r="Q138" i="3" s="1"/>
  <c r="R138" i="3" s="1"/>
  <c r="AA138" i="3"/>
  <c r="AD138" i="3"/>
  <c r="Z138" i="3"/>
  <c r="S137" i="3"/>
  <c r="T136" i="3"/>
  <c r="I36" i="3"/>
  <c r="W36" i="3" s="1"/>
  <c r="J36" i="3"/>
  <c r="M36" i="3"/>
  <c r="N36" i="3" s="1"/>
  <c r="L36" i="3" l="1"/>
  <c r="T137" i="3"/>
  <c r="S138" i="3"/>
  <c r="A140" i="3"/>
  <c r="B140" i="3" s="1"/>
  <c r="AA139" i="3"/>
  <c r="AD139" i="3"/>
  <c r="AC139" i="3"/>
  <c r="Z139" i="3"/>
  <c r="P139" i="3"/>
  <c r="Q139" i="3" s="1"/>
  <c r="R139" i="3" s="1"/>
  <c r="P140" i="3" l="1"/>
  <c r="Q140" i="3" s="1"/>
  <c r="R140" i="3" s="1"/>
  <c r="AD140" i="3"/>
  <c r="A141" i="3"/>
  <c r="B141" i="3" s="1"/>
  <c r="AA140" i="3"/>
  <c r="Z140" i="3"/>
  <c r="AC140" i="3"/>
  <c r="AH37" i="3"/>
  <c r="AG37" i="3"/>
  <c r="U36" i="3"/>
  <c r="E37" i="3" s="1"/>
  <c r="H37" i="3" s="1"/>
  <c r="Y35" i="3"/>
  <c r="S139" i="3"/>
  <c r="T138" i="3"/>
  <c r="D37" i="3" l="1"/>
  <c r="G37" i="3" s="1"/>
  <c r="A142" i="3"/>
  <c r="B142" i="3" s="1"/>
  <c r="P141" i="3"/>
  <c r="Q141" i="3" s="1"/>
  <c r="R141" i="3" s="1"/>
  <c r="AC141" i="3"/>
  <c r="Z141" i="3"/>
  <c r="AD141" i="3"/>
  <c r="AA141" i="3"/>
  <c r="K37" i="3"/>
  <c r="S140" i="3"/>
  <c r="T139" i="3"/>
  <c r="F37" i="3" l="1"/>
  <c r="A143" i="3"/>
  <c r="B143" i="3" s="1"/>
  <c r="AA142" i="3"/>
  <c r="P142" i="3"/>
  <c r="Q142" i="3" s="1"/>
  <c r="R142" i="3" s="1"/>
  <c r="AC142" i="3"/>
  <c r="AD142" i="3"/>
  <c r="Z142" i="3"/>
  <c r="I37" i="3"/>
  <c r="J37" i="3"/>
  <c r="M37" i="3"/>
  <c r="N37" i="3" s="1"/>
  <c r="V37" i="3"/>
  <c r="AE37" i="3"/>
  <c r="T140" i="3"/>
  <c r="S141" i="3"/>
  <c r="W37" i="3" l="1"/>
  <c r="P143" i="3"/>
  <c r="Q143" i="3" s="1"/>
  <c r="R143" i="3" s="1"/>
  <c r="AC143" i="3"/>
  <c r="A144" i="3"/>
  <c r="B144" i="3" s="1"/>
  <c r="AD143" i="3"/>
  <c r="AA143" i="3"/>
  <c r="Z143" i="3"/>
  <c r="T141" i="3"/>
  <c r="S142" i="3"/>
  <c r="L37" i="3"/>
  <c r="T142" i="3" l="1"/>
  <c r="S143" i="3"/>
  <c r="Z144" i="3"/>
  <c r="P144" i="3"/>
  <c r="Q144" i="3" s="1"/>
  <c r="R144" i="3" s="1"/>
  <c r="A145" i="3"/>
  <c r="B145" i="3" s="1"/>
  <c r="AA144" i="3"/>
  <c r="AC144" i="3"/>
  <c r="AD144" i="3"/>
  <c r="AH38" i="3"/>
  <c r="AG38" i="3"/>
  <c r="U37" i="3"/>
  <c r="D38" i="3" s="1"/>
  <c r="Y36" i="3"/>
  <c r="G38" i="3" l="1"/>
  <c r="P145" i="3"/>
  <c r="Q145" i="3" s="1"/>
  <c r="R145" i="3" s="1"/>
  <c r="A146" i="3"/>
  <c r="B146" i="3" s="1"/>
  <c r="Z145" i="3"/>
  <c r="AA145" i="3"/>
  <c r="AC145" i="3"/>
  <c r="AD145" i="3"/>
  <c r="T143" i="3"/>
  <c r="S144" i="3"/>
  <c r="E38" i="3"/>
  <c r="H38" i="3" s="1"/>
  <c r="Z146" i="3" l="1"/>
  <c r="A147" i="3"/>
  <c r="B147" i="3" s="1"/>
  <c r="AA146" i="3"/>
  <c r="AD146" i="3"/>
  <c r="P146" i="3"/>
  <c r="Q146" i="3" s="1"/>
  <c r="R146" i="3" s="1"/>
  <c r="AC146" i="3"/>
  <c r="K38" i="3"/>
  <c r="F38" i="3"/>
  <c r="I38" i="3"/>
  <c r="J38" i="3"/>
  <c r="M38" i="3"/>
  <c r="N38" i="3" s="1"/>
  <c r="T144" i="3"/>
  <c r="S145" i="3"/>
  <c r="Z147" i="3" l="1"/>
  <c r="P147" i="3"/>
  <c r="Q147" i="3" s="1"/>
  <c r="R147" i="3" s="1"/>
  <c r="AC147" i="3"/>
  <c r="A148" i="3"/>
  <c r="B148" i="3" s="1"/>
  <c r="AD147" i="3"/>
  <c r="AA147" i="3"/>
  <c r="S146" i="3"/>
  <c r="T145" i="3"/>
  <c r="L38" i="3"/>
  <c r="V38" i="3"/>
  <c r="W38" i="3" s="1"/>
  <c r="AE38" i="3"/>
  <c r="AD148" i="3" l="1"/>
  <c r="P148" i="3"/>
  <c r="Q148" i="3" s="1"/>
  <c r="R148" i="3" s="1"/>
  <c r="Z148" i="3"/>
  <c r="AC148" i="3"/>
  <c r="AA148" i="3"/>
  <c r="A149" i="3"/>
  <c r="B149" i="3" s="1"/>
  <c r="S147" i="3"/>
  <c r="T146" i="3"/>
  <c r="U38" i="3"/>
  <c r="D39" i="3" s="1"/>
  <c r="AG39" i="3"/>
  <c r="AH39" i="3"/>
  <c r="Y37" i="3"/>
  <c r="G39" i="3" l="1"/>
  <c r="AD149" i="3"/>
  <c r="AC149" i="3"/>
  <c r="P149" i="3"/>
  <c r="Q149" i="3" s="1"/>
  <c r="R149" i="3" s="1"/>
  <c r="AA149" i="3"/>
  <c r="Z149" i="3"/>
  <c r="A150" i="3"/>
  <c r="B150" i="3" s="1"/>
  <c r="T147" i="3"/>
  <c r="S148" i="3"/>
  <c r="E39" i="3"/>
  <c r="H39" i="3" s="1"/>
  <c r="AA150" i="3" l="1"/>
  <c r="P150" i="3"/>
  <c r="Q150" i="3" s="1"/>
  <c r="R150" i="3" s="1"/>
  <c r="Z150" i="3"/>
  <c r="AD150" i="3"/>
  <c r="AC150" i="3"/>
  <c r="A151" i="3"/>
  <c r="B151" i="3" s="1"/>
  <c r="F39" i="3"/>
  <c r="K39" i="3"/>
  <c r="I39" i="3"/>
  <c r="J39" i="3"/>
  <c r="M39" i="3"/>
  <c r="N39" i="3" s="1"/>
  <c r="T148" i="3"/>
  <c r="S149" i="3"/>
  <c r="S150" i="3" l="1"/>
  <c r="T149" i="3"/>
  <c r="P151" i="3"/>
  <c r="Q151" i="3" s="1"/>
  <c r="R151" i="3" s="1"/>
  <c r="AC151" i="3"/>
  <c r="AD151" i="3"/>
  <c r="Z151" i="3"/>
  <c r="A152" i="3"/>
  <c r="B152" i="3" s="1"/>
  <c r="AA151" i="3"/>
  <c r="L39" i="3"/>
  <c r="V39" i="3"/>
  <c r="W39" i="3" s="1"/>
  <c r="AE39" i="3"/>
  <c r="S151" i="3" l="1"/>
  <c r="T150" i="3"/>
  <c r="A153" i="3"/>
  <c r="B153" i="3" s="1"/>
  <c r="AC152" i="3"/>
  <c r="AA152" i="3"/>
  <c r="P152" i="3"/>
  <c r="Q152" i="3" s="1"/>
  <c r="R152" i="3" s="1"/>
  <c r="AD152" i="3"/>
  <c r="Z152" i="3"/>
  <c r="U39" i="3"/>
  <c r="E40" i="3" s="1"/>
  <c r="H40" i="3" s="1"/>
  <c r="AH40" i="3"/>
  <c r="AG40" i="3"/>
  <c r="Y38" i="3"/>
  <c r="D40" i="3" l="1"/>
  <c r="F40" i="3" s="1"/>
  <c r="A154" i="3"/>
  <c r="B154" i="3" s="1"/>
  <c r="P153" i="3"/>
  <c r="Q153" i="3" s="1"/>
  <c r="R153" i="3" s="1"/>
  <c r="AD153" i="3"/>
  <c r="Z153" i="3"/>
  <c r="AA153" i="3"/>
  <c r="AC153" i="3"/>
  <c r="S152" i="3"/>
  <c r="T151" i="3"/>
  <c r="K40" i="3"/>
  <c r="G40" i="3" l="1"/>
  <c r="M40" i="3" s="1"/>
  <c r="N40" i="3" s="1"/>
  <c r="P154" i="3"/>
  <c r="Q154" i="3" s="1"/>
  <c r="R154" i="3" s="1"/>
  <c r="AD154" i="3"/>
  <c r="Z154" i="3"/>
  <c r="AA154" i="3"/>
  <c r="A155" i="3"/>
  <c r="B155" i="3" s="1"/>
  <c r="AC154" i="3"/>
  <c r="S153" i="3"/>
  <c r="T152" i="3"/>
  <c r="V40" i="3"/>
  <c r="AE40" i="3"/>
  <c r="I40" i="3" l="1"/>
  <c r="W40" i="3" s="1"/>
  <c r="J40" i="3"/>
  <c r="L40" i="3" s="1"/>
  <c r="Z155" i="3"/>
  <c r="P155" i="3"/>
  <c r="Q155" i="3" s="1"/>
  <c r="R155" i="3" s="1"/>
  <c r="A156" i="3"/>
  <c r="B156" i="3" s="1"/>
  <c r="AD155" i="3"/>
  <c r="AC155" i="3"/>
  <c r="AA155" i="3"/>
  <c r="T153" i="3"/>
  <c r="S154" i="3"/>
  <c r="U40" i="3" l="1"/>
  <c r="D41" i="3" s="1"/>
  <c r="AG41" i="3"/>
  <c r="AH41" i="3"/>
  <c r="Y39" i="3"/>
  <c r="S155" i="3"/>
  <c r="T154" i="3"/>
  <c r="AA156" i="3"/>
  <c r="A157" i="3"/>
  <c r="B157" i="3" s="1"/>
  <c r="AD156" i="3"/>
  <c r="Z156" i="3"/>
  <c r="AC156" i="3"/>
  <c r="P156" i="3"/>
  <c r="Q156" i="3" s="1"/>
  <c r="R156" i="3" s="1"/>
  <c r="G41" i="3" l="1"/>
  <c r="A158" i="3"/>
  <c r="B158" i="3" s="1"/>
  <c r="AD157" i="3"/>
  <c r="P157" i="3"/>
  <c r="Q157" i="3" s="1"/>
  <c r="R157" i="3" s="1"/>
  <c r="AA157" i="3"/>
  <c r="Z157" i="3"/>
  <c r="AC157" i="3"/>
  <c r="E41" i="3"/>
  <c r="H41" i="3" s="1"/>
  <c r="T155" i="3"/>
  <c r="S156" i="3"/>
  <c r="F41" i="3" l="1"/>
  <c r="S157" i="3"/>
  <c r="T156" i="3"/>
  <c r="A159" i="3"/>
  <c r="B159" i="3" s="1"/>
  <c r="P158" i="3"/>
  <c r="Q158" i="3" s="1"/>
  <c r="R158" i="3" s="1"/>
  <c r="AA158" i="3"/>
  <c r="AC158" i="3"/>
  <c r="Z158" i="3"/>
  <c r="AD158" i="3"/>
  <c r="I41" i="3"/>
  <c r="J41" i="3"/>
  <c r="M41" i="3"/>
  <c r="N41" i="3" s="1"/>
  <c r="K41" i="3"/>
  <c r="V41" i="3" l="1"/>
  <c r="W41" i="3" s="1"/>
  <c r="AE41" i="3"/>
  <c r="L41" i="3"/>
  <c r="A160" i="3"/>
  <c r="B160" i="3" s="1"/>
  <c r="AC159" i="3"/>
  <c r="P159" i="3"/>
  <c r="Q159" i="3" s="1"/>
  <c r="R159" i="3" s="1"/>
  <c r="AD159" i="3"/>
  <c r="Z159" i="3"/>
  <c r="AA159" i="3"/>
  <c r="S158" i="3"/>
  <c r="T157" i="3"/>
  <c r="AA160" i="3" l="1"/>
  <c r="P160" i="3"/>
  <c r="Q160" i="3" s="1"/>
  <c r="R160" i="3" s="1"/>
  <c r="Z160" i="3"/>
  <c r="AC160" i="3"/>
  <c r="AD160" i="3"/>
  <c r="A161" i="3"/>
  <c r="B161" i="3" s="1"/>
  <c r="U41" i="3"/>
  <c r="E42" i="3" s="1"/>
  <c r="H42" i="3" s="1"/>
  <c r="AG42" i="3"/>
  <c r="AH42" i="3"/>
  <c r="Y40" i="3"/>
  <c r="T158" i="3"/>
  <c r="S159" i="3"/>
  <c r="D42" i="3" l="1"/>
  <c r="G42" i="3" s="1"/>
  <c r="Z161" i="3"/>
  <c r="AA161" i="3"/>
  <c r="P161" i="3"/>
  <c r="Q161" i="3" s="1"/>
  <c r="R161" i="3" s="1"/>
  <c r="A162" i="3"/>
  <c r="B162" i="3" s="1"/>
  <c r="AC161" i="3"/>
  <c r="AD161" i="3"/>
  <c r="S160" i="3"/>
  <c r="T159" i="3"/>
  <c r="K42" i="3"/>
  <c r="F42" i="3" l="1"/>
  <c r="AD162" i="3"/>
  <c r="Z162" i="3"/>
  <c r="P162" i="3"/>
  <c r="Q162" i="3" s="1"/>
  <c r="R162" i="3" s="1"/>
  <c r="AC162" i="3"/>
  <c r="AA162" i="3"/>
  <c r="A163" i="3"/>
  <c r="B163" i="3" s="1"/>
  <c r="V42" i="3"/>
  <c r="AE42" i="3"/>
  <c r="S161" i="3"/>
  <c r="T160" i="3"/>
  <c r="I42" i="3"/>
  <c r="J42" i="3"/>
  <c r="M42" i="3"/>
  <c r="N42" i="3" s="1"/>
  <c r="W42" i="3" l="1"/>
  <c r="L42" i="3"/>
  <c r="T161" i="3"/>
  <c r="S162" i="3"/>
  <c r="AD163" i="3"/>
  <c r="A164" i="3"/>
  <c r="B164" i="3" s="1"/>
  <c r="AC163" i="3"/>
  <c r="Z163" i="3"/>
  <c r="P163" i="3"/>
  <c r="Q163" i="3" s="1"/>
  <c r="R163" i="3" s="1"/>
  <c r="AA163" i="3"/>
  <c r="P164" i="3" l="1"/>
  <c r="Q164" i="3" s="1"/>
  <c r="R164" i="3" s="1"/>
  <c r="AA164" i="3"/>
  <c r="AD164" i="3"/>
  <c r="Z164" i="3"/>
  <c r="A165" i="3"/>
  <c r="B165" i="3" s="1"/>
  <c r="AC164" i="3"/>
  <c r="AG43" i="3"/>
  <c r="AH43" i="3"/>
  <c r="U42" i="3"/>
  <c r="E43" i="3" s="1"/>
  <c r="H43" i="3" s="1"/>
  <c r="Y41" i="3"/>
  <c r="S163" i="3"/>
  <c r="T162" i="3"/>
  <c r="K43" i="3" l="1"/>
  <c r="AD165" i="3"/>
  <c r="A166" i="3"/>
  <c r="B166" i="3" s="1"/>
  <c r="AA165" i="3"/>
  <c r="AC165" i="3"/>
  <c r="Z165" i="3"/>
  <c r="P165" i="3"/>
  <c r="Q165" i="3" s="1"/>
  <c r="R165" i="3" s="1"/>
  <c r="D43" i="3"/>
  <c r="S164" i="3"/>
  <c r="T163" i="3"/>
  <c r="A167" i="3" l="1"/>
  <c r="B167" i="3" s="1"/>
  <c r="AA166" i="3"/>
  <c r="AC166" i="3"/>
  <c r="P166" i="3"/>
  <c r="Q166" i="3" s="1"/>
  <c r="R166" i="3" s="1"/>
  <c r="AD166" i="3"/>
  <c r="Z166" i="3"/>
  <c r="T164" i="3"/>
  <c r="S165" i="3"/>
  <c r="V43" i="3"/>
  <c r="AE43" i="3"/>
  <c r="F43" i="3"/>
  <c r="G43" i="3"/>
  <c r="P167" i="3" l="1"/>
  <c r="Q167" i="3" s="1"/>
  <c r="R167" i="3" s="1"/>
  <c r="AA167" i="3"/>
  <c r="AC167" i="3"/>
  <c r="Z167" i="3"/>
  <c r="A168" i="3"/>
  <c r="B168" i="3" s="1"/>
  <c r="AD167" i="3"/>
  <c r="S166" i="3"/>
  <c r="T165" i="3"/>
  <c r="I43" i="3"/>
  <c r="W43" i="3" s="1"/>
  <c r="J43" i="3"/>
  <c r="M43" i="3"/>
  <c r="N43" i="3" s="1"/>
  <c r="A169" i="3" l="1"/>
  <c r="B169" i="3" s="1"/>
  <c r="Z168" i="3"/>
  <c r="P168" i="3"/>
  <c r="Q168" i="3" s="1"/>
  <c r="R168" i="3" s="1"/>
  <c r="AD168" i="3"/>
  <c r="AC168" i="3"/>
  <c r="AA168" i="3"/>
  <c r="L43" i="3"/>
  <c r="T166" i="3"/>
  <c r="S167" i="3"/>
  <c r="AD169" i="3" l="1"/>
  <c r="P169" i="3"/>
  <c r="Q169" i="3" s="1"/>
  <c r="R169" i="3" s="1"/>
  <c r="A170" i="3"/>
  <c r="B170" i="3" s="1"/>
  <c r="Z169" i="3"/>
  <c r="AA169" i="3"/>
  <c r="AC169" i="3"/>
  <c r="AG44" i="3"/>
  <c r="AH44" i="3"/>
  <c r="U43" i="3"/>
  <c r="E44" i="3" s="1"/>
  <c r="H44" i="3" s="1"/>
  <c r="Y42" i="3"/>
  <c r="S168" i="3"/>
  <c r="T167" i="3"/>
  <c r="D44" i="3" l="1"/>
  <c r="F44" i="3" s="1"/>
  <c r="K44" i="3"/>
  <c r="AA170" i="3"/>
  <c r="AC170" i="3"/>
  <c r="P170" i="3"/>
  <c r="Q170" i="3" s="1"/>
  <c r="R170" i="3" s="1"/>
  <c r="A171" i="3"/>
  <c r="B171" i="3" s="1"/>
  <c r="AD170" i="3"/>
  <c r="Z170" i="3"/>
  <c r="T168" i="3"/>
  <c r="S169" i="3"/>
  <c r="G44" i="3" l="1"/>
  <c r="J44" i="3" s="1"/>
  <c r="A172" i="3"/>
  <c r="B172" i="3" s="1"/>
  <c r="AD171" i="3"/>
  <c r="P171" i="3"/>
  <c r="Q171" i="3" s="1"/>
  <c r="R171" i="3" s="1"/>
  <c r="Z171" i="3"/>
  <c r="AA171" i="3"/>
  <c r="AC171" i="3"/>
  <c r="V44" i="3"/>
  <c r="AE44" i="3"/>
  <c r="T169" i="3"/>
  <c r="S170" i="3"/>
  <c r="M44" i="3" l="1"/>
  <c r="N44" i="3" s="1"/>
  <c r="I44" i="3"/>
  <c r="W44" i="3" s="1"/>
  <c r="A173" i="3"/>
  <c r="B173" i="3" s="1"/>
  <c r="AD172" i="3"/>
  <c r="P172" i="3"/>
  <c r="Q172" i="3" s="1"/>
  <c r="R172" i="3" s="1"/>
  <c r="AA172" i="3"/>
  <c r="AC172" i="3"/>
  <c r="Z172" i="3"/>
  <c r="T170" i="3"/>
  <c r="S171" i="3"/>
  <c r="L44" i="3"/>
  <c r="Z173" i="3" l="1"/>
  <c r="P173" i="3"/>
  <c r="Q173" i="3" s="1"/>
  <c r="R173" i="3" s="1"/>
  <c r="AD173" i="3"/>
  <c r="AA173" i="3"/>
  <c r="AC173" i="3"/>
  <c r="A174" i="3"/>
  <c r="B174" i="3" s="1"/>
  <c r="T171" i="3"/>
  <c r="S172" i="3"/>
  <c r="U44" i="3"/>
  <c r="E45" i="3" s="1"/>
  <c r="H45" i="3" s="1"/>
  <c r="AH45" i="3"/>
  <c r="AG45" i="3"/>
  <c r="Y43" i="3"/>
  <c r="D45" i="3" l="1"/>
  <c r="G45" i="3" s="1"/>
  <c r="K45" i="3"/>
  <c r="Z174" i="3"/>
  <c r="A175" i="3"/>
  <c r="B175" i="3" s="1"/>
  <c r="AD174" i="3"/>
  <c r="P174" i="3"/>
  <c r="Q174" i="3" s="1"/>
  <c r="R174" i="3" s="1"/>
  <c r="AA174" i="3"/>
  <c r="AC174" i="3"/>
  <c r="S173" i="3"/>
  <c r="T172" i="3"/>
  <c r="F45" i="3" l="1"/>
  <c r="P175" i="3"/>
  <c r="Q175" i="3" s="1"/>
  <c r="R175" i="3" s="1"/>
  <c r="A176" i="3"/>
  <c r="B176" i="3" s="1"/>
  <c r="AD175" i="3"/>
  <c r="AC175" i="3"/>
  <c r="AA175" i="3"/>
  <c r="Z175" i="3"/>
  <c r="I45" i="3"/>
  <c r="J45" i="3"/>
  <c r="M45" i="3"/>
  <c r="N45" i="3" s="1"/>
  <c r="S174" i="3"/>
  <c r="T173" i="3"/>
  <c r="V45" i="3"/>
  <c r="AE45" i="3"/>
  <c r="AD176" i="3" l="1"/>
  <c r="P176" i="3"/>
  <c r="Q176" i="3" s="1"/>
  <c r="R176" i="3" s="1"/>
  <c r="A177" i="3"/>
  <c r="B177" i="3" s="1"/>
  <c r="Z176" i="3"/>
  <c r="AC176" i="3"/>
  <c r="AA176" i="3"/>
  <c r="T174" i="3"/>
  <c r="S175" i="3"/>
  <c r="L45" i="3"/>
  <c r="W45" i="3"/>
  <c r="T175" i="3" l="1"/>
  <c r="S176" i="3"/>
  <c r="P177" i="3"/>
  <c r="Q177" i="3" s="1"/>
  <c r="R177" i="3" s="1"/>
  <c r="AA177" i="3"/>
  <c r="Z177" i="3"/>
  <c r="A178" i="3"/>
  <c r="B178" i="3" s="1"/>
  <c r="AC177" i="3"/>
  <c r="AD177" i="3"/>
  <c r="U45" i="3"/>
  <c r="D46" i="3" s="1"/>
  <c r="AG46" i="3"/>
  <c r="AH46" i="3"/>
  <c r="Y44" i="3"/>
  <c r="E46" i="3" l="1"/>
  <c r="H46" i="3" s="1"/>
  <c r="K46" i="3" s="1"/>
  <c r="G46" i="3"/>
  <c r="P178" i="3"/>
  <c r="Q178" i="3" s="1"/>
  <c r="R178" i="3" s="1"/>
  <c r="AA178" i="3"/>
  <c r="A179" i="3"/>
  <c r="B179" i="3" s="1"/>
  <c r="Z178" i="3"/>
  <c r="AD178" i="3"/>
  <c r="AC178" i="3"/>
  <c r="T176" i="3"/>
  <c r="S177" i="3"/>
  <c r="F46" i="3" l="1"/>
  <c r="P179" i="3"/>
  <c r="Q179" i="3" s="1"/>
  <c r="R179" i="3" s="1"/>
  <c r="A180" i="3"/>
  <c r="B180" i="3" s="1"/>
  <c r="AA179" i="3"/>
  <c r="Z179" i="3"/>
  <c r="AD179" i="3"/>
  <c r="AC179" i="3"/>
  <c r="I46" i="3"/>
  <c r="J46" i="3"/>
  <c r="M46" i="3"/>
  <c r="N46" i="3" s="1"/>
  <c r="V46" i="3"/>
  <c r="AE46" i="3"/>
  <c r="S178" i="3"/>
  <c r="T177" i="3"/>
  <c r="W46" i="3" l="1"/>
  <c r="AC180" i="3"/>
  <c r="A181" i="3"/>
  <c r="B181" i="3" s="1"/>
  <c r="AA180" i="3"/>
  <c r="AD180" i="3"/>
  <c r="Z180" i="3"/>
  <c r="P180" i="3"/>
  <c r="Q180" i="3" s="1"/>
  <c r="R180" i="3" s="1"/>
  <c r="T178" i="3"/>
  <c r="S179" i="3"/>
  <c r="L46" i="3"/>
  <c r="AA181" i="3" l="1"/>
  <c r="Z181" i="3"/>
  <c r="A182" i="3"/>
  <c r="B182" i="3" s="1"/>
  <c r="AD181" i="3"/>
  <c r="AC181" i="3"/>
  <c r="P181" i="3"/>
  <c r="Q181" i="3" s="1"/>
  <c r="R181" i="3" s="1"/>
  <c r="S180" i="3"/>
  <c r="T179" i="3"/>
  <c r="AG47" i="3"/>
  <c r="U46" i="3"/>
  <c r="D47" i="3" s="1"/>
  <c r="AH47" i="3"/>
  <c r="Y45" i="3"/>
  <c r="E47" i="3" l="1"/>
  <c r="H47" i="3" s="1"/>
  <c r="K47" i="3" s="1"/>
  <c r="A183" i="3"/>
  <c r="B183" i="3" s="1"/>
  <c r="AA182" i="3"/>
  <c r="P182" i="3"/>
  <c r="Q182" i="3" s="1"/>
  <c r="R182" i="3" s="1"/>
  <c r="Z182" i="3"/>
  <c r="AD182" i="3"/>
  <c r="AC182" i="3"/>
  <c r="T180" i="3"/>
  <c r="S181" i="3"/>
  <c r="G47" i="3"/>
  <c r="F47" i="3" l="1"/>
  <c r="Z183" i="3"/>
  <c r="AA183" i="3"/>
  <c r="AC183" i="3"/>
  <c r="A184" i="3"/>
  <c r="B184" i="3" s="1"/>
  <c r="P183" i="3"/>
  <c r="Q183" i="3" s="1"/>
  <c r="R183" i="3" s="1"/>
  <c r="AD183" i="3"/>
  <c r="S182" i="3"/>
  <c r="T181" i="3"/>
  <c r="I47" i="3"/>
  <c r="J47" i="3"/>
  <c r="M47" i="3"/>
  <c r="N47" i="3" s="1"/>
  <c r="V47" i="3"/>
  <c r="AE47" i="3"/>
  <c r="W47" i="3" l="1"/>
  <c r="AD184" i="3"/>
  <c r="Z184" i="3"/>
  <c r="P184" i="3"/>
  <c r="Q184" i="3" s="1"/>
  <c r="R184" i="3" s="1"/>
  <c r="AA184" i="3"/>
  <c r="A185" i="3"/>
  <c r="B185" i="3" s="1"/>
  <c r="AC184" i="3"/>
  <c r="L47" i="3"/>
  <c r="S183" i="3"/>
  <c r="T182" i="3"/>
  <c r="AD185" i="3" l="1"/>
  <c r="A186" i="3"/>
  <c r="B186" i="3" s="1"/>
  <c r="AC185" i="3"/>
  <c r="P185" i="3"/>
  <c r="Q185" i="3" s="1"/>
  <c r="R185" i="3" s="1"/>
  <c r="AA185" i="3"/>
  <c r="Z185" i="3"/>
  <c r="AG48" i="3"/>
  <c r="U47" i="3"/>
  <c r="E48" i="3" s="1"/>
  <c r="H48" i="3" s="1"/>
  <c r="AH48" i="3"/>
  <c r="Y46" i="3"/>
  <c r="S184" i="3"/>
  <c r="T183" i="3"/>
  <c r="AD186" i="3" l="1"/>
  <c r="Z186" i="3"/>
  <c r="A187" i="3"/>
  <c r="B187" i="3" s="1"/>
  <c r="P186" i="3"/>
  <c r="Q186" i="3" s="1"/>
  <c r="R186" i="3" s="1"/>
  <c r="AA186" i="3"/>
  <c r="AC186" i="3"/>
  <c r="K48" i="3"/>
  <c r="D48" i="3"/>
  <c r="T184" i="3"/>
  <c r="S185" i="3"/>
  <c r="P187" i="3" l="1"/>
  <c r="Q187" i="3" s="1"/>
  <c r="R187" i="3" s="1"/>
  <c r="AD187" i="3"/>
  <c r="A188" i="3"/>
  <c r="B188" i="3" s="1"/>
  <c r="AA187" i="3"/>
  <c r="AC187" i="3"/>
  <c r="Z187" i="3"/>
  <c r="S186" i="3"/>
  <c r="T185" i="3"/>
  <c r="V48" i="3"/>
  <c r="AE48" i="3"/>
  <c r="F48" i="3"/>
  <c r="G48" i="3"/>
  <c r="S187" i="3" l="1"/>
  <c r="T186" i="3"/>
  <c r="Z188" i="3"/>
  <c r="A189" i="3"/>
  <c r="B189" i="3" s="1"/>
  <c r="AA188" i="3"/>
  <c r="P188" i="3"/>
  <c r="Q188" i="3" s="1"/>
  <c r="R188" i="3" s="1"/>
  <c r="AD188" i="3"/>
  <c r="AC188" i="3"/>
  <c r="I48" i="3"/>
  <c r="W48" i="3" s="1"/>
  <c r="J48" i="3"/>
  <c r="M48" i="3"/>
  <c r="N48" i="3" s="1"/>
  <c r="Z189" i="3" l="1"/>
  <c r="P189" i="3"/>
  <c r="Q189" i="3" s="1"/>
  <c r="R189" i="3" s="1"/>
  <c r="A190" i="3"/>
  <c r="B190" i="3" s="1"/>
  <c r="AC189" i="3"/>
  <c r="AA189" i="3"/>
  <c r="AD189" i="3"/>
  <c r="S188" i="3"/>
  <c r="T187" i="3"/>
  <c r="L48" i="3"/>
  <c r="AC190" i="3" l="1"/>
  <c r="P190" i="3"/>
  <c r="Q190" i="3" s="1"/>
  <c r="R190" i="3" s="1"/>
  <c r="Z190" i="3"/>
  <c r="A191" i="3"/>
  <c r="B191" i="3" s="1"/>
  <c r="AD190" i="3"/>
  <c r="AA190" i="3"/>
  <c r="S189" i="3"/>
  <c r="T188" i="3"/>
  <c r="AH49" i="3"/>
  <c r="U48" i="3"/>
  <c r="E49" i="3" s="1"/>
  <c r="H49" i="3" s="1"/>
  <c r="AG49" i="3"/>
  <c r="Y47" i="3"/>
  <c r="D49" i="3" l="1"/>
  <c r="G49" i="3" s="1"/>
  <c r="K49" i="3"/>
  <c r="Z191" i="3"/>
  <c r="P191" i="3"/>
  <c r="Q191" i="3" s="1"/>
  <c r="R191" i="3" s="1"/>
  <c r="AA191" i="3"/>
  <c r="AC191" i="3"/>
  <c r="A192" i="3"/>
  <c r="B192" i="3" s="1"/>
  <c r="AD191" i="3"/>
  <c r="S190" i="3"/>
  <c r="T189" i="3"/>
  <c r="F49" i="3" l="1"/>
  <c r="P192" i="3"/>
  <c r="Q192" i="3" s="1"/>
  <c r="R192" i="3" s="1"/>
  <c r="Z192" i="3"/>
  <c r="AD192" i="3"/>
  <c r="AA192" i="3"/>
  <c r="A193" i="3"/>
  <c r="B193" i="3" s="1"/>
  <c r="AC192" i="3"/>
  <c r="V49" i="3"/>
  <c r="AE49" i="3"/>
  <c r="I49" i="3"/>
  <c r="J49" i="3"/>
  <c r="M49" i="3"/>
  <c r="N49" i="3" s="1"/>
  <c r="S191" i="3"/>
  <c r="T190" i="3"/>
  <c r="W49" i="3" l="1"/>
  <c r="Z193" i="3"/>
  <c r="AC193" i="3"/>
  <c r="AA193" i="3"/>
  <c r="AD193" i="3"/>
  <c r="P193" i="3"/>
  <c r="Q193" i="3" s="1"/>
  <c r="R193" i="3" s="1"/>
  <c r="A194" i="3"/>
  <c r="B194" i="3" s="1"/>
  <c r="S192" i="3"/>
  <c r="T191" i="3"/>
  <c r="L49" i="3"/>
  <c r="T192" i="3" l="1"/>
  <c r="S193" i="3"/>
  <c r="AD194" i="3"/>
  <c r="P194" i="3"/>
  <c r="Q194" i="3" s="1"/>
  <c r="R194" i="3" s="1"/>
  <c r="AA194" i="3"/>
  <c r="A195" i="3"/>
  <c r="B195" i="3" s="1"/>
  <c r="AC194" i="3"/>
  <c r="Z194" i="3"/>
  <c r="AG50" i="3"/>
  <c r="AH50" i="3"/>
  <c r="U49" i="3"/>
  <c r="D50" i="3" s="1"/>
  <c r="Y48" i="3"/>
  <c r="E50" i="3" l="1"/>
  <c r="H50" i="3" s="1"/>
  <c r="K50" i="3" s="1"/>
  <c r="G50" i="3"/>
  <c r="S194" i="3"/>
  <c r="T193" i="3"/>
  <c r="Z195" i="3"/>
  <c r="AA195" i="3"/>
  <c r="P195" i="3"/>
  <c r="Q195" i="3" s="1"/>
  <c r="R195" i="3" s="1"/>
  <c r="A196" i="3"/>
  <c r="B196" i="3" s="1"/>
  <c r="AC195" i="3"/>
  <c r="AD195" i="3"/>
  <c r="F50" i="3" l="1"/>
  <c r="P196" i="3"/>
  <c r="Q196" i="3" s="1"/>
  <c r="R196" i="3" s="1"/>
  <c r="A197" i="3"/>
  <c r="B197" i="3" s="1"/>
  <c r="Z196" i="3"/>
  <c r="AC196" i="3"/>
  <c r="AA196" i="3"/>
  <c r="AD196" i="3"/>
  <c r="S195" i="3"/>
  <c r="T194" i="3"/>
  <c r="I50" i="3"/>
  <c r="J50" i="3"/>
  <c r="M50" i="3"/>
  <c r="N50" i="3" s="1"/>
  <c r="V50" i="3"/>
  <c r="AE50" i="3"/>
  <c r="L50" i="3" l="1"/>
  <c r="S196" i="3"/>
  <c r="T195" i="3"/>
  <c r="AD197" i="3"/>
  <c r="P197" i="3"/>
  <c r="Q197" i="3" s="1"/>
  <c r="R197" i="3" s="1"/>
  <c r="AA197" i="3"/>
  <c r="A198" i="3"/>
  <c r="B198" i="3" s="1"/>
  <c r="Z197" i="3"/>
  <c r="AC197" i="3"/>
  <c r="W50" i="3"/>
  <c r="P198" i="3" l="1"/>
  <c r="Q198" i="3" s="1"/>
  <c r="R198" i="3" s="1"/>
  <c r="A199" i="3"/>
  <c r="B199" i="3" s="1"/>
  <c r="AA198" i="3"/>
  <c r="Z198" i="3"/>
  <c r="AC198" i="3"/>
  <c r="AD198" i="3"/>
  <c r="U50" i="3"/>
  <c r="D51" i="3" s="1"/>
  <c r="AH51" i="3"/>
  <c r="AG51" i="3"/>
  <c r="Y49" i="3"/>
  <c r="S197" i="3"/>
  <c r="T196" i="3"/>
  <c r="E51" i="3" l="1"/>
  <c r="H51" i="3" s="1"/>
  <c r="K51" i="3" s="1"/>
  <c r="AD199" i="3"/>
  <c r="P199" i="3"/>
  <c r="Q199" i="3" s="1"/>
  <c r="R199" i="3" s="1"/>
  <c r="A200" i="3"/>
  <c r="B200" i="3" s="1"/>
  <c r="AC199" i="3"/>
  <c r="AA199" i="3"/>
  <c r="Z199" i="3"/>
  <c r="G51" i="3"/>
  <c r="T197" i="3"/>
  <c r="S198" i="3"/>
  <c r="F51" i="3" l="1"/>
  <c r="AA200" i="3"/>
  <c r="A201" i="3"/>
  <c r="B201" i="3" s="1"/>
  <c r="AC200" i="3"/>
  <c r="Z200" i="3"/>
  <c r="P200" i="3"/>
  <c r="Q200" i="3" s="1"/>
  <c r="R200" i="3" s="1"/>
  <c r="AD200" i="3"/>
  <c r="V51" i="3"/>
  <c r="AE51" i="3"/>
  <c r="I51" i="3"/>
  <c r="J51" i="3"/>
  <c r="M51" i="3"/>
  <c r="N51" i="3" s="1"/>
  <c r="T198" i="3"/>
  <c r="S199" i="3"/>
  <c r="W51" i="3" l="1"/>
  <c r="A202" i="3"/>
  <c r="B202" i="3" s="1"/>
  <c r="AC201" i="3"/>
  <c r="Z201" i="3"/>
  <c r="AD201" i="3"/>
  <c r="P201" i="3"/>
  <c r="Q201" i="3" s="1"/>
  <c r="R201" i="3" s="1"/>
  <c r="AA201" i="3"/>
  <c r="L51" i="3"/>
  <c r="S200" i="3"/>
  <c r="T199" i="3"/>
  <c r="AD202" i="3" l="1"/>
  <c r="P202" i="3"/>
  <c r="Q202" i="3" s="1"/>
  <c r="R202" i="3" s="1"/>
  <c r="AA202" i="3"/>
  <c r="AC202" i="3"/>
  <c r="Z202" i="3"/>
  <c r="A203" i="3"/>
  <c r="B203" i="3" s="1"/>
  <c r="AH52" i="3"/>
  <c r="AG52" i="3"/>
  <c r="U51" i="3"/>
  <c r="E52" i="3" s="1"/>
  <c r="H52" i="3" s="1"/>
  <c r="Y50" i="3"/>
  <c r="S201" i="3"/>
  <c r="T200" i="3"/>
  <c r="D52" i="3" l="1"/>
  <c r="G52" i="3" s="1"/>
  <c r="K52" i="3"/>
  <c r="Z203" i="3"/>
  <c r="P203" i="3"/>
  <c r="Q203" i="3" s="1"/>
  <c r="R203" i="3" s="1"/>
  <c r="AD203" i="3"/>
  <c r="AA203" i="3"/>
  <c r="A204" i="3"/>
  <c r="B204" i="3" s="1"/>
  <c r="AC203" i="3"/>
  <c r="S202" i="3"/>
  <c r="T201" i="3"/>
  <c r="F52" i="3" l="1"/>
  <c r="P204" i="3"/>
  <c r="Q204" i="3" s="1"/>
  <c r="R204" i="3" s="1"/>
  <c r="Z204" i="3"/>
  <c r="AA204" i="3"/>
  <c r="AC204" i="3"/>
  <c r="S203" i="3"/>
  <c r="T202" i="3"/>
  <c r="V52" i="3"/>
  <c r="AE52" i="3"/>
  <c r="I52" i="3"/>
  <c r="J52" i="3"/>
  <c r="M52" i="3"/>
  <c r="N52" i="3" s="1"/>
  <c r="S204" i="3" l="1"/>
  <c r="T203" i="3"/>
  <c r="L52" i="3"/>
  <c r="W52" i="3"/>
  <c r="T204" i="3" l="1"/>
  <c r="AH53" i="3"/>
  <c r="AG53" i="3"/>
  <c r="U52" i="3"/>
  <c r="E53" i="3" s="1"/>
  <c r="H53" i="3" s="1"/>
  <c r="Y51" i="3"/>
  <c r="K53" i="3" l="1"/>
  <c r="D53" i="3"/>
  <c r="V53" i="3" l="1"/>
  <c r="AE53" i="3"/>
  <c r="F53" i="3"/>
  <c r="G53" i="3"/>
  <c r="I53" i="3" l="1"/>
  <c r="W53" i="3" s="1"/>
  <c r="J53" i="3"/>
  <c r="M53" i="3"/>
  <c r="N53" i="3" s="1"/>
  <c r="L53" i="3" l="1"/>
  <c r="AH54" i="3" l="1"/>
  <c r="AG54" i="3"/>
  <c r="U53" i="3"/>
  <c r="D54" i="3" s="1"/>
  <c r="Y52" i="3"/>
  <c r="G54" i="3" l="1"/>
  <c r="E54" i="3"/>
  <c r="H54" i="3" s="1"/>
  <c r="I54" i="3" l="1"/>
  <c r="J54" i="3"/>
  <c r="M54" i="3"/>
  <c r="N54" i="3" s="1"/>
  <c r="F54" i="3"/>
  <c r="K54" i="3"/>
  <c r="L54" i="3" l="1"/>
  <c r="V54" i="3"/>
  <c r="W54" i="3" s="1"/>
  <c r="AE54" i="3"/>
  <c r="U54" i="3" l="1"/>
  <c r="D55" i="3" s="1"/>
  <c r="AG55" i="3"/>
  <c r="AH55" i="3"/>
  <c r="Y53" i="3"/>
  <c r="E55" i="3" l="1"/>
  <c r="H55" i="3" s="1"/>
  <c r="K55" i="3" s="1"/>
  <c r="G55" i="3"/>
  <c r="F55" i="3" l="1"/>
  <c r="V55" i="3"/>
  <c r="AE55" i="3"/>
  <c r="I55" i="3"/>
  <c r="J55" i="3"/>
  <c r="M55" i="3"/>
  <c r="N55" i="3" s="1"/>
  <c r="W55" i="3" l="1"/>
  <c r="L55" i="3"/>
  <c r="AH56" i="3" l="1"/>
  <c r="U55" i="3"/>
  <c r="D56" i="3" s="1"/>
  <c r="AG56" i="3"/>
  <c r="Y54" i="3"/>
  <c r="E56" i="3" l="1"/>
  <c r="H56" i="3" s="1"/>
  <c r="K56" i="3" s="1"/>
  <c r="G56" i="3"/>
  <c r="F56" i="3" l="1"/>
  <c r="I56" i="3"/>
  <c r="J56" i="3"/>
  <c r="M56" i="3"/>
  <c r="N56" i="3" s="1"/>
  <c r="V56" i="3"/>
  <c r="AE56" i="3"/>
  <c r="W56" i="3" l="1"/>
  <c r="L56" i="3"/>
  <c r="AG57" i="3" l="1"/>
  <c r="U56" i="3"/>
  <c r="D57" i="3" s="1"/>
  <c r="AH57" i="3"/>
  <c r="Y55" i="3"/>
  <c r="E57" i="3" l="1"/>
  <c r="H57" i="3" s="1"/>
  <c r="K57" i="3" s="1"/>
  <c r="G57" i="3"/>
  <c r="F57" i="3" l="1"/>
  <c r="I57" i="3"/>
  <c r="J57" i="3"/>
  <c r="M57" i="3"/>
  <c r="N57" i="3" s="1"/>
  <c r="V57" i="3"/>
  <c r="AE57" i="3"/>
  <c r="W57" i="3" l="1"/>
  <c r="L57" i="3"/>
  <c r="U57" i="3" l="1"/>
  <c r="D58" i="3" s="1"/>
  <c r="AH58" i="3"/>
  <c r="AG58" i="3"/>
  <c r="Y56" i="3"/>
  <c r="E58" i="3" l="1"/>
  <c r="H58" i="3" s="1"/>
  <c r="K58" i="3" s="1"/>
  <c r="G58" i="3"/>
  <c r="F58" i="3" l="1"/>
  <c r="V58" i="3"/>
  <c r="AE58" i="3"/>
  <c r="I58" i="3"/>
  <c r="J58" i="3"/>
  <c r="M58" i="3"/>
  <c r="N58" i="3" s="1"/>
  <c r="W58" i="3" l="1"/>
  <c r="L58" i="3"/>
  <c r="AG59" i="3" l="1"/>
  <c r="U58" i="3"/>
  <c r="E59" i="3" s="1"/>
  <c r="H59" i="3" s="1"/>
  <c r="AH59" i="3"/>
  <c r="Y57" i="3"/>
  <c r="D59" i="3" l="1"/>
  <c r="F59" i="3" s="1"/>
  <c r="K59" i="3"/>
  <c r="G59" i="3" l="1"/>
  <c r="M59" i="3" s="1"/>
  <c r="N59" i="3" s="1"/>
  <c r="V59" i="3"/>
  <c r="AE59" i="3"/>
  <c r="I59" i="3" l="1"/>
  <c r="W59" i="3" s="1"/>
  <c r="J59" i="3"/>
  <c r="L59" i="3" s="1"/>
  <c r="AH60" i="3" l="1"/>
  <c r="U59" i="3"/>
  <c r="D60" i="3" s="1"/>
  <c r="AG60" i="3"/>
  <c r="Y58" i="3"/>
  <c r="E60" i="3" l="1"/>
  <c r="H60" i="3" s="1"/>
  <c r="K60" i="3" s="1"/>
  <c r="G60" i="3"/>
  <c r="F60" i="3" l="1"/>
  <c r="I60" i="3"/>
  <c r="J60" i="3"/>
  <c r="M60" i="3"/>
  <c r="N60" i="3" s="1"/>
  <c r="V60" i="3"/>
  <c r="AE60" i="3"/>
  <c r="W60" i="3" l="1"/>
  <c r="L60" i="3"/>
  <c r="AG61" i="3" l="1"/>
  <c r="U60" i="3"/>
  <c r="D61" i="3" s="1"/>
  <c r="AH61" i="3"/>
  <c r="Y59" i="3"/>
  <c r="G61" i="3" l="1"/>
  <c r="E61" i="3"/>
  <c r="H61" i="3" s="1"/>
  <c r="F61" i="3" l="1"/>
  <c r="I61" i="3"/>
  <c r="J61" i="3"/>
  <c r="M61" i="3"/>
  <c r="N61" i="3" s="1"/>
  <c r="K61" i="3"/>
  <c r="V61" i="3" l="1"/>
  <c r="W61" i="3" s="1"/>
  <c r="AE61" i="3"/>
  <c r="L61" i="3"/>
  <c r="AG62" i="3" l="1"/>
  <c r="U61" i="3"/>
  <c r="D62" i="3" s="1"/>
  <c r="AH62" i="3"/>
  <c r="Y60" i="3"/>
  <c r="G62" i="3" l="1"/>
  <c r="E62" i="3"/>
  <c r="H62" i="3" s="1"/>
  <c r="F62" i="3" l="1"/>
  <c r="I62" i="3"/>
  <c r="J62" i="3"/>
  <c r="M62" i="3"/>
  <c r="N62" i="3" s="1"/>
  <c r="K62" i="3"/>
  <c r="V62" i="3" l="1"/>
  <c r="W62" i="3" s="1"/>
  <c r="AE62" i="3"/>
  <c r="L62" i="3"/>
  <c r="U62" i="3" l="1"/>
  <c r="E63" i="3" s="1"/>
  <c r="H63" i="3" s="1"/>
  <c r="AG63" i="3"/>
  <c r="AH63" i="3"/>
  <c r="Y61" i="3"/>
  <c r="D63" i="3" l="1"/>
  <c r="G63" i="3" s="1"/>
  <c r="K63" i="3"/>
  <c r="F63" i="3" l="1"/>
  <c r="I63" i="3"/>
  <c r="J63" i="3"/>
  <c r="M63" i="3"/>
  <c r="N63" i="3" s="1"/>
  <c r="V63" i="3"/>
  <c r="AE63" i="3"/>
  <c r="W63" i="3" l="1"/>
  <c r="L63" i="3"/>
  <c r="U63" i="3" l="1"/>
  <c r="E64" i="3" s="1"/>
  <c r="H64" i="3" s="1"/>
  <c r="AH64" i="3"/>
  <c r="AG64" i="3"/>
  <c r="Y62" i="3"/>
  <c r="D64" i="3" l="1"/>
  <c r="G64" i="3" s="1"/>
  <c r="K64" i="3"/>
  <c r="F64" i="3" l="1"/>
  <c r="V64" i="3"/>
  <c r="AE64" i="3"/>
  <c r="I64" i="3"/>
  <c r="J64" i="3"/>
  <c r="M64" i="3"/>
  <c r="N64" i="3" s="1"/>
  <c r="W64" i="3" l="1"/>
  <c r="L64" i="3"/>
  <c r="U64" i="3" l="1"/>
  <c r="E65" i="3" s="1"/>
  <c r="H65" i="3" s="1"/>
  <c r="AH65" i="3"/>
  <c r="AG65" i="3"/>
  <c r="Y63" i="3"/>
  <c r="D65" i="3" l="1"/>
  <c r="G65" i="3" s="1"/>
  <c r="K65" i="3"/>
  <c r="F65" i="3" l="1"/>
  <c r="V65" i="3"/>
  <c r="AE65" i="3"/>
  <c r="I65" i="3"/>
  <c r="J65" i="3"/>
  <c r="M65" i="3"/>
  <c r="N65" i="3" s="1"/>
  <c r="W65" i="3" l="1"/>
  <c r="L65" i="3"/>
  <c r="U65" i="3" l="1"/>
  <c r="D66" i="3" s="1"/>
  <c r="AH66" i="3"/>
  <c r="AG66" i="3"/>
  <c r="Y64" i="3"/>
  <c r="E66" i="3" l="1"/>
  <c r="H66" i="3" s="1"/>
  <c r="K66" i="3" s="1"/>
  <c r="G66" i="3"/>
  <c r="F66" i="3" l="1"/>
  <c r="I66" i="3"/>
  <c r="J66" i="3"/>
  <c r="M66" i="3"/>
  <c r="N66" i="3" s="1"/>
  <c r="V66" i="3"/>
  <c r="AE66" i="3"/>
  <c r="W66" i="3" l="1"/>
  <c r="L66" i="3"/>
  <c r="U66" i="3" l="1"/>
  <c r="D67" i="3" s="1"/>
  <c r="AH67" i="3"/>
  <c r="AG67" i="3"/>
  <c r="Y65" i="3"/>
  <c r="E67" i="3" l="1"/>
  <c r="H67" i="3" s="1"/>
  <c r="K67" i="3" s="1"/>
  <c r="G67" i="3"/>
  <c r="F67" i="3" l="1"/>
  <c r="I67" i="3"/>
  <c r="J67" i="3"/>
  <c r="M67" i="3"/>
  <c r="N67" i="3" s="1"/>
  <c r="V67" i="3"/>
  <c r="AE67" i="3"/>
  <c r="W67" i="3" l="1"/>
  <c r="L67" i="3"/>
  <c r="U67" i="3" l="1"/>
  <c r="D68" i="3" s="1"/>
  <c r="AH68" i="3"/>
  <c r="AG68" i="3"/>
  <c r="Y66" i="3"/>
  <c r="E68" i="3" l="1"/>
  <c r="H68" i="3" s="1"/>
  <c r="K68" i="3" s="1"/>
  <c r="G68" i="3"/>
  <c r="F68" i="3" l="1"/>
  <c r="I68" i="3"/>
  <c r="J68" i="3"/>
  <c r="M68" i="3"/>
  <c r="N68" i="3" s="1"/>
  <c r="V68" i="3"/>
  <c r="AE68" i="3"/>
  <c r="W68" i="3" l="1"/>
  <c r="L68" i="3"/>
  <c r="U68" i="3" l="1"/>
  <c r="D69" i="3" s="1"/>
  <c r="AH69" i="3"/>
  <c r="AG69" i="3"/>
  <c r="Y67" i="3"/>
  <c r="E69" i="3" l="1"/>
  <c r="H69" i="3" s="1"/>
  <c r="K69" i="3" s="1"/>
  <c r="G69" i="3"/>
  <c r="F69" i="3" l="1"/>
  <c r="I69" i="3"/>
  <c r="J69" i="3"/>
  <c r="M69" i="3"/>
  <c r="N69" i="3" s="1"/>
  <c r="V69" i="3"/>
  <c r="AE69" i="3"/>
  <c r="W69" i="3" l="1"/>
  <c r="L69" i="3"/>
  <c r="AH70" i="3" l="1"/>
  <c r="U69" i="3"/>
  <c r="E70" i="3" s="1"/>
  <c r="H70" i="3" s="1"/>
  <c r="AG70" i="3"/>
  <c r="Y68" i="3"/>
  <c r="D70" i="3" l="1"/>
  <c r="G70" i="3" s="1"/>
  <c r="K70" i="3"/>
  <c r="F70" i="3" l="1"/>
  <c r="I70" i="3"/>
  <c r="J70" i="3"/>
  <c r="M70" i="3"/>
  <c r="N70" i="3" s="1"/>
  <c r="V70" i="3"/>
  <c r="AE70" i="3"/>
  <c r="W70" i="3" l="1"/>
  <c r="L70" i="3"/>
  <c r="AG71" i="3" l="1"/>
  <c r="AH71" i="3"/>
  <c r="U70" i="3"/>
  <c r="E71" i="3" s="1"/>
  <c r="H71" i="3" s="1"/>
  <c r="Y69" i="3"/>
  <c r="D71" i="3" l="1"/>
  <c r="G71" i="3" s="1"/>
  <c r="K71" i="3"/>
  <c r="F71" i="3" l="1"/>
  <c r="I71" i="3"/>
  <c r="J71" i="3"/>
  <c r="M71" i="3"/>
  <c r="N71" i="3" s="1"/>
  <c r="V71" i="3"/>
  <c r="AE71" i="3"/>
  <c r="W71" i="3" l="1"/>
  <c r="L71" i="3"/>
  <c r="AH72" i="3" l="1"/>
  <c r="U71" i="3"/>
  <c r="E72" i="3" s="1"/>
  <c r="H72" i="3" s="1"/>
  <c r="AG72" i="3"/>
  <c r="Y70" i="3"/>
  <c r="D72" i="3" l="1"/>
  <c r="F72" i="3" s="1"/>
  <c r="K72" i="3"/>
  <c r="G72" i="3" l="1"/>
  <c r="M72" i="3" s="1"/>
  <c r="N72" i="3" s="1"/>
  <c r="V72" i="3"/>
  <c r="AE72" i="3"/>
  <c r="I72" i="3" l="1"/>
  <c r="W72" i="3" s="1"/>
  <c r="J72" i="3"/>
  <c r="L72" i="3" s="1"/>
  <c r="U72" i="3" l="1"/>
  <c r="D73" i="3" s="1"/>
  <c r="AG73" i="3"/>
  <c r="AH73" i="3"/>
  <c r="Y71" i="3"/>
  <c r="E73" i="3" l="1"/>
  <c r="H73" i="3" s="1"/>
  <c r="K73" i="3" s="1"/>
  <c r="G73" i="3"/>
  <c r="F73" i="3" l="1"/>
  <c r="I73" i="3"/>
  <c r="J73" i="3"/>
  <c r="M73" i="3"/>
  <c r="N73" i="3" s="1"/>
  <c r="V73" i="3"/>
  <c r="AE73" i="3"/>
  <c r="W73" i="3" l="1"/>
  <c r="L73" i="3"/>
  <c r="AG74" i="3" l="1"/>
  <c r="AH74" i="3"/>
  <c r="U73" i="3"/>
  <c r="D74" i="3" s="1"/>
  <c r="Y72" i="3"/>
  <c r="G74" i="3" l="1"/>
  <c r="E74" i="3"/>
  <c r="H74" i="3" s="1"/>
  <c r="I74" i="3" l="1"/>
  <c r="J74" i="3"/>
  <c r="M74" i="3"/>
  <c r="N74" i="3" s="1"/>
  <c r="K74" i="3"/>
  <c r="F74" i="3"/>
  <c r="V74" i="3" l="1"/>
  <c r="W74" i="3" s="1"/>
  <c r="AE74" i="3"/>
  <c r="L74" i="3"/>
  <c r="AG75" i="3" l="1"/>
  <c r="U74" i="3"/>
  <c r="E75" i="3" s="1"/>
  <c r="H75" i="3" s="1"/>
  <c r="AH75" i="3"/>
  <c r="Y73" i="3"/>
  <c r="K75" i="3" l="1"/>
  <c r="D75" i="3"/>
  <c r="V75" i="3" l="1"/>
  <c r="AE75" i="3"/>
  <c r="F75" i="3"/>
  <c r="G75" i="3"/>
  <c r="I75" i="3" l="1"/>
  <c r="W75" i="3" s="1"/>
  <c r="J75" i="3"/>
  <c r="M75" i="3"/>
  <c r="N75" i="3" s="1"/>
  <c r="L75" i="3" l="1"/>
  <c r="U75" i="3" l="1"/>
  <c r="E76" i="3" s="1"/>
  <c r="H76" i="3" s="1"/>
  <c r="AH76" i="3"/>
  <c r="AG76" i="3"/>
  <c r="Y74" i="3"/>
  <c r="D76" i="3" l="1"/>
  <c r="F76" i="3" s="1"/>
  <c r="K76" i="3"/>
  <c r="G76" i="3" l="1"/>
  <c r="I76" i="3" s="1"/>
  <c r="V76" i="3"/>
  <c r="AE76" i="3"/>
  <c r="J76" i="3" l="1"/>
  <c r="L76" i="3" s="1"/>
  <c r="M76" i="3"/>
  <c r="N76" i="3" s="1"/>
  <c r="W76" i="3"/>
  <c r="U76" i="3" l="1"/>
  <c r="D77" i="3" s="1"/>
  <c r="AH77" i="3"/>
  <c r="AG77" i="3"/>
  <c r="Y75" i="3"/>
  <c r="E77" i="3" l="1"/>
  <c r="H77" i="3" s="1"/>
  <c r="K77" i="3" s="1"/>
  <c r="G77" i="3"/>
  <c r="F77" i="3" l="1"/>
  <c r="I77" i="3"/>
  <c r="J77" i="3"/>
  <c r="M77" i="3"/>
  <c r="N77" i="3" s="1"/>
  <c r="V77" i="3"/>
  <c r="AE77" i="3"/>
  <c r="W77" i="3" l="1"/>
  <c r="L77" i="3"/>
  <c r="AH78" i="3" l="1"/>
  <c r="U77" i="3"/>
  <c r="D78" i="3" s="1"/>
  <c r="AG78" i="3"/>
  <c r="Y76" i="3"/>
  <c r="E78" i="3" l="1"/>
  <c r="H78" i="3" s="1"/>
  <c r="K78" i="3" s="1"/>
  <c r="G78" i="3"/>
  <c r="F78" i="3" l="1"/>
  <c r="I78" i="3"/>
  <c r="J78" i="3"/>
  <c r="M78" i="3"/>
  <c r="N78" i="3" s="1"/>
  <c r="V78" i="3"/>
  <c r="AE78" i="3"/>
  <c r="W78" i="3" l="1"/>
  <c r="L78" i="3"/>
  <c r="U78" i="3" l="1"/>
  <c r="E79" i="3" s="1"/>
  <c r="H79" i="3" s="1"/>
  <c r="AH79" i="3"/>
  <c r="AG79" i="3"/>
  <c r="Y77" i="3"/>
  <c r="D79" i="3" l="1"/>
  <c r="G79" i="3" s="1"/>
  <c r="K79" i="3"/>
  <c r="F79" i="3" l="1"/>
  <c r="I79" i="3"/>
  <c r="J79" i="3"/>
  <c r="M79" i="3"/>
  <c r="N79" i="3" s="1"/>
  <c r="V79" i="3"/>
  <c r="AE79" i="3"/>
  <c r="W79" i="3" l="1"/>
  <c r="L79" i="3"/>
  <c r="AH80" i="3" l="1"/>
  <c r="AG80" i="3"/>
  <c r="U79" i="3"/>
  <c r="E80" i="3" s="1"/>
  <c r="H80" i="3" s="1"/>
  <c r="Y78" i="3"/>
  <c r="D80" i="3" l="1"/>
  <c r="F80" i="3" s="1"/>
  <c r="K80" i="3"/>
  <c r="G80" i="3" l="1"/>
  <c r="I80" i="3" s="1"/>
  <c r="V80" i="3"/>
  <c r="AE80" i="3"/>
  <c r="J80" i="3" l="1"/>
  <c r="L80" i="3" s="1"/>
  <c r="M80" i="3"/>
  <c r="N80" i="3" s="1"/>
  <c r="W80" i="3"/>
  <c r="U80" i="3" l="1"/>
  <c r="E81" i="3" s="1"/>
  <c r="H81" i="3" s="1"/>
  <c r="AG81" i="3"/>
  <c r="AH81" i="3"/>
  <c r="Y79" i="3"/>
  <c r="D81" i="3" l="1"/>
  <c r="G81" i="3" s="1"/>
  <c r="K81" i="3"/>
  <c r="F81" i="3" l="1"/>
  <c r="I81" i="3"/>
  <c r="J81" i="3"/>
  <c r="M81" i="3"/>
  <c r="N81" i="3" s="1"/>
  <c r="V81" i="3"/>
  <c r="AE81" i="3"/>
  <c r="W81" i="3" l="1"/>
  <c r="L81" i="3"/>
  <c r="AH82" i="3" l="1"/>
  <c r="AG82" i="3"/>
  <c r="U81" i="3"/>
  <c r="E82" i="3" s="1"/>
  <c r="H82" i="3" s="1"/>
  <c r="Y80" i="3"/>
  <c r="D82" i="3" l="1"/>
  <c r="G82" i="3" s="1"/>
  <c r="K82" i="3"/>
  <c r="F82" i="3" l="1"/>
  <c r="I82" i="3"/>
  <c r="J82" i="3"/>
  <c r="M82" i="3"/>
  <c r="N82" i="3" s="1"/>
  <c r="V82" i="3"/>
  <c r="AE82" i="3"/>
  <c r="W82" i="3" l="1"/>
  <c r="L82" i="3"/>
  <c r="AG83" i="3" l="1"/>
  <c r="U82" i="3"/>
  <c r="D83" i="3" s="1"/>
  <c r="AH83" i="3"/>
  <c r="Y81" i="3"/>
  <c r="E83" i="3" l="1"/>
  <c r="H83" i="3" s="1"/>
  <c r="K83" i="3" s="1"/>
  <c r="G83" i="3"/>
  <c r="F83" i="3" l="1"/>
  <c r="I83" i="3"/>
  <c r="J83" i="3"/>
  <c r="M83" i="3"/>
  <c r="N83" i="3" s="1"/>
  <c r="V83" i="3"/>
  <c r="AE83" i="3"/>
  <c r="W83" i="3" l="1"/>
  <c r="L83" i="3"/>
  <c r="AG84" i="3" l="1"/>
  <c r="AH84" i="3"/>
  <c r="U83" i="3"/>
  <c r="D84" i="3" s="1"/>
  <c r="Y82" i="3"/>
  <c r="G84" i="3" l="1"/>
  <c r="E84" i="3"/>
  <c r="H84" i="3" s="1"/>
  <c r="K84" i="3" l="1"/>
  <c r="I84" i="3"/>
  <c r="J84" i="3"/>
  <c r="M84" i="3"/>
  <c r="N84" i="3" s="1"/>
  <c r="F84" i="3"/>
  <c r="L84" i="3" l="1"/>
  <c r="V84" i="3"/>
  <c r="W84" i="3" s="1"/>
  <c r="AE84" i="3"/>
  <c r="AH85" i="3" l="1"/>
  <c r="AG85" i="3"/>
  <c r="U84" i="3"/>
  <c r="D85" i="3" s="1"/>
  <c r="Y83" i="3"/>
  <c r="E85" i="3" l="1"/>
  <c r="H85" i="3" s="1"/>
  <c r="K85" i="3" s="1"/>
  <c r="G85" i="3"/>
  <c r="F85" i="3" l="1"/>
  <c r="I85" i="3"/>
  <c r="J85" i="3"/>
  <c r="M85" i="3"/>
  <c r="N85" i="3" s="1"/>
  <c r="V85" i="3"/>
  <c r="AE85" i="3"/>
  <c r="W85" i="3" l="1"/>
  <c r="L85" i="3"/>
  <c r="AH86" i="3" l="1"/>
  <c r="AG86" i="3"/>
  <c r="U85" i="3"/>
  <c r="E86" i="3" s="1"/>
  <c r="H86" i="3" s="1"/>
  <c r="Y84" i="3"/>
  <c r="D86" i="3" l="1"/>
  <c r="F86" i="3" s="1"/>
  <c r="K86" i="3"/>
  <c r="G86" i="3" l="1"/>
  <c r="M86" i="3" s="1"/>
  <c r="N86" i="3" s="1"/>
  <c r="V86" i="3"/>
  <c r="AE86" i="3"/>
  <c r="I86" i="3" l="1"/>
  <c r="W86" i="3" s="1"/>
  <c r="J86" i="3"/>
  <c r="L86" i="3" s="1"/>
  <c r="U86" i="3" l="1"/>
  <c r="E87" i="3" s="1"/>
  <c r="H87" i="3" s="1"/>
  <c r="AH87" i="3"/>
  <c r="AG87" i="3"/>
  <c r="Y85" i="3"/>
  <c r="D87" i="3" l="1"/>
  <c r="G87" i="3" s="1"/>
  <c r="K87" i="3"/>
  <c r="F87" i="3" l="1"/>
  <c r="V87" i="3"/>
  <c r="AE87" i="3"/>
  <c r="I87" i="3"/>
  <c r="J87" i="3"/>
  <c r="M87" i="3"/>
  <c r="N87" i="3" s="1"/>
  <c r="L87" i="3" l="1"/>
  <c r="W87" i="3"/>
  <c r="U87" i="3" l="1"/>
  <c r="E88" i="3" s="1"/>
  <c r="H88" i="3" s="1"/>
  <c r="AG88" i="3"/>
  <c r="AH88" i="3"/>
  <c r="Y86" i="3"/>
  <c r="D88" i="3" l="1"/>
  <c r="G88" i="3" s="1"/>
  <c r="K88" i="3"/>
  <c r="F88" i="3" l="1"/>
  <c r="I88" i="3"/>
  <c r="J88" i="3"/>
  <c r="M88" i="3"/>
  <c r="N88" i="3" s="1"/>
  <c r="V88" i="3"/>
  <c r="AE88" i="3"/>
  <c r="W88" i="3" l="1"/>
  <c r="L88" i="3"/>
  <c r="AH89" i="3" l="1"/>
  <c r="U88" i="3"/>
  <c r="E89" i="3" s="1"/>
  <c r="H89" i="3" s="1"/>
  <c r="AG89" i="3"/>
  <c r="Y87" i="3"/>
  <c r="K89" i="3" l="1"/>
  <c r="D89" i="3"/>
  <c r="V89" i="3" l="1"/>
  <c r="AE89" i="3"/>
  <c r="F89" i="3"/>
  <c r="G89" i="3"/>
  <c r="I89" i="3" l="1"/>
  <c r="W89" i="3" s="1"/>
  <c r="J89" i="3"/>
  <c r="M89" i="3"/>
  <c r="N89" i="3" s="1"/>
  <c r="L89" i="3" l="1"/>
  <c r="U89" i="3" l="1"/>
  <c r="D90" i="3" s="1"/>
  <c r="AH90" i="3"/>
  <c r="AG90" i="3"/>
  <c r="Y88" i="3"/>
  <c r="G90" i="3" l="1"/>
  <c r="E90" i="3"/>
  <c r="H90" i="3" s="1"/>
  <c r="F90" i="3" l="1"/>
  <c r="I90" i="3"/>
  <c r="J90" i="3"/>
  <c r="M90" i="3"/>
  <c r="N90" i="3" s="1"/>
  <c r="K90" i="3"/>
  <c r="V90" i="3" l="1"/>
  <c r="W90" i="3" s="1"/>
  <c r="AE90" i="3"/>
  <c r="L90" i="3"/>
  <c r="AG91" i="3" l="1"/>
  <c r="AH91" i="3"/>
  <c r="U90" i="3"/>
  <c r="D91" i="3" s="1"/>
  <c r="Y89" i="3"/>
  <c r="G91" i="3" l="1"/>
  <c r="E91" i="3"/>
  <c r="H91" i="3" s="1"/>
  <c r="F91" i="3" l="1"/>
  <c r="I91" i="3"/>
  <c r="J91" i="3"/>
  <c r="M91" i="3"/>
  <c r="N91" i="3" s="1"/>
  <c r="K91" i="3"/>
  <c r="V91" i="3" l="1"/>
  <c r="W91" i="3" s="1"/>
  <c r="AE91" i="3"/>
  <c r="L91" i="3"/>
  <c r="AH92" i="3" l="1"/>
  <c r="AG92" i="3"/>
  <c r="U91" i="3"/>
  <c r="D92" i="3" s="1"/>
  <c r="Y90" i="3"/>
  <c r="G92" i="3" l="1"/>
  <c r="E92" i="3"/>
  <c r="H92" i="3" s="1"/>
  <c r="F92" i="3" l="1"/>
  <c r="I92" i="3"/>
  <c r="J92" i="3"/>
  <c r="M92" i="3"/>
  <c r="N92" i="3" s="1"/>
  <c r="K92" i="3"/>
  <c r="V92" i="3" l="1"/>
  <c r="W92" i="3" s="1"/>
  <c r="AE92" i="3"/>
  <c r="L92" i="3"/>
  <c r="U92" i="3" l="1"/>
  <c r="D93" i="3" s="1"/>
  <c r="AH93" i="3"/>
  <c r="AG93" i="3"/>
  <c r="Y91" i="3"/>
  <c r="E93" i="3" l="1"/>
  <c r="H93" i="3" s="1"/>
  <c r="K93" i="3" s="1"/>
  <c r="G93" i="3"/>
  <c r="F93" i="3" l="1"/>
  <c r="I93" i="3"/>
  <c r="J93" i="3"/>
  <c r="M93" i="3"/>
  <c r="N93" i="3" s="1"/>
  <c r="V93" i="3"/>
  <c r="AE93" i="3"/>
  <c r="W93" i="3" l="1"/>
  <c r="L93" i="3"/>
  <c r="AG94" i="3" l="1"/>
  <c r="AH94" i="3"/>
  <c r="U93" i="3"/>
  <c r="D94" i="3" s="1"/>
  <c r="Y92" i="3"/>
  <c r="E94" i="3" l="1"/>
  <c r="H94" i="3" s="1"/>
  <c r="K94" i="3" s="1"/>
  <c r="G94" i="3"/>
  <c r="F94" i="3" l="1"/>
  <c r="I94" i="3"/>
  <c r="J94" i="3"/>
  <c r="M94" i="3"/>
  <c r="N94" i="3" s="1"/>
  <c r="V94" i="3"/>
  <c r="AE94" i="3"/>
  <c r="L94" i="3" l="1"/>
  <c r="W94" i="3"/>
  <c r="U94" i="3" l="1"/>
  <c r="D95" i="3" s="1"/>
  <c r="AG95" i="3"/>
  <c r="AH95" i="3"/>
  <c r="Y93" i="3"/>
  <c r="E95" i="3" l="1"/>
  <c r="H95" i="3" s="1"/>
  <c r="K95" i="3" s="1"/>
  <c r="G95" i="3"/>
  <c r="F95" i="3" l="1"/>
  <c r="I95" i="3"/>
  <c r="J95" i="3"/>
  <c r="M95" i="3"/>
  <c r="N95" i="3" s="1"/>
  <c r="V95" i="3"/>
  <c r="AE95" i="3"/>
  <c r="W95" i="3" l="1"/>
  <c r="L95" i="3"/>
  <c r="AG96" i="3" l="1"/>
  <c r="AH96" i="3"/>
  <c r="U95" i="3"/>
  <c r="D96" i="3" s="1"/>
  <c r="Y94" i="3"/>
  <c r="G96" i="3" l="1"/>
  <c r="E96" i="3"/>
  <c r="H96" i="3" s="1"/>
  <c r="F96" i="3" l="1"/>
  <c r="I96" i="3"/>
  <c r="J96" i="3"/>
  <c r="M96" i="3"/>
  <c r="N96" i="3" s="1"/>
  <c r="K96" i="3"/>
  <c r="L96" i="3" l="1"/>
  <c r="V96" i="3"/>
  <c r="W96" i="3" s="1"/>
  <c r="AE96" i="3"/>
  <c r="AG97" i="3" l="1"/>
  <c r="AH97" i="3"/>
  <c r="U96" i="3"/>
  <c r="E97" i="3" s="1"/>
  <c r="H97" i="3" s="1"/>
  <c r="Y95" i="3"/>
  <c r="K97" i="3" l="1"/>
  <c r="D97" i="3"/>
  <c r="V97" i="3" l="1"/>
  <c r="AE97" i="3"/>
  <c r="F97" i="3"/>
  <c r="G97" i="3"/>
  <c r="I97" i="3" l="1"/>
  <c r="W97" i="3" s="1"/>
  <c r="J97" i="3"/>
  <c r="M97" i="3"/>
  <c r="N97" i="3" s="1"/>
  <c r="L97" i="3" l="1"/>
  <c r="U97" i="3" l="1"/>
  <c r="D98" i="3" s="1"/>
  <c r="AH98" i="3"/>
  <c r="AG98" i="3"/>
  <c r="Y96" i="3"/>
  <c r="G98" i="3" l="1"/>
  <c r="E98" i="3"/>
  <c r="H98" i="3" s="1"/>
  <c r="I98" i="3" l="1"/>
  <c r="J98" i="3"/>
  <c r="M98" i="3"/>
  <c r="N98" i="3" s="1"/>
  <c r="F98" i="3"/>
  <c r="K98" i="3"/>
  <c r="L98" i="3" l="1"/>
  <c r="V98" i="3"/>
  <c r="W98" i="3" s="1"/>
  <c r="AE98" i="3"/>
  <c r="AG99" i="3" l="1"/>
  <c r="AH99" i="3"/>
  <c r="U98" i="3"/>
  <c r="D99" i="3" s="1"/>
  <c r="Y97" i="3"/>
  <c r="G99" i="3" l="1"/>
  <c r="E99" i="3"/>
  <c r="H99" i="3" s="1"/>
  <c r="F99" i="3" l="1"/>
  <c r="I99" i="3"/>
  <c r="J99" i="3"/>
  <c r="M99" i="3"/>
  <c r="N99" i="3" s="1"/>
  <c r="K99" i="3"/>
  <c r="V99" i="3" l="1"/>
  <c r="W99" i="3" s="1"/>
  <c r="AE99" i="3"/>
  <c r="L99" i="3"/>
  <c r="U99" i="3" l="1"/>
  <c r="D100" i="3" s="1"/>
  <c r="AH100" i="3"/>
  <c r="AG100" i="3"/>
  <c r="Y98" i="3"/>
  <c r="E100" i="3" l="1"/>
  <c r="H100" i="3" s="1"/>
  <c r="K100" i="3" s="1"/>
  <c r="G100" i="3"/>
  <c r="F100" i="3" l="1"/>
  <c r="V100" i="3"/>
  <c r="AE100" i="3"/>
  <c r="I100" i="3"/>
  <c r="J100" i="3"/>
  <c r="M100" i="3"/>
  <c r="N100" i="3" s="1"/>
  <c r="W100" i="3" l="1"/>
  <c r="L100" i="3"/>
  <c r="AH101" i="3" l="1"/>
  <c r="U100" i="3"/>
  <c r="E101" i="3" s="1"/>
  <c r="H101" i="3" s="1"/>
  <c r="AG101" i="3"/>
  <c r="Y99" i="3"/>
  <c r="K101" i="3" l="1"/>
  <c r="D101" i="3"/>
  <c r="V101" i="3" l="1"/>
  <c r="AE101" i="3"/>
  <c r="F101" i="3"/>
  <c r="G101" i="3"/>
  <c r="I101" i="3" l="1"/>
  <c r="W101" i="3" s="1"/>
  <c r="J101" i="3"/>
  <c r="M101" i="3"/>
  <c r="N101" i="3" s="1"/>
  <c r="L101" i="3" l="1"/>
  <c r="AH102" i="3" l="1"/>
  <c r="AG102" i="3"/>
  <c r="U101" i="3"/>
  <c r="E102" i="3" s="1"/>
  <c r="H102" i="3" s="1"/>
  <c r="Y100" i="3"/>
  <c r="K102" i="3" l="1"/>
  <c r="D102" i="3"/>
  <c r="V102" i="3" l="1"/>
  <c r="AE102" i="3"/>
  <c r="F102" i="3"/>
  <c r="G102" i="3"/>
  <c r="I102" i="3" l="1"/>
  <c r="W102" i="3" s="1"/>
  <c r="J102" i="3"/>
  <c r="M102" i="3"/>
  <c r="N102" i="3" s="1"/>
  <c r="L102" i="3" l="1"/>
  <c r="AG103" i="3" l="1"/>
  <c r="AH103" i="3"/>
  <c r="U102" i="3"/>
  <c r="E103" i="3" s="1"/>
  <c r="H103" i="3" s="1"/>
  <c r="Y101" i="3"/>
  <c r="K103" i="3" l="1"/>
  <c r="D103" i="3"/>
  <c r="V103" i="3" l="1"/>
  <c r="AE103" i="3"/>
  <c r="F103" i="3"/>
  <c r="G103" i="3"/>
  <c r="I103" i="3" l="1"/>
  <c r="W103" i="3" s="1"/>
  <c r="J103" i="3"/>
  <c r="M103" i="3"/>
  <c r="N103" i="3" s="1"/>
  <c r="L103" i="3" l="1"/>
  <c r="AG104" i="3" l="1"/>
  <c r="AH104" i="3"/>
  <c r="U103" i="3"/>
  <c r="E104" i="3" s="1"/>
  <c r="H104" i="3" s="1"/>
  <c r="Y102" i="3"/>
  <c r="K104" i="3" l="1"/>
  <c r="D104" i="3"/>
  <c r="V104" i="3" l="1"/>
  <c r="AE104" i="3"/>
  <c r="F104" i="3"/>
  <c r="G104" i="3"/>
  <c r="I104" i="3" l="1"/>
  <c r="W104" i="3" s="1"/>
  <c r="J104" i="3"/>
  <c r="M104" i="3"/>
  <c r="N104" i="3" s="1"/>
  <c r="L104" i="3" l="1"/>
  <c r="AD104" i="3"/>
  <c r="U104" i="3" l="1"/>
  <c r="E105" i="3" s="1"/>
  <c r="H105" i="3" s="1"/>
  <c r="AG105" i="3"/>
  <c r="AH105" i="3"/>
  <c r="Y103" i="3"/>
  <c r="D105" i="3" l="1"/>
  <c r="G105" i="3" s="1"/>
  <c r="K105" i="3"/>
  <c r="F105" i="3" l="1"/>
  <c r="V105" i="3"/>
  <c r="AE105" i="3"/>
  <c r="I105" i="3"/>
  <c r="J105" i="3"/>
  <c r="M105" i="3"/>
  <c r="N105" i="3" s="1"/>
  <c r="W105" i="3" l="1"/>
  <c r="L105" i="3"/>
  <c r="AH106" i="3" l="1"/>
  <c r="AG106" i="3"/>
  <c r="U105" i="3"/>
  <c r="D106" i="3" s="1"/>
  <c r="Y104" i="3"/>
  <c r="E106" i="3" l="1"/>
  <c r="H106" i="3" s="1"/>
  <c r="K106" i="3" s="1"/>
  <c r="G106" i="3"/>
  <c r="F106" i="3" l="1"/>
  <c r="V106" i="3"/>
  <c r="AE106" i="3"/>
  <c r="I106" i="3"/>
  <c r="J106" i="3"/>
  <c r="M106" i="3"/>
  <c r="N106" i="3" s="1"/>
  <c r="W106" i="3" l="1"/>
  <c r="L106" i="3"/>
  <c r="AG107" i="3" l="1"/>
  <c r="AH107" i="3"/>
  <c r="U106" i="3"/>
  <c r="E107" i="3" s="1"/>
  <c r="H107" i="3" s="1"/>
  <c r="Y105" i="3"/>
  <c r="K107" i="3" l="1"/>
  <c r="D107" i="3"/>
  <c r="V107" i="3" l="1"/>
  <c r="AE107" i="3"/>
  <c r="F107" i="3"/>
  <c r="G107" i="3"/>
  <c r="I107" i="3" l="1"/>
  <c r="W107" i="3" s="1"/>
  <c r="J107" i="3"/>
  <c r="M107" i="3"/>
  <c r="N107" i="3" s="1"/>
  <c r="L107" i="3" l="1"/>
  <c r="AH108" i="3" l="1"/>
  <c r="U107" i="3"/>
  <c r="E108" i="3" s="1"/>
  <c r="H108" i="3" s="1"/>
  <c r="AG108" i="3"/>
  <c r="Y106" i="3"/>
  <c r="D108" i="3" l="1"/>
  <c r="G108" i="3" s="1"/>
  <c r="K108" i="3"/>
  <c r="F108" i="3" l="1"/>
  <c r="I108" i="3"/>
  <c r="J108" i="3"/>
  <c r="M108" i="3"/>
  <c r="N108" i="3" s="1"/>
  <c r="V108" i="3"/>
  <c r="AE108" i="3"/>
  <c r="W108" i="3" l="1"/>
  <c r="L108" i="3"/>
  <c r="AG109" i="3" l="1"/>
  <c r="U108" i="3"/>
  <c r="D109" i="3" s="1"/>
  <c r="AH109" i="3"/>
  <c r="Y107" i="3"/>
  <c r="E109" i="3" l="1"/>
  <c r="H109" i="3" s="1"/>
  <c r="K109" i="3" s="1"/>
  <c r="G109" i="3"/>
  <c r="F109" i="3" l="1"/>
  <c r="V109" i="3"/>
  <c r="AE109" i="3"/>
  <c r="I109" i="3"/>
  <c r="J109" i="3"/>
  <c r="M109" i="3"/>
  <c r="N109" i="3" s="1"/>
  <c r="L109" i="3" l="1"/>
  <c r="W109" i="3"/>
  <c r="AH110" i="3" l="1"/>
  <c r="AG110" i="3"/>
  <c r="U109" i="3"/>
  <c r="D110" i="3" s="1"/>
  <c r="Y108" i="3"/>
  <c r="E110" i="3" l="1"/>
  <c r="H110" i="3" s="1"/>
  <c r="K110" i="3" s="1"/>
  <c r="G110" i="3"/>
  <c r="F110" i="3" l="1"/>
  <c r="I110" i="3"/>
  <c r="J110" i="3"/>
  <c r="M110" i="3"/>
  <c r="N110" i="3" s="1"/>
  <c r="V110" i="3"/>
  <c r="AE110" i="3"/>
  <c r="W110" i="3" l="1"/>
  <c r="L110" i="3"/>
  <c r="AH111" i="3" l="1"/>
  <c r="U110" i="3"/>
  <c r="E111" i="3" s="1"/>
  <c r="H111" i="3" s="1"/>
  <c r="AG111" i="3"/>
  <c r="Y109" i="3"/>
  <c r="D111" i="3" l="1"/>
  <c r="G111" i="3" s="1"/>
  <c r="K111" i="3"/>
  <c r="F111" i="3" l="1"/>
  <c r="I111" i="3"/>
  <c r="J111" i="3"/>
  <c r="M111" i="3"/>
  <c r="N111" i="3" s="1"/>
  <c r="V111" i="3"/>
  <c r="AE111" i="3"/>
  <c r="W111" i="3" l="1"/>
  <c r="L111" i="3"/>
  <c r="AH112" i="3" l="1"/>
  <c r="U111" i="3"/>
  <c r="D112" i="3" s="1"/>
  <c r="AG112" i="3"/>
  <c r="Y110" i="3"/>
  <c r="E112" i="3" l="1"/>
  <c r="H112" i="3" s="1"/>
  <c r="K112" i="3" s="1"/>
  <c r="G112" i="3"/>
  <c r="F112" i="3" l="1"/>
  <c r="V112" i="3"/>
  <c r="AE112" i="3"/>
  <c r="I112" i="3"/>
  <c r="J112" i="3"/>
  <c r="M112" i="3"/>
  <c r="N112" i="3" s="1"/>
  <c r="W112" i="3" l="1"/>
  <c r="L112" i="3"/>
  <c r="AG113" i="3" l="1"/>
  <c r="U112" i="3"/>
  <c r="E113" i="3" s="1"/>
  <c r="H113" i="3" s="1"/>
  <c r="AH113" i="3"/>
  <c r="Y111" i="3"/>
  <c r="D113" i="3" l="1"/>
  <c r="G113" i="3" s="1"/>
  <c r="K113" i="3"/>
  <c r="F113" i="3" l="1"/>
  <c r="V113" i="3"/>
  <c r="AE113" i="3"/>
  <c r="I113" i="3"/>
  <c r="J113" i="3"/>
  <c r="M113" i="3"/>
  <c r="N113" i="3" s="1"/>
  <c r="W113" i="3" l="1"/>
  <c r="L113" i="3"/>
  <c r="AH114" i="3" l="1"/>
  <c r="U113" i="3"/>
  <c r="D114" i="3" s="1"/>
  <c r="AG114" i="3"/>
  <c r="Y112" i="3"/>
  <c r="E114" i="3" l="1"/>
  <c r="H114" i="3" s="1"/>
  <c r="K114" i="3" s="1"/>
  <c r="G114" i="3"/>
  <c r="F114" i="3" l="1"/>
  <c r="I114" i="3"/>
  <c r="J114" i="3"/>
  <c r="M114" i="3"/>
  <c r="N114" i="3" s="1"/>
  <c r="V114" i="3"/>
  <c r="AE114" i="3"/>
  <c r="W114" i="3" l="1"/>
  <c r="L114" i="3"/>
  <c r="U114" i="3" l="1"/>
  <c r="D115" i="3" s="1"/>
  <c r="AH115" i="3"/>
  <c r="AG115" i="3"/>
  <c r="Y113" i="3"/>
  <c r="G115" i="3" l="1"/>
  <c r="E115" i="3"/>
  <c r="H115" i="3" s="1"/>
  <c r="F115" i="3" l="1"/>
  <c r="I115" i="3"/>
  <c r="J115" i="3"/>
  <c r="M115" i="3"/>
  <c r="N115" i="3" s="1"/>
  <c r="K115" i="3"/>
  <c r="V115" i="3" l="1"/>
  <c r="W115" i="3" s="1"/>
  <c r="AE115" i="3"/>
  <c r="L115" i="3"/>
  <c r="AH116" i="3" l="1"/>
  <c r="U115" i="3"/>
  <c r="E116" i="3" s="1"/>
  <c r="H116" i="3" s="1"/>
  <c r="AG116" i="3"/>
  <c r="Y114" i="3"/>
  <c r="K116" i="3" l="1"/>
  <c r="D116" i="3"/>
  <c r="V116" i="3" l="1"/>
  <c r="AE116" i="3"/>
  <c r="F116" i="3"/>
  <c r="G116" i="3"/>
  <c r="I116" i="3" l="1"/>
  <c r="W116" i="3" s="1"/>
  <c r="J116" i="3"/>
  <c r="M116" i="3"/>
  <c r="N116" i="3" s="1"/>
  <c r="L116" i="3" l="1"/>
  <c r="U116" i="3" l="1"/>
  <c r="D117" i="3" s="1"/>
  <c r="AH117" i="3"/>
  <c r="AG117" i="3"/>
  <c r="Y115" i="3"/>
  <c r="E117" i="3" l="1"/>
  <c r="H117" i="3" s="1"/>
  <c r="K117" i="3" s="1"/>
  <c r="G117" i="3"/>
  <c r="F117" i="3" l="1"/>
  <c r="I117" i="3"/>
  <c r="J117" i="3"/>
  <c r="M117" i="3"/>
  <c r="N117" i="3" s="1"/>
  <c r="V117" i="3"/>
  <c r="AE117" i="3"/>
  <c r="W117" i="3" l="1"/>
  <c r="L117" i="3"/>
  <c r="AG118" i="3" l="1"/>
  <c r="U117" i="3"/>
  <c r="D118" i="3" s="1"/>
  <c r="AH118" i="3"/>
  <c r="Y116" i="3"/>
  <c r="E118" i="3" l="1"/>
  <c r="H118" i="3" s="1"/>
  <c r="K118" i="3" s="1"/>
  <c r="G118" i="3"/>
  <c r="F118" i="3" l="1"/>
  <c r="I118" i="3"/>
  <c r="J118" i="3"/>
  <c r="M118" i="3"/>
  <c r="N118" i="3" s="1"/>
  <c r="V118" i="3"/>
  <c r="AE118" i="3"/>
  <c r="L118" i="3" l="1"/>
  <c r="W118" i="3"/>
  <c r="U118" i="3" l="1"/>
  <c r="E119" i="3" s="1"/>
  <c r="H119" i="3" s="1"/>
  <c r="AG119" i="3"/>
  <c r="AH119" i="3"/>
  <c r="Y117" i="3"/>
  <c r="D119" i="3" l="1"/>
  <c r="F119" i="3" s="1"/>
  <c r="K119" i="3"/>
  <c r="G119" i="3" l="1"/>
  <c r="M119" i="3" s="1"/>
  <c r="N119" i="3" s="1"/>
  <c r="V119" i="3"/>
  <c r="AE119" i="3"/>
  <c r="I119" i="3" l="1"/>
  <c r="W119" i="3" s="1"/>
  <c r="J119" i="3"/>
  <c r="L119" i="3" s="1"/>
  <c r="AH120" i="3" l="1"/>
  <c r="U119" i="3"/>
  <c r="D120" i="3" s="1"/>
  <c r="AG120" i="3"/>
  <c r="Y118" i="3"/>
  <c r="E120" i="3" l="1"/>
  <c r="H120" i="3" s="1"/>
  <c r="K120" i="3" s="1"/>
  <c r="G120" i="3"/>
  <c r="F120" i="3" l="1"/>
  <c r="I120" i="3"/>
  <c r="J120" i="3"/>
  <c r="M120" i="3"/>
  <c r="N120" i="3" s="1"/>
  <c r="V120" i="3"/>
  <c r="AE120" i="3"/>
  <c r="W120" i="3" l="1"/>
  <c r="L120" i="3"/>
  <c r="U120" i="3" l="1"/>
  <c r="E121" i="3" s="1"/>
  <c r="H121" i="3" s="1"/>
  <c r="AH121" i="3"/>
  <c r="AG121" i="3"/>
  <c r="Y119" i="3"/>
  <c r="D121" i="3" l="1"/>
  <c r="G121" i="3" s="1"/>
  <c r="K121" i="3"/>
  <c r="F121" i="3" l="1"/>
  <c r="I121" i="3"/>
  <c r="J121" i="3"/>
  <c r="M121" i="3"/>
  <c r="N121" i="3" s="1"/>
  <c r="V121" i="3"/>
  <c r="AE121" i="3"/>
  <c r="L121" i="3" l="1"/>
  <c r="W121" i="3"/>
  <c r="U121" i="3" l="1"/>
  <c r="D122" i="3" s="1"/>
  <c r="AG122" i="3"/>
  <c r="AH122" i="3"/>
  <c r="Y120" i="3"/>
  <c r="G122" i="3" l="1"/>
  <c r="E122" i="3"/>
  <c r="H122" i="3" s="1"/>
  <c r="F122" i="3" l="1"/>
  <c r="K122" i="3"/>
  <c r="I122" i="3"/>
  <c r="J122" i="3"/>
  <c r="M122" i="3"/>
  <c r="N122" i="3" s="1"/>
  <c r="L122" i="3" l="1"/>
  <c r="V122" i="3"/>
  <c r="W122" i="3" s="1"/>
  <c r="AE122" i="3"/>
  <c r="U122" i="3" l="1"/>
  <c r="D123" i="3" s="1"/>
  <c r="AH123" i="3"/>
  <c r="AG123" i="3"/>
  <c r="Y121" i="3"/>
  <c r="G123" i="3" l="1"/>
  <c r="E123" i="3"/>
  <c r="H123" i="3" s="1"/>
  <c r="I123" i="3" l="1"/>
  <c r="J123" i="3"/>
  <c r="M123" i="3"/>
  <c r="N123" i="3" s="1"/>
  <c r="K123" i="3"/>
  <c r="F123" i="3"/>
  <c r="V123" i="3" l="1"/>
  <c r="W123" i="3" s="1"/>
  <c r="AE123" i="3"/>
  <c r="L123" i="3"/>
  <c r="U123" i="3" l="1"/>
  <c r="D124" i="3" s="1"/>
  <c r="AH124" i="3"/>
  <c r="AG124" i="3"/>
  <c r="Y122" i="3"/>
  <c r="E124" i="3" l="1"/>
  <c r="H124" i="3" s="1"/>
  <c r="K124" i="3" s="1"/>
  <c r="G124" i="3"/>
  <c r="F124" i="3" l="1"/>
  <c r="I124" i="3"/>
  <c r="J124" i="3"/>
  <c r="M124" i="3"/>
  <c r="N124" i="3" s="1"/>
  <c r="V124" i="3"/>
  <c r="AE124" i="3"/>
  <c r="W124" i="3" l="1"/>
  <c r="L124" i="3"/>
  <c r="U124" i="3" l="1"/>
  <c r="E125" i="3" s="1"/>
  <c r="H125" i="3" s="1"/>
  <c r="AH125" i="3"/>
  <c r="AG125" i="3"/>
  <c r="Y123" i="3"/>
  <c r="K125" i="3" l="1"/>
  <c r="D125" i="3"/>
  <c r="V125" i="3" l="1"/>
  <c r="AE125" i="3"/>
  <c r="F125" i="3"/>
  <c r="G125" i="3"/>
  <c r="I125" i="3" l="1"/>
  <c r="W125" i="3" s="1"/>
  <c r="J125" i="3"/>
  <c r="M125" i="3"/>
  <c r="N125" i="3" s="1"/>
  <c r="L125" i="3" l="1"/>
  <c r="AG126" i="3" l="1"/>
  <c r="AH126" i="3"/>
  <c r="U125" i="3"/>
  <c r="D126" i="3" s="1"/>
  <c r="Y124" i="3"/>
  <c r="E126" i="3" l="1"/>
  <c r="H126" i="3" s="1"/>
  <c r="K126" i="3" s="1"/>
  <c r="G126" i="3"/>
  <c r="F126" i="3" l="1"/>
  <c r="I126" i="3"/>
  <c r="J126" i="3"/>
  <c r="M126" i="3"/>
  <c r="N126" i="3" s="1"/>
  <c r="V126" i="3"/>
  <c r="AE126" i="3"/>
  <c r="W126" i="3" l="1"/>
  <c r="L126" i="3"/>
  <c r="U126" i="3" l="1"/>
  <c r="E127" i="3" s="1"/>
  <c r="H127" i="3" s="1"/>
  <c r="AH127" i="3"/>
  <c r="AG127" i="3"/>
  <c r="Y125" i="3"/>
  <c r="D127" i="3" l="1"/>
  <c r="G127" i="3" s="1"/>
  <c r="K127" i="3"/>
  <c r="F127" i="3" l="1"/>
  <c r="I127" i="3"/>
  <c r="J127" i="3"/>
  <c r="M127" i="3"/>
  <c r="N127" i="3" s="1"/>
  <c r="V127" i="3"/>
  <c r="AE127" i="3"/>
  <c r="W127" i="3" l="1"/>
  <c r="L127" i="3"/>
  <c r="AH128" i="3" l="1"/>
  <c r="U127" i="3"/>
  <c r="E128" i="3" s="1"/>
  <c r="H128" i="3" s="1"/>
  <c r="AG128" i="3"/>
  <c r="Y126" i="3"/>
  <c r="D128" i="3" l="1"/>
  <c r="G128" i="3" s="1"/>
  <c r="K128" i="3"/>
  <c r="F128" i="3" l="1"/>
  <c r="I128" i="3"/>
  <c r="J128" i="3"/>
  <c r="M128" i="3"/>
  <c r="N128" i="3" s="1"/>
  <c r="V128" i="3"/>
  <c r="AE128" i="3"/>
  <c r="W128" i="3" l="1"/>
  <c r="L128" i="3"/>
  <c r="AH129" i="3" l="1"/>
  <c r="U128" i="3"/>
  <c r="D129" i="3" s="1"/>
  <c r="AG129" i="3"/>
  <c r="Y127" i="3"/>
  <c r="G129" i="3" l="1"/>
  <c r="E129" i="3"/>
  <c r="H129" i="3" s="1"/>
  <c r="F129" i="3" l="1"/>
  <c r="I129" i="3"/>
  <c r="J129" i="3"/>
  <c r="M129" i="3"/>
  <c r="N129" i="3" s="1"/>
  <c r="K129" i="3"/>
  <c r="V129" i="3" l="1"/>
  <c r="W129" i="3" s="1"/>
  <c r="AE129" i="3"/>
  <c r="L129" i="3"/>
  <c r="U129" i="3" l="1"/>
  <c r="E130" i="3" s="1"/>
  <c r="H130" i="3" s="1"/>
  <c r="AH130" i="3"/>
  <c r="AG130" i="3"/>
  <c r="Y128" i="3"/>
  <c r="D130" i="3" l="1"/>
  <c r="G130" i="3" s="1"/>
  <c r="K130" i="3"/>
  <c r="F130" i="3" l="1"/>
  <c r="V130" i="3"/>
  <c r="AE130" i="3"/>
  <c r="I130" i="3"/>
  <c r="J130" i="3"/>
  <c r="M130" i="3"/>
  <c r="N130" i="3" s="1"/>
  <c r="L130" i="3" l="1"/>
  <c r="W130" i="3"/>
  <c r="U130" i="3" l="1"/>
  <c r="E131" i="3" s="1"/>
  <c r="H131" i="3" s="1"/>
  <c r="AH131" i="3"/>
  <c r="AG131" i="3"/>
  <c r="Y129" i="3"/>
  <c r="D131" i="3" l="1"/>
  <c r="F131" i="3" s="1"/>
  <c r="K131" i="3"/>
  <c r="G131" i="3" l="1"/>
  <c r="M131" i="3" s="1"/>
  <c r="N131" i="3" s="1"/>
  <c r="V131" i="3"/>
  <c r="AE131" i="3"/>
  <c r="J131" i="3" l="1"/>
  <c r="L131" i="3" s="1"/>
  <c r="I131" i="3"/>
  <c r="W131" i="3" s="1"/>
  <c r="U131" i="3" l="1"/>
  <c r="E132" i="3" s="1"/>
  <c r="H132" i="3" s="1"/>
  <c r="AH132" i="3"/>
  <c r="AG132" i="3"/>
  <c r="Y130" i="3"/>
  <c r="K132" i="3" l="1"/>
  <c r="D132" i="3"/>
  <c r="V132" i="3" l="1"/>
  <c r="AE132" i="3"/>
  <c r="F132" i="3"/>
  <c r="G132" i="3"/>
  <c r="I132" i="3" l="1"/>
  <c r="W132" i="3" s="1"/>
  <c r="J132" i="3"/>
  <c r="M132" i="3"/>
  <c r="N132" i="3" s="1"/>
  <c r="L132" i="3" l="1"/>
  <c r="U132" i="3" l="1"/>
  <c r="D133" i="3" s="1"/>
  <c r="AH133" i="3"/>
  <c r="AG133" i="3"/>
  <c r="Y131" i="3"/>
  <c r="E133" i="3" l="1"/>
  <c r="H133" i="3" s="1"/>
  <c r="K133" i="3" s="1"/>
  <c r="G133" i="3"/>
  <c r="F133" i="3" l="1"/>
  <c r="V133" i="3"/>
  <c r="AE133" i="3"/>
  <c r="I133" i="3"/>
  <c r="J133" i="3"/>
  <c r="M133" i="3"/>
  <c r="N133" i="3" s="1"/>
  <c r="W133" i="3" l="1"/>
  <c r="L133" i="3"/>
  <c r="AG134" i="3" l="1"/>
  <c r="U133" i="3"/>
  <c r="D134" i="3" s="1"/>
  <c r="AH134" i="3"/>
  <c r="Y132" i="3"/>
  <c r="E134" i="3" l="1"/>
  <c r="H134" i="3" s="1"/>
  <c r="K134" i="3" s="1"/>
  <c r="G134" i="3"/>
  <c r="F134" i="3" l="1"/>
  <c r="I134" i="3"/>
  <c r="J134" i="3"/>
  <c r="M134" i="3"/>
  <c r="N134" i="3" s="1"/>
  <c r="V134" i="3"/>
  <c r="AE134" i="3"/>
  <c r="W134" i="3" l="1"/>
  <c r="L134" i="3"/>
  <c r="U134" i="3" l="1"/>
  <c r="E135" i="3" s="1"/>
  <c r="H135" i="3" s="1"/>
  <c r="AH135" i="3"/>
  <c r="AG135" i="3"/>
  <c r="Y133" i="3"/>
  <c r="K135" i="3" l="1"/>
  <c r="D135" i="3"/>
  <c r="V135" i="3" l="1"/>
  <c r="AE135" i="3"/>
  <c r="F135" i="3"/>
  <c r="G135" i="3"/>
  <c r="I135" i="3" l="1"/>
  <c r="W135" i="3" s="1"/>
  <c r="J135" i="3"/>
  <c r="M135" i="3"/>
  <c r="N135" i="3" s="1"/>
  <c r="L135" i="3" l="1"/>
  <c r="AH136" i="3" l="1"/>
  <c r="U135" i="3"/>
  <c r="D136" i="3" s="1"/>
  <c r="AG136" i="3"/>
  <c r="Y134" i="3"/>
  <c r="E136" i="3" l="1"/>
  <c r="H136" i="3" s="1"/>
  <c r="K136" i="3" s="1"/>
  <c r="G136" i="3"/>
  <c r="F136" i="3" l="1"/>
  <c r="I136" i="3"/>
  <c r="J136" i="3"/>
  <c r="M136" i="3"/>
  <c r="N136" i="3" s="1"/>
  <c r="V136" i="3"/>
  <c r="AE136" i="3"/>
  <c r="W136" i="3" l="1"/>
  <c r="L136" i="3"/>
  <c r="U136" i="3" l="1"/>
  <c r="D137" i="3" s="1"/>
  <c r="AH137" i="3"/>
  <c r="AG137" i="3"/>
  <c r="Y135" i="3"/>
  <c r="E137" i="3" l="1"/>
  <c r="H137" i="3" s="1"/>
  <c r="K137" i="3" s="1"/>
  <c r="G137" i="3"/>
  <c r="F137" i="3" l="1"/>
  <c r="I137" i="3"/>
  <c r="J137" i="3"/>
  <c r="M137" i="3"/>
  <c r="N137" i="3" s="1"/>
  <c r="V137" i="3"/>
  <c r="AE137" i="3"/>
  <c r="W137" i="3" l="1"/>
  <c r="L137" i="3"/>
  <c r="AH138" i="3" l="1"/>
  <c r="U137" i="3"/>
  <c r="E138" i="3" s="1"/>
  <c r="H138" i="3" s="1"/>
  <c r="AG138" i="3"/>
  <c r="Y136" i="3"/>
  <c r="D138" i="3" l="1"/>
  <c r="F138" i="3" s="1"/>
  <c r="K138" i="3"/>
  <c r="G138" i="3" l="1"/>
  <c r="M138" i="3" s="1"/>
  <c r="N138" i="3" s="1"/>
  <c r="V138" i="3"/>
  <c r="AE138" i="3"/>
  <c r="I138" i="3" l="1"/>
  <c r="W138" i="3" s="1"/>
  <c r="J138" i="3"/>
  <c r="L138" i="3" s="1"/>
  <c r="U138" i="3" l="1"/>
  <c r="E139" i="3" s="1"/>
  <c r="H139" i="3" s="1"/>
  <c r="AG139" i="3"/>
  <c r="AH139" i="3"/>
  <c r="Y137" i="3"/>
  <c r="D139" i="3" l="1"/>
  <c r="G139" i="3" s="1"/>
  <c r="K139" i="3"/>
  <c r="F139" i="3" l="1"/>
  <c r="V139" i="3"/>
  <c r="AE139" i="3"/>
  <c r="I139" i="3"/>
  <c r="J139" i="3"/>
  <c r="M139" i="3"/>
  <c r="N139" i="3" s="1"/>
  <c r="W139" i="3" l="1"/>
  <c r="L139" i="3"/>
  <c r="AG140" i="3" l="1"/>
  <c r="U139" i="3"/>
  <c r="E140" i="3" s="1"/>
  <c r="H140" i="3" s="1"/>
  <c r="AH140" i="3"/>
  <c r="Y138" i="3"/>
  <c r="D140" i="3" l="1"/>
  <c r="G140" i="3" s="1"/>
  <c r="K140" i="3"/>
  <c r="F140" i="3" l="1"/>
  <c r="V140" i="3"/>
  <c r="AE140" i="3"/>
  <c r="I140" i="3"/>
  <c r="J140" i="3"/>
  <c r="M140" i="3"/>
  <c r="N140" i="3" s="1"/>
  <c r="W140" i="3" l="1"/>
  <c r="L140" i="3"/>
  <c r="AG141" i="3" l="1"/>
  <c r="U140" i="3"/>
  <c r="D141" i="3" s="1"/>
  <c r="AH141" i="3"/>
  <c r="Y139" i="3"/>
  <c r="E141" i="3" l="1"/>
  <c r="H141" i="3" s="1"/>
  <c r="K141" i="3" s="1"/>
  <c r="G141" i="3"/>
  <c r="F141" i="3" l="1"/>
  <c r="I141" i="3"/>
  <c r="J141" i="3"/>
  <c r="M141" i="3"/>
  <c r="N141" i="3" s="1"/>
  <c r="V141" i="3"/>
  <c r="AE141" i="3"/>
  <c r="W141" i="3" l="1"/>
  <c r="L141" i="3"/>
  <c r="U141" i="3" l="1"/>
  <c r="D142" i="3" s="1"/>
  <c r="AH142" i="3"/>
  <c r="AG142" i="3"/>
  <c r="Y140" i="3"/>
  <c r="E142" i="3" l="1"/>
  <c r="H142" i="3" s="1"/>
  <c r="K142" i="3" s="1"/>
  <c r="G142" i="3"/>
  <c r="F142" i="3" l="1"/>
  <c r="V142" i="3"/>
  <c r="AE142" i="3"/>
  <c r="I142" i="3"/>
  <c r="J142" i="3"/>
  <c r="M142" i="3"/>
  <c r="N142" i="3" s="1"/>
  <c r="W142" i="3" l="1"/>
  <c r="L142" i="3"/>
  <c r="U142" i="3" l="1"/>
  <c r="E143" i="3" s="1"/>
  <c r="H143" i="3" s="1"/>
  <c r="AG143" i="3"/>
  <c r="AH143" i="3"/>
  <c r="Y141" i="3"/>
  <c r="D143" i="3" l="1"/>
  <c r="F143" i="3" s="1"/>
  <c r="K143" i="3"/>
  <c r="G143" i="3" l="1"/>
  <c r="M143" i="3" s="1"/>
  <c r="N143" i="3" s="1"/>
  <c r="V143" i="3"/>
  <c r="AE143" i="3"/>
  <c r="J143" i="3" l="1"/>
  <c r="L143" i="3" s="1"/>
  <c r="I143" i="3"/>
  <c r="W143" i="3" s="1"/>
  <c r="U143" i="3" l="1"/>
  <c r="D144" i="3" s="1"/>
  <c r="AG144" i="3"/>
  <c r="AH144" i="3"/>
  <c r="Y142" i="3"/>
  <c r="E144" i="3" l="1"/>
  <c r="H144" i="3" s="1"/>
  <c r="K144" i="3" s="1"/>
  <c r="G144" i="3"/>
  <c r="F144" i="3" l="1"/>
  <c r="V144" i="3"/>
  <c r="AE144" i="3"/>
  <c r="I144" i="3"/>
  <c r="J144" i="3"/>
  <c r="M144" i="3"/>
  <c r="N144" i="3" s="1"/>
  <c r="W144" i="3" l="1"/>
  <c r="L144" i="3"/>
  <c r="AH145" i="3" l="1"/>
  <c r="AG145" i="3"/>
  <c r="U144" i="3"/>
  <c r="D145" i="3" s="1"/>
  <c r="Y143" i="3"/>
  <c r="E145" i="3" l="1"/>
  <c r="H145" i="3" s="1"/>
  <c r="K145" i="3" s="1"/>
  <c r="G145" i="3"/>
  <c r="F145" i="3" l="1"/>
  <c r="I145" i="3"/>
  <c r="J145" i="3"/>
  <c r="M145" i="3"/>
  <c r="N145" i="3" s="1"/>
  <c r="V145" i="3"/>
  <c r="AE145" i="3"/>
  <c r="W145" i="3" l="1"/>
  <c r="L145" i="3"/>
  <c r="U145" i="3" l="1"/>
  <c r="D146" i="3" s="1"/>
  <c r="AH146" i="3"/>
  <c r="AG146" i="3"/>
  <c r="Y144" i="3"/>
  <c r="E146" i="3" l="1"/>
  <c r="H146" i="3" s="1"/>
  <c r="K146" i="3" s="1"/>
  <c r="G146" i="3"/>
  <c r="F146" i="3" l="1"/>
  <c r="I146" i="3"/>
  <c r="J146" i="3"/>
  <c r="M146" i="3"/>
  <c r="N146" i="3" s="1"/>
  <c r="V146" i="3"/>
  <c r="AE146" i="3"/>
  <c r="W146" i="3" l="1"/>
  <c r="L146" i="3"/>
  <c r="U146" i="3" l="1"/>
  <c r="D147" i="3" s="1"/>
  <c r="AG147" i="3"/>
  <c r="AH147" i="3"/>
  <c r="Y145" i="3"/>
  <c r="E147" i="3" l="1"/>
  <c r="H147" i="3" s="1"/>
  <c r="K147" i="3" s="1"/>
  <c r="G147" i="3"/>
  <c r="F147" i="3" l="1"/>
  <c r="V147" i="3"/>
  <c r="AE147" i="3"/>
  <c r="I147" i="3"/>
  <c r="J147" i="3"/>
  <c r="M147" i="3"/>
  <c r="N147" i="3" s="1"/>
  <c r="W147" i="3" l="1"/>
  <c r="L147" i="3"/>
  <c r="AG148" i="3" l="1"/>
  <c r="U147" i="3"/>
  <c r="E148" i="3" s="1"/>
  <c r="H148" i="3" s="1"/>
  <c r="AH148" i="3"/>
  <c r="Y146" i="3"/>
  <c r="K148" i="3" l="1"/>
  <c r="D148" i="3"/>
  <c r="V148" i="3" l="1"/>
  <c r="AE148" i="3"/>
  <c r="F148" i="3"/>
  <c r="G148" i="3"/>
  <c r="I148" i="3" l="1"/>
  <c r="W148" i="3" s="1"/>
  <c r="J148" i="3"/>
  <c r="M148" i="3"/>
  <c r="N148" i="3" s="1"/>
  <c r="L148" i="3" l="1"/>
  <c r="AG149" i="3" l="1"/>
  <c r="U148" i="3"/>
  <c r="D149" i="3" s="1"/>
  <c r="AH149" i="3"/>
  <c r="Y147" i="3"/>
  <c r="E149" i="3" l="1"/>
  <c r="H149" i="3" s="1"/>
  <c r="K149" i="3" s="1"/>
  <c r="G149" i="3"/>
  <c r="F149" i="3" l="1"/>
  <c r="I149" i="3"/>
  <c r="J149" i="3"/>
  <c r="M149" i="3"/>
  <c r="N149" i="3" s="1"/>
  <c r="V149" i="3"/>
  <c r="AE149" i="3"/>
  <c r="W149" i="3" l="1"/>
  <c r="L149" i="3"/>
  <c r="AH150" i="3" l="1"/>
  <c r="U149" i="3"/>
  <c r="D150" i="3" s="1"/>
  <c r="AG150" i="3"/>
  <c r="Y148" i="3"/>
  <c r="E150" i="3" l="1"/>
  <c r="H150" i="3" s="1"/>
  <c r="K150" i="3" s="1"/>
  <c r="G150" i="3"/>
  <c r="F150" i="3" l="1"/>
  <c r="I150" i="3"/>
  <c r="J150" i="3"/>
  <c r="M150" i="3"/>
  <c r="N150" i="3" s="1"/>
  <c r="V150" i="3"/>
  <c r="AE150" i="3"/>
  <c r="W150" i="3" l="1"/>
  <c r="L150" i="3"/>
  <c r="AH151" i="3" l="1"/>
  <c r="U150" i="3"/>
  <c r="E151" i="3" s="1"/>
  <c r="H151" i="3" s="1"/>
  <c r="AG151" i="3"/>
  <c r="Y149" i="3"/>
  <c r="D151" i="3" l="1"/>
  <c r="G151" i="3" s="1"/>
  <c r="K151" i="3"/>
  <c r="F151" i="3" l="1"/>
  <c r="I151" i="3"/>
  <c r="J151" i="3"/>
  <c r="M151" i="3"/>
  <c r="N151" i="3" s="1"/>
  <c r="V151" i="3"/>
  <c r="AE151" i="3"/>
  <c r="W151" i="3" l="1"/>
  <c r="L151" i="3"/>
  <c r="AH152" i="3" l="1"/>
  <c r="AG152" i="3"/>
  <c r="U151" i="3"/>
  <c r="E152" i="3" s="1"/>
  <c r="H152" i="3" s="1"/>
  <c r="Y150" i="3"/>
  <c r="D152" i="3" l="1"/>
  <c r="G152" i="3" s="1"/>
  <c r="K152" i="3"/>
  <c r="F152" i="3" l="1"/>
  <c r="V152" i="3"/>
  <c r="AE152" i="3"/>
  <c r="I152" i="3"/>
  <c r="J152" i="3"/>
  <c r="M152" i="3"/>
  <c r="N152" i="3" s="1"/>
  <c r="W152" i="3" l="1"/>
  <c r="L152" i="3"/>
  <c r="AH153" i="3" l="1"/>
  <c r="U152" i="3"/>
  <c r="D153" i="3" s="1"/>
  <c r="AG153" i="3"/>
  <c r="Y151" i="3"/>
  <c r="G153" i="3" l="1"/>
  <c r="E153" i="3"/>
  <c r="H153" i="3" s="1"/>
  <c r="K153" i="3" l="1"/>
  <c r="I153" i="3"/>
  <c r="J153" i="3"/>
  <c r="M153" i="3"/>
  <c r="N153" i="3" s="1"/>
  <c r="F153" i="3"/>
  <c r="V153" i="3" l="1"/>
  <c r="W153" i="3" s="1"/>
  <c r="AE153" i="3"/>
  <c r="L153" i="3"/>
  <c r="U153" i="3" l="1"/>
  <c r="D154" i="3" s="1"/>
  <c r="AG154" i="3"/>
  <c r="AH154" i="3"/>
  <c r="Y152" i="3"/>
  <c r="E154" i="3" l="1"/>
  <c r="H154" i="3" s="1"/>
  <c r="K154" i="3" s="1"/>
  <c r="G154" i="3"/>
  <c r="F154" i="3" l="1"/>
  <c r="I154" i="3"/>
  <c r="J154" i="3"/>
  <c r="M154" i="3"/>
  <c r="N154" i="3" s="1"/>
  <c r="V154" i="3"/>
  <c r="AE154" i="3"/>
  <c r="L154" i="3" l="1"/>
  <c r="W154" i="3"/>
  <c r="U154" i="3" l="1"/>
  <c r="E155" i="3" s="1"/>
  <c r="H155" i="3" s="1"/>
  <c r="AH155" i="3"/>
  <c r="AG155" i="3"/>
  <c r="Y153" i="3"/>
  <c r="D155" i="3" l="1"/>
  <c r="G155" i="3" s="1"/>
  <c r="K155" i="3"/>
  <c r="F155" i="3" l="1"/>
  <c r="V155" i="3"/>
  <c r="AE155" i="3"/>
  <c r="I155" i="3"/>
  <c r="J155" i="3"/>
  <c r="M155" i="3"/>
  <c r="N155" i="3" s="1"/>
  <c r="W155" i="3" l="1"/>
  <c r="L155" i="3"/>
  <c r="AG156" i="3" l="1"/>
  <c r="U155" i="3"/>
  <c r="D156" i="3" s="1"/>
  <c r="AH156" i="3"/>
  <c r="Y154" i="3"/>
  <c r="E156" i="3" l="1"/>
  <c r="H156" i="3" s="1"/>
  <c r="K156" i="3" s="1"/>
  <c r="G156" i="3"/>
  <c r="F156" i="3" l="1"/>
  <c r="V156" i="3"/>
  <c r="AE156" i="3"/>
  <c r="I156" i="3"/>
  <c r="J156" i="3"/>
  <c r="M156" i="3"/>
  <c r="N156" i="3" s="1"/>
  <c r="W156" i="3" l="1"/>
  <c r="L156" i="3"/>
  <c r="U156" i="3" l="1"/>
  <c r="E157" i="3" s="1"/>
  <c r="H157" i="3" s="1"/>
  <c r="AH157" i="3"/>
  <c r="AG157" i="3"/>
  <c r="Y155" i="3"/>
  <c r="D157" i="3" l="1"/>
  <c r="G157" i="3" s="1"/>
  <c r="K157" i="3"/>
  <c r="F157" i="3" l="1"/>
  <c r="I157" i="3"/>
  <c r="J157" i="3"/>
  <c r="M157" i="3"/>
  <c r="N157" i="3" s="1"/>
  <c r="V157" i="3"/>
  <c r="AE157" i="3"/>
  <c r="W157" i="3" l="1"/>
  <c r="L157" i="3"/>
  <c r="U157" i="3" l="1"/>
  <c r="E158" i="3" s="1"/>
  <c r="H158" i="3" s="1"/>
  <c r="AH158" i="3"/>
  <c r="AG158" i="3"/>
  <c r="Y156" i="3"/>
  <c r="D158" i="3" l="1"/>
  <c r="F158" i="3" s="1"/>
  <c r="K158" i="3"/>
  <c r="G158" i="3" l="1"/>
  <c r="I158" i="3" s="1"/>
  <c r="V158" i="3"/>
  <c r="AE158" i="3"/>
  <c r="M158" i="3" l="1"/>
  <c r="N158" i="3" s="1"/>
  <c r="J158" i="3"/>
  <c r="L158" i="3" s="1"/>
  <c r="W158" i="3"/>
  <c r="U158" i="3" l="1"/>
  <c r="E159" i="3" s="1"/>
  <c r="H159" i="3" s="1"/>
  <c r="AG159" i="3"/>
  <c r="AH159" i="3"/>
  <c r="Y157" i="3"/>
  <c r="D159" i="3" l="1"/>
  <c r="F159" i="3" s="1"/>
  <c r="K159" i="3"/>
  <c r="G159" i="3" l="1"/>
  <c r="M159" i="3" s="1"/>
  <c r="N159" i="3" s="1"/>
  <c r="V159" i="3"/>
  <c r="AE159" i="3"/>
  <c r="I159" i="3" l="1"/>
  <c r="W159" i="3" s="1"/>
  <c r="J159" i="3"/>
  <c r="L159" i="3" s="1"/>
  <c r="AH160" i="3" l="1"/>
  <c r="U159" i="3"/>
  <c r="E160" i="3" s="1"/>
  <c r="H160" i="3" s="1"/>
  <c r="AG160" i="3"/>
  <c r="Y158" i="3"/>
  <c r="D160" i="3" l="1"/>
  <c r="G160" i="3" s="1"/>
  <c r="K160" i="3"/>
  <c r="F160" i="3" l="1"/>
  <c r="I160" i="3"/>
  <c r="J160" i="3"/>
  <c r="M160" i="3"/>
  <c r="N160" i="3" s="1"/>
  <c r="V160" i="3"/>
  <c r="AE160" i="3"/>
  <c r="W160" i="3" l="1"/>
  <c r="L160" i="3"/>
  <c r="AG161" i="3" l="1"/>
  <c r="AH161" i="3"/>
  <c r="U160" i="3"/>
  <c r="E161" i="3" s="1"/>
  <c r="H161" i="3" s="1"/>
  <c r="Y159" i="3"/>
  <c r="D161" i="3" l="1"/>
  <c r="G161" i="3" s="1"/>
  <c r="K161" i="3"/>
  <c r="F161" i="3" l="1"/>
  <c r="I161" i="3"/>
  <c r="J161" i="3"/>
  <c r="M161" i="3"/>
  <c r="N161" i="3" s="1"/>
  <c r="V161" i="3"/>
  <c r="AE161" i="3"/>
  <c r="W161" i="3" l="1"/>
  <c r="L161" i="3"/>
  <c r="U161" i="3" l="1"/>
  <c r="D162" i="3" s="1"/>
  <c r="AG162" i="3"/>
  <c r="AH162" i="3"/>
  <c r="Y160" i="3"/>
  <c r="G162" i="3" l="1"/>
  <c r="E162" i="3"/>
  <c r="H162" i="3" s="1"/>
  <c r="F162" i="3" l="1"/>
  <c r="I162" i="3"/>
  <c r="J162" i="3"/>
  <c r="M162" i="3"/>
  <c r="N162" i="3" s="1"/>
  <c r="K162" i="3"/>
  <c r="V162" i="3" l="1"/>
  <c r="W162" i="3" s="1"/>
  <c r="AE162" i="3"/>
  <c r="L162" i="3"/>
  <c r="U162" i="3" l="1"/>
  <c r="D163" i="3" s="1"/>
  <c r="AH163" i="3"/>
  <c r="AG163" i="3"/>
  <c r="Y161" i="3"/>
  <c r="E163" i="3" l="1"/>
  <c r="H163" i="3" s="1"/>
  <c r="K163" i="3" s="1"/>
  <c r="G163" i="3"/>
  <c r="F163" i="3" l="1"/>
  <c r="V163" i="3"/>
  <c r="AE163" i="3"/>
  <c r="I163" i="3"/>
  <c r="J163" i="3"/>
  <c r="M163" i="3"/>
  <c r="N163" i="3" s="1"/>
  <c r="W163" i="3" l="1"/>
  <c r="L163" i="3"/>
  <c r="AH164" i="3" l="1"/>
  <c r="U163" i="3"/>
  <c r="D164" i="3" s="1"/>
  <c r="AG164" i="3"/>
  <c r="Y162" i="3"/>
  <c r="E164" i="3" l="1"/>
  <c r="H164" i="3" s="1"/>
  <c r="K164" i="3" s="1"/>
  <c r="G164" i="3"/>
  <c r="F164" i="3" l="1"/>
  <c r="I164" i="3"/>
  <c r="J164" i="3"/>
  <c r="M164" i="3"/>
  <c r="N164" i="3" s="1"/>
  <c r="V164" i="3"/>
  <c r="AE164" i="3"/>
  <c r="W164" i="3" l="1"/>
  <c r="L164" i="3"/>
  <c r="U164" i="3" l="1"/>
  <c r="D165" i="3" s="1"/>
  <c r="AG165" i="3"/>
  <c r="AH165" i="3"/>
  <c r="Y163" i="3"/>
  <c r="E165" i="3" l="1"/>
  <c r="H165" i="3" s="1"/>
  <c r="K165" i="3" s="1"/>
  <c r="G165" i="3"/>
  <c r="F165" i="3" l="1"/>
  <c r="V165" i="3"/>
  <c r="AE165" i="3"/>
  <c r="I165" i="3"/>
  <c r="J165" i="3"/>
  <c r="M165" i="3"/>
  <c r="N165" i="3" s="1"/>
  <c r="L165" i="3" l="1"/>
  <c r="W165" i="3"/>
  <c r="AH166" i="3" l="1"/>
  <c r="U165" i="3"/>
  <c r="E166" i="3" s="1"/>
  <c r="H166" i="3" s="1"/>
  <c r="AG166" i="3"/>
  <c r="Y164" i="3"/>
  <c r="D166" i="3" l="1"/>
  <c r="G166" i="3" s="1"/>
  <c r="K166" i="3"/>
  <c r="F166" i="3" l="1"/>
  <c r="I166" i="3"/>
  <c r="J166" i="3"/>
  <c r="M166" i="3"/>
  <c r="N166" i="3" s="1"/>
  <c r="V166" i="3"/>
  <c r="AE166" i="3"/>
  <c r="W166" i="3" l="1"/>
  <c r="L166" i="3"/>
  <c r="AH167" i="3" l="1"/>
  <c r="AG167" i="3"/>
  <c r="U166" i="3"/>
  <c r="E167" i="3" s="1"/>
  <c r="H167" i="3" s="1"/>
  <c r="Y165" i="3"/>
  <c r="K167" i="3" l="1"/>
  <c r="D167" i="3"/>
  <c r="V167" i="3" l="1"/>
  <c r="AE167" i="3"/>
  <c r="F167" i="3"/>
  <c r="G167" i="3"/>
  <c r="I167" i="3" l="1"/>
  <c r="W167" i="3" s="1"/>
  <c r="J167" i="3"/>
  <c r="M167" i="3"/>
  <c r="N167" i="3" s="1"/>
  <c r="L167" i="3" l="1"/>
  <c r="AH168" i="3" l="1"/>
  <c r="U167" i="3"/>
  <c r="E168" i="3" s="1"/>
  <c r="H168" i="3" s="1"/>
  <c r="AG168" i="3"/>
  <c r="Y166" i="3"/>
  <c r="D168" i="3" l="1"/>
  <c r="F168" i="3" s="1"/>
  <c r="K168" i="3"/>
  <c r="G168" i="3" l="1"/>
  <c r="I168" i="3" s="1"/>
  <c r="V168" i="3"/>
  <c r="AE168" i="3"/>
  <c r="M168" i="3" l="1"/>
  <c r="N168" i="3" s="1"/>
  <c r="J168" i="3"/>
  <c r="L168" i="3" s="1"/>
  <c r="W168" i="3"/>
  <c r="U168" i="3" l="1"/>
  <c r="E169" i="3" s="1"/>
  <c r="H169" i="3" s="1"/>
  <c r="AH169" i="3"/>
  <c r="AG169" i="3"/>
  <c r="Y167" i="3"/>
  <c r="D169" i="3" l="1"/>
  <c r="F169" i="3" s="1"/>
  <c r="K169" i="3"/>
  <c r="G169" i="3" l="1"/>
  <c r="I169" i="3" s="1"/>
  <c r="V169" i="3"/>
  <c r="AE169" i="3"/>
  <c r="M169" i="3" l="1"/>
  <c r="N169" i="3" s="1"/>
  <c r="J169" i="3"/>
  <c r="L169" i="3" s="1"/>
  <c r="W169" i="3"/>
  <c r="AH170" i="3" l="1"/>
  <c r="U169" i="3"/>
  <c r="E170" i="3" s="1"/>
  <c r="H170" i="3" s="1"/>
  <c r="AG170" i="3"/>
  <c r="Y168" i="3"/>
  <c r="D170" i="3" l="1"/>
  <c r="G170" i="3" s="1"/>
  <c r="K170" i="3"/>
  <c r="F170" i="3" l="1"/>
  <c r="I170" i="3"/>
  <c r="J170" i="3"/>
  <c r="M170" i="3"/>
  <c r="N170" i="3" s="1"/>
  <c r="V170" i="3"/>
  <c r="AE170" i="3"/>
  <c r="W170" i="3" l="1"/>
  <c r="L170" i="3"/>
  <c r="AG171" i="3" l="1"/>
  <c r="U170" i="3"/>
  <c r="E171" i="3" s="1"/>
  <c r="H171" i="3" s="1"/>
  <c r="AH171" i="3"/>
  <c r="Y169" i="3"/>
  <c r="K171" i="3" l="1"/>
  <c r="D171" i="3"/>
  <c r="F171" i="3" l="1"/>
  <c r="G171" i="3"/>
  <c r="V171" i="3"/>
  <c r="AE171" i="3"/>
  <c r="I171" i="3" l="1"/>
  <c r="W171" i="3" s="1"/>
  <c r="J171" i="3"/>
  <c r="M171" i="3"/>
  <c r="N171" i="3" s="1"/>
  <c r="L171" i="3" l="1"/>
  <c r="U171" i="3" l="1"/>
  <c r="E172" i="3" s="1"/>
  <c r="H172" i="3" s="1"/>
  <c r="AH172" i="3"/>
  <c r="AG172" i="3"/>
  <c r="Y170" i="3"/>
  <c r="K172" i="3" l="1"/>
  <c r="D172" i="3"/>
  <c r="V172" i="3" l="1"/>
  <c r="AE172" i="3"/>
  <c r="F172" i="3"/>
  <c r="G172" i="3"/>
  <c r="I172" i="3" l="1"/>
  <c r="W172" i="3" s="1"/>
  <c r="J172" i="3"/>
  <c r="M172" i="3"/>
  <c r="N172" i="3" s="1"/>
  <c r="L172" i="3" l="1"/>
  <c r="U172" i="3" l="1"/>
  <c r="E173" i="3" s="1"/>
  <c r="H173" i="3" s="1"/>
  <c r="AH173" i="3"/>
  <c r="AG173" i="3"/>
  <c r="Y171" i="3"/>
  <c r="D173" i="3" l="1"/>
  <c r="G173" i="3" s="1"/>
  <c r="K173" i="3"/>
  <c r="F173" i="3" l="1"/>
  <c r="I173" i="3"/>
  <c r="J173" i="3"/>
  <c r="M173" i="3"/>
  <c r="N173" i="3" s="1"/>
  <c r="V173" i="3"/>
  <c r="AE173" i="3"/>
  <c r="L173" i="3" l="1"/>
  <c r="W173" i="3"/>
  <c r="U173" i="3" l="1"/>
  <c r="E174" i="3" s="1"/>
  <c r="H174" i="3" s="1"/>
  <c r="AG174" i="3"/>
  <c r="AH174" i="3"/>
  <c r="Y172" i="3"/>
  <c r="D174" i="3" l="1"/>
  <c r="G174" i="3" s="1"/>
  <c r="K174" i="3"/>
  <c r="F174" i="3" l="1"/>
  <c r="V174" i="3"/>
  <c r="AE174" i="3"/>
  <c r="I174" i="3"/>
  <c r="J174" i="3"/>
  <c r="M174" i="3"/>
  <c r="N174" i="3" s="1"/>
  <c r="W174" i="3" l="1"/>
  <c r="L174" i="3"/>
  <c r="U174" i="3" l="1"/>
  <c r="D175" i="3" s="1"/>
  <c r="AG175" i="3"/>
  <c r="AH175" i="3"/>
  <c r="Y173" i="3"/>
  <c r="E175" i="3" l="1"/>
  <c r="H175" i="3" s="1"/>
  <c r="K175" i="3" s="1"/>
  <c r="G175" i="3"/>
  <c r="F175" i="3" l="1"/>
  <c r="I175" i="3"/>
  <c r="J175" i="3"/>
  <c r="M175" i="3"/>
  <c r="N175" i="3" s="1"/>
  <c r="V175" i="3"/>
  <c r="AE175" i="3"/>
  <c r="W175" i="3" l="1"/>
  <c r="L175" i="3"/>
  <c r="U175" i="3" l="1"/>
  <c r="E176" i="3" s="1"/>
  <c r="H176" i="3" s="1"/>
  <c r="AG176" i="3"/>
  <c r="AH176" i="3"/>
  <c r="Y174" i="3"/>
  <c r="D176" i="3" l="1"/>
  <c r="G176" i="3" s="1"/>
  <c r="K176" i="3"/>
  <c r="F176" i="3" l="1"/>
  <c r="I176" i="3"/>
  <c r="J176" i="3"/>
  <c r="M176" i="3"/>
  <c r="N176" i="3" s="1"/>
  <c r="V176" i="3"/>
  <c r="AE176" i="3"/>
  <c r="W176" i="3" l="1"/>
  <c r="L176" i="3"/>
  <c r="AH177" i="3" l="1"/>
  <c r="U176" i="3"/>
  <c r="D177" i="3" s="1"/>
  <c r="AG177" i="3"/>
  <c r="Y175" i="3"/>
  <c r="G177" i="3" l="1"/>
  <c r="E177" i="3"/>
  <c r="H177" i="3" s="1"/>
  <c r="F177" i="3" l="1"/>
  <c r="I177" i="3"/>
  <c r="J177" i="3"/>
  <c r="M177" i="3"/>
  <c r="N177" i="3" s="1"/>
  <c r="K177" i="3"/>
  <c r="V177" i="3" l="1"/>
  <c r="W177" i="3" s="1"/>
  <c r="AE177" i="3"/>
  <c r="L177" i="3"/>
  <c r="AH178" i="3" l="1"/>
  <c r="U177" i="3"/>
  <c r="E178" i="3" s="1"/>
  <c r="H178" i="3" s="1"/>
  <c r="AG178" i="3"/>
  <c r="Y176" i="3"/>
  <c r="D178" i="3" l="1"/>
  <c r="G178" i="3" s="1"/>
  <c r="K178" i="3"/>
  <c r="F178" i="3" l="1"/>
  <c r="I178" i="3"/>
  <c r="J178" i="3"/>
  <c r="M178" i="3"/>
  <c r="N178" i="3" s="1"/>
  <c r="V178" i="3"/>
  <c r="AE178" i="3"/>
  <c r="W178" i="3" l="1"/>
  <c r="L178" i="3"/>
  <c r="U178" i="3" l="1"/>
  <c r="E179" i="3" s="1"/>
  <c r="H179" i="3" s="1"/>
  <c r="AG179" i="3"/>
  <c r="AH179" i="3"/>
  <c r="Y177" i="3"/>
  <c r="D179" i="3" l="1"/>
  <c r="G179" i="3" s="1"/>
  <c r="K179" i="3"/>
  <c r="F179" i="3" l="1"/>
  <c r="V179" i="3"/>
  <c r="AE179" i="3"/>
  <c r="I179" i="3"/>
  <c r="J179" i="3"/>
  <c r="M179" i="3"/>
  <c r="N179" i="3" s="1"/>
  <c r="W179" i="3" l="1"/>
  <c r="L179" i="3"/>
  <c r="AG180" i="3" l="1"/>
  <c r="U179" i="3"/>
  <c r="D180" i="3" s="1"/>
  <c r="AH180" i="3"/>
  <c r="Y178" i="3"/>
  <c r="E180" i="3" l="1"/>
  <c r="H180" i="3" s="1"/>
  <c r="K180" i="3" s="1"/>
  <c r="G180" i="3"/>
  <c r="F180" i="3" l="1"/>
  <c r="I180" i="3"/>
  <c r="J180" i="3"/>
  <c r="M180" i="3"/>
  <c r="N180" i="3" s="1"/>
  <c r="V180" i="3"/>
  <c r="AE180" i="3"/>
  <c r="L180" i="3" l="1"/>
  <c r="W180" i="3"/>
  <c r="U180" i="3" l="1"/>
  <c r="E181" i="3" s="1"/>
  <c r="H181" i="3" s="1"/>
  <c r="AH181" i="3"/>
  <c r="AG181" i="3"/>
  <c r="Y179" i="3"/>
  <c r="D181" i="3" l="1"/>
  <c r="G181" i="3" s="1"/>
  <c r="K181" i="3"/>
  <c r="F181" i="3" l="1"/>
  <c r="I181" i="3"/>
  <c r="J181" i="3"/>
  <c r="M181" i="3"/>
  <c r="N181" i="3" s="1"/>
  <c r="V181" i="3"/>
  <c r="AE181" i="3"/>
  <c r="W181" i="3" l="1"/>
  <c r="L181" i="3"/>
  <c r="AH182" i="3" l="1"/>
  <c r="U181" i="3"/>
  <c r="E182" i="3" s="1"/>
  <c r="H182" i="3" s="1"/>
  <c r="AG182" i="3"/>
  <c r="Y180" i="3"/>
  <c r="K182" i="3" l="1"/>
  <c r="D182" i="3"/>
  <c r="V182" i="3" l="1"/>
  <c r="AE182" i="3"/>
  <c r="F182" i="3"/>
  <c r="G182" i="3"/>
  <c r="I182" i="3" l="1"/>
  <c r="W182" i="3" s="1"/>
  <c r="J182" i="3"/>
  <c r="M182" i="3"/>
  <c r="N182" i="3" s="1"/>
  <c r="L182" i="3" l="1"/>
  <c r="U182" i="3" l="1"/>
  <c r="E183" i="3" s="1"/>
  <c r="H183" i="3" s="1"/>
  <c r="AH183" i="3"/>
  <c r="AG183" i="3"/>
  <c r="Y181" i="3"/>
  <c r="D183" i="3" l="1"/>
  <c r="G183" i="3" s="1"/>
  <c r="K183" i="3"/>
  <c r="F183" i="3" l="1"/>
  <c r="I183" i="3"/>
  <c r="J183" i="3"/>
  <c r="M183" i="3"/>
  <c r="N183" i="3" s="1"/>
  <c r="V183" i="3"/>
  <c r="AE183" i="3"/>
  <c r="W183" i="3" l="1"/>
  <c r="L183" i="3"/>
  <c r="U183" i="3" l="1"/>
  <c r="D184" i="3" s="1"/>
  <c r="AG184" i="3"/>
  <c r="AH184" i="3"/>
  <c r="Y182" i="3"/>
  <c r="G184" i="3" l="1"/>
  <c r="E184" i="3"/>
  <c r="H184" i="3" s="1"/>
  <c r="K184" i="3" l="1"/>
  <c r="I184" i="3"/>
  <c r="J184" i="3"/>
  <c r="M184" i="3"/>
  <c r="N184" i="3" s="1"/>
  <c r="F184" i="3"/>
  <c r="V184" i="3" l="1"/>
  <c r="W184" i="3" s="1"/>
  <c r="AE184" i="3"/>
  <c r="L184" i="3"/>
  <c r="AH185" i="3" l="1"/>
  <c r="AG185" i="3"/>
  <c r="U184" i="3"/>
  <c r="D185" i="3" s="1"/>
  <c r="Y183" i="3"/>
  <c r="E185" i="3" l="1"/>
  <c r="H185" i="3" s="1"/>
  <c r="K185" i="3" s="1"/>
  <c r="G185" i="3"/>
  <c r="F185" i="3" l="1"/>
  <c r="I185" i="3"/>
  <c r="J185" i="3"/>
  <c r="M185" i="3"/>
  <c r="N185" i="3" s="1"/>
  <c r="V185" i="3"/>
  <c r="AE185" i="3"/>
  <c r="W185" i="3" l="1"/>
  <c r="L185" i="3"/>
  <c r="U185" i="3" l="1"/>
  <c r="E186" i="3" s="1"/>
  <c r="H186" i="3" s="1"/>
  <c r="AH186" i="3"/>
  <c r="AG186" i="3"/>
  <c r="Y184" i="3"/>
  <c r="D186" i="3" l="1"/>
  <c r="G186" i="3" s="1"/>
  <c r="K186" i="3"/>
  <c r="F186" i="3" l="1"/>
  <c r="V186" i="3"/>
  <c r="AE186" i="3"/>
  <c r="I186" i="3"/>
  <c r="J186" i="3"/>
  <c r="M186" i="3"/>
  <c r="N186" i="3" s="1"/>
  <c r="L186" i="3" l="1"/>
  <c r="W186" i="3"/>
  <c r="AG187" i="3" l="1"/>
  <c r="AH187" i="3"/>
  <c r="U186" i="3"/>
  <c r="D187" i="3" s="1"/>
  <c r="Y185" i="3"/>
  <c r="G187" i="3" l="1"/>
  <c r="E187" i="3"/>
  <c r="H187" i="3" s="1"/>
  <c r="I187" i="3" l="1"/>
  <c r="J187" i="3"/>
  <c r="M187" i="3"/>
  <c r="N187" i="3" s="1"/>
  <c r="F187" i="3"/>
  <c r="K187" i="3"/>
  <c r="L187" i="3" l="1"/>
  <c r="V187" i="3"/>
  <c r="W187" i="3" s="1"/>
  <c r="AE187" i="3"/>
  <c r="AG188" i="3" l="1"/>
  <c r="U187" i="3"/>
  <c r="E188" i="3" s="1"/>
  <c r="H188" i="3" s="1"/>
  <c r="AH188" i="3"/>
  <c r="Y186" i="3"/>
  <c r="D188" i="3" l="1"/>
  <c r="G188" i="3" s="1"/>
  <c r="K188" i="3"/>
  <c r="F188" i="3" l="1"/>
  <c r="I188" i="3"/>
  <c r="J188" i="3"/>
  <c r="M188" i="3"/>
  <c r="N188" i="3" s="1"/>
  <c r="V188" i="3"/>
  <c r="AE188" i="3"/>
  <c r="W188" i="3" l="1"/>
  <c r="L188" i="3"/>
  <c r="U188" i="3" l="1"/>
  <c r="E189" i="3" s="1"/>
  <c r="H189" i="3" s="1"/>
  <c r="AH189" i="3"/>
  <c r="AG189" i="3"/>
  <c r="Y187" i="3"/>
  <c r="D189" i="3" l="1"/>
  <c r="G189" i="3" s="1"/>
  <c r="K189" i="3"/>
  <c r="F189" i="3" l="1"/>
  <c r="I189" i="3"/>
  <c r="J189" i="3"/>
  <c r="M189" i="3"/>
  <c r="N189" i="3" s="1"/>
  <c r="V189" i="3"/>
  <c r="AE189" i="3"/>
  <c r="W189" i="3" l="1"/>
  <c r="L189" i="3"/>
  <c r="AH190" i="3" l="1"/>
  <c r="U189" i="3"/>
  <c r="D190" i="3" s="1"/>
  <c r="AG190" i="3"/>
  <c r="Y188" i="3"/>
  <c r="G190" i="3" l="1"/>
  <c r="E190" i="3"/>
  <c r="H190" i="3" s="1"/>
  <c r="K190" i="3" l="1"/>
  <c r="I190" i="3"/>
  <c r="J190" i="3"/>
  <c r="M190" i="3"/>
  <c r="N190" i="3" s="1"/>
  <c r="F190" i="3"/>
  <c r="L190" i="3" l="1"/>
  <c r="V190" i="3"/>
  <c r="W190" i="3" s="1"/>
  <c r="AE190" i="3"/>
  <c r="AG191" i="3" l="1"/>
  <c r="U190" i="3"/>
  <c r="E191" i="3" s="1"/>
  <c r="H191" i="3" s="1"/>
  <c r="AH191" i="3"/>
  <c r="Y189" i="3"/>
  <c r="K191" i="3" l="1"/>
  <c r="D191" i="3"/>
  <c r="V191" i="3" l="1"/>
  <c r="AE191" i="3"/>
  <c r="F191" i="3"/>
  <c r="G191" i="3"/>
  <c r="I191" i="3" l="1"/>
  <c r="W191" i="3" s="1"/>
  <c r="J191" i="3"/>
  <c r="M191" i="3"/>
  <c r="N191" i="3" s="1"/>
  <c r="L191" i="3" l="1"/>
  <c r="AG192" i="3" l="1"/>
  <c r="U191" i="3"/>
  <c r="E192" i="3" s="1"/>
  <c r="H192" i="3" s="1"/>
  <c r="AH192" i="3"/>
  <c r="Y190" i="3"/>
  <c r="D192" i="3" l="1"/>
  <c r="G192" i="3" s="1"/>
  <c r="K192" i="3"/>
  <c r="F192" i="3" l="1"/>
  <c r="I192" i="3"/>
  <c r="J192" i="3"/>
  <c r="M192" i="3"/>
  <c r="N192" i="3" s="1"/>
  <c r="V192" i="3"/>
  <c r="AE192" i="3"/>
  <c r="W192" i="3" l="1"/>
  <c r="L192" i="3"/>
  <c r="U192" i="3" l="1"/>
  <c r="D193" i="3" s="1"/>
  <c r="AG193" i="3"/>
  <c r="AH193" i="3"/>
  <c r="Y191" i="3"/>
  <c r="G193" i="3" l="1"/>
  <c r="E193" i="3"/>
  <c r="H193" i="3" s="1"/>
  <c r="K193" i="3" l="1"/>
  <c r="I193" i="3"/>
  <c r="J193" i="3"/>
  <c r="M193" i="3"/>
  <c r="N193" i="3" s="1"/>
  <c r="F193" i="3"/>
  <c r="L193" i="3" l="1"/>
  <c r="V193" i="3"/>
  <c r="W193" i="3" s="1"/>
  <c r="AE193" i="3"/>
  <c r="AH194" i="3" l="1"/>
  <c r="AG194" i="3"/>
  <c r="U193" i="3"/>
  <c r="D194" i="3" s="1"/>
  <c r="Y192" i="3"/>
  <c r="E194" i="3" l="1"/>
  <c r="H194" i="3" s="1"/>
  <c r="K194" i="3" s="1"/>
  <c r="G194" i="3"/>
  <c r="F194" i="3" l="1"/>
  <c r="V194" i="3"/>
  <c r="AE194" i="3"/>
  <c r="I194" i="3"/>
  <c r="J194" i="3"/>
  <c r="M194" i="3"/>
  <c r="N194" i="3" s="1"/>
  <c r="W194" i="3" l="1"/>
  <c r="L194" i="3"/>
  <c r="U194" i="3" l="1"/>
  <c r="D195" i="3" s="1"/>
  <c r="AH195" i="3"/>
  <c r="AG195" i="3"/>
  <c r="Y193" i="3"/>
  <c r="E195" i="3" l="1"/>
  <c r="H195" i="3" s="1"/>
  <c r="K195" i="3" s="1"/>
  <c r="G195" i="3"/>
  <c r="F195" i="3" l="1"/>
  <c r="V195" i="3"/>
  <c r="AE195" i="3"/>
  <c r="I195" i="3"/>
  <c r="J195" i="3"/>
  <c r="M195" i="3"/>
  <c r="N195" i="3" s="1"/>
  <c r="W195" i="3" l="1"/>
  <c r="L195" i="3"/>
  <c r="AH196" i="3" l="1"/>
  <c r="U195" i="3"/>
  <c r="D196" i="3" s="1"/>
  <c r="AG196" i="3"/>
  <c r="Y194" i="3"/>
  <c r="E196" i="3" l="1"/>
  <c r="H196" i="3" s="1"/>
  <c r="K196" i="3" s="1"/>
  <c r="G196" i="3"/>
  <c r="F196" i="3" l="1"/>
  <c r="I196" i="3"/>
  <c r="J196" i="3"/>
  <c r="M196" i="3"/>
  <c r="N196" i="3" s="1"/>
  <c r="V196" i="3"/>
  <c r="AE196" i="3"/>
  <c r="L196" i="3" l="1"/>
  <c r="W196" i="3"/>
  <c r="U196" i="3" l="1"/>
  <c r="E197" i="3" s="1"/>
  <c r="H197" i="3" s="1"/>
  <c r="AG197" i="3"/>
  <c r="AH197" i="3"/>
  <c r="Y195" i="3"/>
  <c r="D197" i="3" l="1"/>
  <c r="G197" i="3" s="1"/>
  <c r="K197" i="3"/>
  <c r="F197" i="3" l="1"/>
  <c r="I197" i="3"/>
  <c r="J197" i="3"/>
  <c r="M197" i="3"/>
  <c r="N197" i="3" s="1"/>
  <c r="V197" i="3"/>
  <c r="AE197" i="3"/>
  <c r="W197" i="3" l="1"/>
  <c r="L197" i="3"/>
  <c r="AG198" i="3" l="1"/>
  <c r="AH198" i="3"/>
  <c r="U197" i="3"/>
  <c r="E198" i="3" s="1"/>
  <c r="H198" i="3" s="1"/>
  <c r="Y196" i="3"/>
  <c r="K198" i="3" l="1"/>
  <c r="D198" i="3"/>
  <c r="V198" i="3" l="1"/>
  <c r="AE198" i="3"/>
  <c r="F198" i="3"/>
  <c r="G198" i="3"/>
  <c r="I198" i="3" l="1"/>
  <c r="W198" i="3" s="1"/>
  <c r="J198" i="3"/>
  <c r="M198" i="3"/>
  <c r="N198" i="3" s="1"/>
  <c r="L198" i="3" l="1"/>
  <c r="AG199" i="3" l="1"/>
  <c r="U198" i="3"/>
  <c r="E199" i="3" s="1"/>
  <c r="H199" i="3" s="1"/>
  <c r="AH199" i="3"/>
  <c r="Y197" i="3"/>
  <c r="K199" i="3" l="1"/>
  <c r="D199" i="3"/>
  <c r="V199" i="3" l="1"/>
  <c r="AE199" i="3"/>
  <c r="F199" i="3"/>
  <c r="G199" i="3"/>
  <c r="I199" i="3" l="1"/>
  <c r="W199" i="3" s="1"/>
  <c r="J199" i="3"/>
  <c r="M199" i="3"/>
  <c r="N199" i="3" s="1"/>
  <c r="L199" i="3" l="1"/>
  <c r="AH200" i="3" l="1"/>
  <c r="AG200" i="3"/>
  <c r="U199" i="3"/>
  <c r="E200" i="3" s="1"/>
  <c r="H200" i="3" s="1"/>
  <c r="Y198" i="3"/>
  <c r="K200" i="3" l="1"/>
  <c r="D200" i="3"/>
  <c r="V200" i="3" l="1"/>
  <c r="AE200" i="3"/>
  <c r="F200" i="3"/>
  <c r="G200" i="3"/>
  <c r="I200" i="3" l="1"/>
  <c r="W200" i="3" s="1"/>
  <c r="J200" i="3"/>
  <c r="M200" i="3"/>
  <c r="N200" i="3" s="1"/>
  <c r="L200" i="3" l="1"/>
  <c r="AG201" i="3" l="1"/>
  <c r="U200" i="3"/>
  <c r="E201" i="3" s="1"/>
  <c r="H201" i="3" s="1"/>
  <c r="AH201" i="3"/>
  <c r="Y199" i="3"/>
  <c r="D201" i="3" l="1"/>
  <c r="G201" i="3" s="1"/>
  <c r="K201" i="3"/>
  <c r="F201" i="3" l="1"/>
  <c r="I201" i="3"/>
  <c r="J201" i="3"/>
  <c r="M201" i="3"/>
  <c r="N201" i="3" s="1"/>
  <c r="V201" i="3"/>
  <c r="AE201" i="3"/>
  <c r="W201" i="3" l="1"/>
  <c r="L201" i="3"/>
  <c r="U201" i="3" l="1"/>
  <c r="E202" i="3" s="1"/>
  <c r="H202" i="3" s="1"/>
  <c r="AG202" i="3"/>
  <c r="AH202" i="3"/>
  <c r="Y200" i="3"/>
  <c r="D202" i="3" l="1"/>
  <c r="G202" i="3" s="1"/>
  <c r="K202" i="3"/>
  <c r="F202" i="3" l="1"/>
  <c r="V202" i="3"/>
  <c r="AE202" i="3"/>
  <c r="I202" i="3"/>
  <c r="J202" i="3"/>
  <c r="M202" i="3"/>
  <c r="N202" i="3" s="1"/>
  <c r="W202" i="3" l="1"/>
  <c r="L202" i="3"/>
  <c r="U202" i="3" l="1"/>
  <c r="E203" i="3" s="1"/>
  <c r="H203" i="3" s="1"/>
  <c r="AH203" i="3"/>
  <c r="AG203" i="3"/>
  <c r="Y201" i="3"/>
  <c r="D203" i="3" l="1"/>
  <c r="G203" i="3" s="1"/>
  <c r="K203" i="3"/>
  <c r="F203" i="3" l="1"/>
  <c r="I203" i="3"/>
  <c r="J203" i="3"/>
  <c r="M203" i="3"/>
  <c r="N203" i="3" s="1"/>
  <c r="V203" i="3"/>
  <c r="AE203" i="3"/>
  <c r="W203" i="3" l="1"/>
  <c r="L203" i="3"/>
  <c r="U203" i="3" l="1"/>
  <c r="E204" i="3" s="1"/>
  <c r="H204" i="3" s="1"/>
  <c r="AH204" i="3"/>
  <c r="AG204" i="3"/>
  <c r="Y202" i="3"/>
  <c r="D204" i="3" l="1"/>
  <c r="G204" i="3" s="1"/>
  <c r="K204" i="3"/>
  <c r="F204" i="3" l="1"/>
  <c r="I204" i="3"/>
  <c r="J204" i="3"/>
  <c r="M204" i="3"/>
  <c r="N204" i="3" s="1"/>
  <c r="V204" i="3"/>
  <c r="A205" i="3"/>
  <c r="B205" i="3" s="1"/>
  <c r="AE204" i="3"/>
  <c r="W204" i="3" l="1"/>
  <c r="L204" i="3"/>
  <c r="AD204" i="3"/>
  <c r="AC205" i="3"/>
  <c r="P205" i="3"/>
  <c r="Q205" i="3" s="1"/>
  <c r="R205" i="3" s="1"/>
  <c r="S205" i="3" s="1"/>
  <c r="Z205" i="3"/>
  <c r="AA205" i="3"/>
  <c r="AD205" i="3"/>
  <c r="U204" i="3" l="1"/>
  <c r="Y203" i="3"/>
  <c r="T205" i="3"/>
  <c r="AH205" i="3" s="1"/>
  <c r="E205" i="3" l="1"/>
  <c r="H205" i="3" s="1"/>
  <c r="D205" i="3"/>
  <c r="AG205" i="3"/>
  <c r="K205" i="3" l="1"/>
  <c r="F205" i="3"/>
  <c r="G205" i="3"/>
  <c r="V205" i="3" l="1"/>
  <c r="A206" i="3"/>
  <c r="B206" i="3" s="1"/>
  <c r="AE205" i="3"/>
  <c r="I205" i="3"/>
  <c r="J205" i="3"/>
  <c r="M205" i="3"/>
  <c r="N205" i="3" s="1"/>
  <c r="W205" i="3" l="1"/>
  <c r="L205" i="3"/>
  <c r="AC206" i="3"/>
  <c r="P206" i="3"/>
  <c r="Q206" i="3" s="1"/>
  <c r="R206" i="3" s="1"/>
  <c r="S206" i="3" s="1"/>
  <c r="Z206" i="3"/>
  <c r="AA206" i="3"/>
  <c r="AD206" i="3"/>
  <c r="T206" i="3" l="1"/>
  <c r="AH206" i="3" s="1"/>
  <c r="U205" i="3"/>
  <c r="Y204" i="3"/>
  <c r="AG206" i="3" l="1"/>
  <c r="D206" i="3"/>
  <c r="E206" i="3"/>
  <c r="H206" i="3" s="1"/>
  <c r="F206" i="3" l="1"/>
  <c r="G206" i="3"/>
  <c r="K206" i="3"/>
  <c r="I206" i="3" l="1"/>
  <c r="J206" i="3"/>
  <c r="M206" i="3"/>
  <c r="N206" i="3" s="1"/>
  <c r="V206" i="3"/>
  <c r="A207" i="3"/>
  <c r="B207" i="3" s="1"/>
  <c r="AE206" i="3"/>
  <c r="W206" i="3" l="1"/>
  <c r="L206" i="3"/>
  <c r="AD207" i="3"/>
  <c r="P207" i="3"/>
  <c r="Q207" i="3" s="1"/>
  <c r="R207" i="3" s="1"/>
  <c r="S207" i="3" s="1"/>
  <c r="AC207" i="3"/>
  <c r="Z207" i="3"/>
  <c r="AA207" i="3"/>
  <c r="T207" i="3" l="1"/>
  <c r="U206" i="3"/>
  <c r="Y205" i="3"/>
  <c r="D207" i="3" l="1"/>
  <c r="G207" i="3" s="1"/>
  <c r="AH207" i="3"/>
  <c r="E207" i="3"/>
  <c r="H207" i="3" s="1"/>
  <c r="AG207" i="3"/>
  <c r="F207" i="3" l="1"/>
  <c r="I207" i="3"/>
  <c r="J207" i="3"/>
  <c r="M207" i="3"/>
  <c r="N207" i="3" s="1"/>
  <c r="K207" i="3"/>
  <c r="V207" i="3" l="1"/>
  <c r="W207" i="3" s="1"/>
  <c r="AE207" i="3"/>
  <c r="A208" i="3"/>
  <c r="B208" i="3" s="1"/>
  <c r="L207" i="3"/>
  <c r="Z208" i="3" l="1"/>
  <c r="AC208" i="3"/>
  <c r="AA208" i="3"/>
  <c r="P208" i="3"/>
  <c r="Q208" i="3" s="1"/>
  <c r="R208" i="3" s="1"/>
  <c r="S208" i="3" s="1"/>
  <c r="AD208" i="3"/>
  <c r="U207" i="3"/>
  <c r="Y206" i="3"/>
  <c r="T208" i="3" l="1"/>
  <c r="AG208" i="3" s="1"/>
  <c r="AH208" i="3" l="1"/>
  <c r="D208" i="3"/>
  <c r="G208" i="3" s="1"/>
  <c r="E208" i="3"/>
  <c r="H208" i="3" s="1"/>
  <c r="K208" i="3" s="1"/>
  <c r="F208" i="3" l="1"/>
  <c r="I208" i="3"/>
  <c r="J208" i="3"/>
  <c r="M208" i="3"/>
  <c r="N208" i="3" s="1"/>
  <c r="V208" i="3"/>
  <c r="A209" i="3"/>
  <c r="B209" i="3" s="1"/>
  <c r="AE208" i="3"/>
  <c r="W208" i="3" l="1"/>
  <c r="L208" i="3"/>
  <c r="P209" i="3"/>
  <c r="Q209" i="3" s="1"/>
  <c r="R209" i="3" s="1"/>
  <c r="S209" i="3" s="1"/>
  <c r="AC209" i="3"/>
  <c r="AD209" i="3"/>
  <c r="AA209" i="3"/>
  <c r="Z209" i="3"/>
  <c r="U208" i="3" l="1"/>
  <c r="Y207" i="3"/>
  <c r="T209" i="3"/>
  <c r="AH209" i="3" s="1"/>
  <c r="AG209" i="3" l="1"/>
  <c r="D209" i="3"/>
  <c r="G209" i="3" s="1"/>
  <c r="E209" i="3"/>
  <c r="H209" i="3" s="1"/>
  <c r="F209" i="3" l="1"/>
  <c r="K209" i="3"/>
  <c r="I209" i="3"/>
  <c r="J209" i="3"/>
  <c r="M209" i="3"/>
  <c r="N209" i="3" s="1"/>
  <c r="L209" i="3" l="1"/>
  <c r="V209" i="3"/>
  <c r="W209" i="3" s="1"/>
  <c r="A210" i="3"/>
  <c r="B210" i="3" s="1"/>
  <c r="AE209" i="3"/>
  <c r="AC210" i="3" l="1"/>
  <c r="Z210" i="3"/>
  <c r="P210" i="3"/>
  <c r="Q210" i="3" s="1"/>
  <c r="R210" i="3" s="1"/>
  <c r="S210" i="3" s="1"/>
  <c r="AA210" i="3"/>
  <c r="AD210" i="3"/>
  <c r="U209" i="3"/>
  <c r="Y208" i="3"/>
  <c r="T210" i="3" l="1"/>
  <c r="AG210" i="3" s="1"/>
  <c r="AH210" i="3" l="1"/>
  <c r="D210" i="3"/>
  <c r="E210" i="3"/>
  <c r="H210" i="3" s="1"/>
  <c r="F210" i="3" l="1"/>
  <c r="G210" i="3"/>
  <c r="K210" i="3"/>
  <c r="V210" i="3" l="1"/>
  <c r="AE210" i="3"/>
  <c r="A211" i="3"/>
  <c r="B211" i="3" s="1"/>
  <c r="I210" i="3"/>
  <c r="J210" i="3"/>
  <c r="M210" i="3"/>
  <c r="N210" i="3" s="1"/>
  <c r="W210" i="3" l="1"/>
  <c r="AC211" i="3"/>
  <c r="Z211" i="3"/>
  <c r="P211" i="3"/>
  <c r="Q211" i="3" s="1"/>
  <c r="R211" i="3" s="1"/>
  <c r="S211" i="3" s="1"/>
  <c r="AA211" i="3"/>
  <c r="AD211" i="3"/>
  <c r="L210" i="3"/>
  <c r="T211" i="3" l="1"/>
  <c r="AG211" i="3" s="1"/>
  <c r="U210" i="3"/>
  <c r="Y209" i="3"/>
  <c r="E211" i="3" l="1"/>
  <c r="H211" i="3" s="1"/>
  <c r="D211" i="3"/>
  <c r="AH211" i="3"/>
  <c r="K211" i="3" l="1"/>
  <c r="F211" i="3"/>
  <c r="G211" i="3"/>
  <c r="I211" i="3" l="1"/>
  <c r="J211" i="3"/>
  <c r="M211" i="3"/>
  <c r="N211" i="3" s="1"/>
  <c r="V211" i="3"/>
  <c r="AE211" i="3"/>
  <c r="A212" i="3"/>
  <c r="B212" i="3" s="1"/>
  <c r="W211" i="3" l="1"/>
  <c r="AA212" i="3"/>
  <c r="Z212" i="3"/>
  <c r="P212" i="3"/>
  <c r="Q212" i="3" s="1"/>
  <c r="R212" i="3" s="1"/>
  <c r="S212" i="3" s="1"/>
  <c r="AC212" i="3"/>
  <c r="AD212" i="3"/>
  <c r="L211" i="3"/>
  <c r="U211" i="3" l="1"/>
  <c r="Y210" i="3"/>
  <c r="T212" i="3"/>
  <c r="E212" i="3" l="1"/>
  <c r="H212" i="3" s="1"/>
  <c r="K212" i="3" s="1"/>
  <c r="AH212" i="3"/>
  <c r="AG212" i="3"/>
  <c r="D212" i="3"/>
  <c r="F212" i="3" l="1"/>
  <c r="G212" i="3"/>
  <c r="V212" i="3"/>
  <c r="A213" i="3"/>
  <c r="B213" i="3" s="1"/>
  <c r="AE212" i="3"/>
  <c r="AD213" i="3" l="1"/>
  <c r="AC213" i="3"/>
  <c r="P213" i="3"/>
  <c r="Q213" i="3" s="1"/>
  <c r="R213" i="3" s="1"/>
  <c r="S213" i="3" s="1"/>
  <c r="AA213" i="3"/>
  <c r="Z213" i="3"/>
  <c r="I212" i="3"/>
  <c r="W212" i="3" s="1"/>
  <c r="J212" i="3"/>
  <c r="M212" i="3"/>
  <c r="N212" i="3" s="1"/>
  <c r="T213" i="3" l="1"/>
  <c r="L212" i="3"/>
  <c r="U212" i="3" l="1"/>
  <c r="E213" i="3" s="1"/>
  <c r="H213" i="3" s="1"/>
  <c r="AH213" i="3"/>
  <c r="AG213" i="3"/>
  <c r="Y211" i="3"/>
  <c r="D213" i="3" l="1"/>
  <c r="G213" i="3" s="1"/>
  <c r="K213" i="3"/>
  <c r="F213" i="3" l="1"/>
  <c r="I213" i="3"/>
  <c r="J213" i="3"/>
  <c r="M213" i="3"/>
  <c r="N213" i="3" s="1"/>
  <c r="V213" i="3"/>
  <c r="A214" i="3"/>
  <c r="B214" i="3" s="1"/>
  <c r="AE213" i="3"/>
  <c r="W213" i="3" l="1"/>
  <c r="L213" i="3"/>
  <c r="P214" i="3"/>
  <c r="Q214" i="3" s="1"/>
  <c r="R214" i="3" s="1"/>
  <c r="S214" i="3" s="1"/>
  <c r="AC214" i="3"/>
  <c r="AA214" i="3"/>
  <c r="Z214" i="3"/>
  <c r="U213" i="3" l="1"/>
  <c r="Y212" i="3"/>
  <c r="T214" i="3"/>
  <c r="D214" i="3" l="1"/>
  <c r="G214" i="3" s="1"/>
  <c r="E214" i="3"/>
  <c r="H214" i="3" s="1"/>
  <c r="AG214" i="3"/>
  <c r="AH214" i="3"/>
  <c r="F214" i="3" l="1"/>
  <c r="I214" i="3"/>
  <c r="J214" i="3"/>
  <c r="M214" i="3"/>
  <c r="N214" i="3" s="1"/>
  <c r="K214" i="3"/>
  <c r="AE214" i="3" s="1"/>
  <c r="V214" i="3" l="1"/>
  <c r="W214" i="3" s="1"/>
  <c r="A215" i="3"/>
  <c r="B215" i="3" s="1"/>
  <c r="L214" i="3"/>
  <c r="AD214" i="3"/>
  <c r="U214" i="3" l="1"/>
  <c r="Y213" i="3"/>
  <c r="AC215" i="3"/>
  <c r="AD215" i="3"/>
  <c r="Z215" i="3"/>
  <c r="P215" i="3"/>
  <c r="Q215" i="3" s="1"/>
  <c r="R215" i="3" s="1"/>
  <c r="S215" i="3" s="1"/>
  <c r="AA215" i="3"/>
  <c r="T215" i="3" l="1"/>
  <c r="AH215" i="3" s="1"/>
  <c r="D215" i="3" l="1"/>
  <c r="G215" i="3" s="1"/>
  <c r="E215" i="3"/>
  <c r="H215" i="3" s="1"/>
  <c r="K215" i="3" s="1"/>
  <c r="AE215" i="3" s="1"/>
  <c r="AG215" i="3"/>
  <c r="F215" i="3" l="1"/>
  <c r="V215" i="3"/>
  <c r="A216" i="3"/>
  <c r="B216" i="3" s="1"/>
  <c r="I215" i="3"/>
  <c r="J215" i="3"/>
  <c r="M215" i="3"/>
  <c r="N215" i="3" s="1"/>
  <c r="W215" i="3" l="1"/>
  <c r="L215" i="3"/>
  <c r="P216" i="3"/>
  <c r="Q216" i="3" s="1"/>
  <c r="R216" i="3" s="1"/>
  <c r="S216" i="3" s="1"/>
  <c r="Z216" i="3"/>
  <c r="AC216" i="3"/>
  <c r="AD216" i="3"/>
  <c r="AA216" i="3"/>
  <c r="U215" i="3" l="1"/>
  <c r="Y214" i="3"/>
  <c r="T216" i="3"/>
  <c r="AH216" i="3" s="1"/>
  <c r="D216" i="3" l="1"/>
  <c r="G216" i="3" s="1"/>
  <c r="AG216" i="3"/>
  <c r="E216" i="3"/>
  <c r="H216" i="3" s="1"/>
  <c r="K216" i="3" l="1"/>
  <c r="AE216" i="3" s="1"/>
  <c r="I216" i="3"/>
  <c r="J216" i="3"/>
  <c r="M216" i="3"/>
  <c r="N216" i="3" s="1"/>
  <c r="F216" i="3"/>
  <c r="V216" i="3" l="1"/>
  <c r="W216" i="3" s="1"/>
  <c r="A217" i="3"/>
  <c r="B217" i="3" s="1"/>
  <c r="L216" i="3"/>
  <c r="U216" i="3" l="1"/>
  <c r="Y215" i="3"/>
  <c r="P217" i="3"/>
  <c r="Q217" i="3" s="1"/>
  <c r="R217" i="3" s="1"/>
  <c r="S217" i="3" s="1"/>
  <c r="AC217" i="3"/>
  <c r="AA217" i="3"/>
  <c r="Z217" i="3"/>
  <c r="AD217" i="3"/>
  <c r="T217" i="3" l="1"/>
  <c r="D217" i="3" s="1"/>
  <c r="G217" i="3" l="1"/>
  <c r="AG217" i="3"/>
  <c r="AH217" i="3"/>
  <c r="E217" i="3"/>
  <c r="H217" i="3" s="1"/>
  <c r="I217" i="3" l="1"/>
  <c r="J217" i="3"/>
  <c r="M217" i="3"/>
  <c r="N217" i="3" s="1"/>
  <c r="K217" i="3"/>
  <c r="AE217" i="3" s="1"/>
  <c r="F217" i="3"/>
  <c r="V217" i="3" l="1"/>
  <c r="W217" i="3" s="1"/>
  <c r="A218" i="3"/>
  <c r="B218" i="3" s="1"/>
  <c r="L217" i="3"/>
  <c r="U217" i="3" l="1"/>
  <c r="Y216" i="3"/>
  <c r="AC218" i="3"/>
  <c r="AA218" i="3"/>
  <c r="Z218" i="3"/>
  <c r="P218" i="3"/>
  <c r="Q218" i="3" s="1"/>
  <c r="R218" i="3" s="1"/>
  <c r="S218" i="3" s="1"/>
  <c r="AD218" i="3"/>
  <c r="T218" i="3" l="1"/>
  <c r="AG218" i="3" s="1"/>
  <c r="AH218" i="3" l="1"/>
  <c r="E218" i="3"/>
  <c r="H218" i="3" s="1"/>
  <c r="K218" i="3" s="1"/>
  <c r="AE218" i="3" s="1"/>
  <c r="D218" i="3"/>
  <c r="G218" i="3" s="1"/>
  <c r="F218" i="3" l="1"/>
  <c r="I218" i="3"/>
  <c r="J218" i="3"/>
  <c r="M218" i="3"/>
  <c r="N218" i="3" s="1"/>
  <c r="V218" i="3"/>
  <c r="A219" i="3"/>
  <c r="B219" i="3" s="1"/>
  <c r="W218" i="3" l="1"/>
  <c r="L218" i="3"/>
  <c r="P219" i="3"/>
  <c r="Q219" i="3" s="1"/>
  <c r="R219" i="3" s="1"/>
  <c r="S219" i="3" s="1"/>
  <c r="AD219" i="3"/>
  <c r="AC219" i="3"/>
  <c r="AA219" i="3"/>
  <c r="Z219" i="3"/>
  <c r="U218" i="3" l="1"/>
  <c r="Y217" i="3"/>
  <c r="T219" i="3"/>
  <c r="AG219" i="3" s="1"/>
  <c r="D219" i="3" l="1"/>
  <c r="E219" i="3"/>
  <c r="H219" i="3" s="1"/>
  <c r="AH219" i="3"/>
  <c r="F219" i="3" l="1"/>
  <c r="G219" i="3"/>
  <c r="K219" i="3"/>
  <c r="AE219" i="3" s="1"/>
  <c r="I219" i="3" l="1"/>
  <c r="J219" i="3"/>
  <c r="M219" i="3"/>
  <c r="N219" i="3" s="1"/>
  <c r="V219" i="3"/>
  <c r="A220" i="3"/>
  <c r="B220" i="3" s="1"/>
  <c r="W219" i="3" l="1"/>
  <c r="L219" i="3"/>
  <c r="AC220" i="3"/>
  <c r="AD220" i="3"/>
  <c r="Z220" i="3"/>
  <c r="P220" i="3"/>
  <c r="Q220" i="3" s="1"/>
  <c r="R220" i="3" s="1"/>
  <c r="S220" i="3" s="1"/>
  <c r="AA220" i="3"/>
  <c r="U219" i="3" l="1"/>
  <c r="Y218" i="3"/>
  <c r="T220" i="3"/>
  <c r="E220" i="3" l="1"/>
  <c r="H220" i="3" s="1"/>
  <c r="K220" i="3" s="1"/>
  <c r="AE220" i="3" s="1"/>
  <c r="D220" i="3"/>
  <c r="G220" i="3" s="1"/>
  <c r="AG220" i="3"/>
  <c r="AH220" i="3"/>
  <c r="F220" i="3" l="1"/>
  <c r="I220" i="3"/>
  <c r="J220" i="3"/>
  <c r="M220" i="3"/>
  <c r="N220" i="3" s="1"/>
  <c r="V220" i="3"/>
  <c r="A221" i="3"/>
  <c r="B221" i="3" s="1"/>
  <c r="W220" i="3" l="1"/>
  <c r="L220" i="3"/>
  <c r="AA221" i="3"/>
  <c r="AC221" i="3"/>
  <c r="AD221" i="3"/>
  <c r="P221" i="3"/>
  <c r="Q221" i="3" s="1"/>
  <c r="R221" i="3" s="1"/>
  <c r="S221" i="3" s="1"/>
  <c r="Z221" i="3"/>
  <c r="T221" i="3" l="1"/>
  <c r="U220" i="3"/>
  <c r="Y219" i="3"/>
  <c r="D221" i="3" l="1"/>
  <c r="G221" i="3" s="1"/>
  <c r="AH221" i="3"/>
  <c r="AG221" i="3"/>
  <c r="E221" i="3"/>
  <c r="H221" i="3" s="1"/>
  <c r="K221" i="3" l="1"/>
  <c r="AE221" i="3" s="1"/>
  <c r="I221" i="3"/>
  <c r="J221" i="3"/>
  <c r="M221" i="3"/>
  <c r="N221" i="3" s="1"/>
  <c r="F221" i="3"/>
  <c r="L221" i="3" l="1"/>
  <c r="V221" i="3"/>
  <c r="W221" i="3" s="1"/>
  <c r="A222" i="3"/>
  <c r="B222" i="3" s="1"/>
  <c r="P222" i="3" l="1"/>
  <c r="Q222" i="3" s="1"/>
  <c r="R222" i="3" s="1"/>
  <c r="S222" i="3" s="1"/>
  <c r="AC222" i="3"/>
  <c r="Z222" i="3"/>
  <c r="AA222" i="3"/>
  <c r="AD222" i="3"/>
  <c r="U221" i="3"/>
  <c r="Y220" i="3"/>
  <c r="T222" i="3" l="1"/>
  <c r="AH222" i="3" s="1"/>
  <c r="E222" i="3" l="1"/>
  <c r="H222" i="3" s="1"/>
  <c r="AG222" i="3"/>
  <c r="D222" i="3"/>
  <c r="F222" i="3" l="1"/>
  <c r="G222" i="3"/>
  <c r="K222" i="3"/>
  <c r="AE222" i="3" s="1"/>
  <c r="I222" i="3" l="1"/>
  <c r="J222" i="3"/>
  <c r="M222" i="3"/>
  <c r="N222" i="3" s="1"/>
  <c r="V222" i="3"/>
  <c r="A223" i="3"/>
  <c r="B223" i="3" s="1"/>
  <c r="W222" i="3" l="1"/>
  <c r="L222" i="3"/>
  <c r="P223" i="3"/>
  <c r="Q223" i="3" s="1"/>
  <c r="R223" i="3" s="1"/>
  <c r="S223" i="3" s="1"/>
  <c r="Z223" i="3"/>
  <c r="AC223" i="3"/>
  <c r="AD223" i="3"/>
  <c r="AA223" i="3"/>
  <c r="U222" i="3" l="1"/>
  <c r="Y221" i="3"/>
  <c r="T223" i="3"/>
  <c r="D223" i="3" l="1"/>
  <c r="G223" i="3" s="1"/>
  <c r="AG223" i="3"/>
  <c r="AH223" i="3"/>
  <c r="E223" i="3"/>
  <c r="H223" i="3" s="1"/>
  <c r="K223" i="3" s="1"/>
  <c r="AE223" i="3" s="1"/>
  <c r="F223" i="3" l="1"/>
  <c r="I223" i="3"/>
  <c r="J223" i="3"/>
  <c r="M223" i="3"/>
  <c r="N223" i="3" s="1"/>
  <c r="V223" i="3"/>
  <c r="A224" i="3"/>
  <c r="B224" i="3" s="1"/>
  <c r="W223" i="3" l="1"/>
  <c r="L223" i="3"/>
  <c r="Z224" i="3"/>
  <c r="P224" i="3"/>
  <c r="Q224" i="3" s="1"/>
  <c r="R224" i="3" s="1"/>
  <c r="S224" i="3" s="1"/>
  <c r="AC224" i="3"/>
  <c r="AA224" i="3"/>
  <c r="U223" i="3" l="1"/>
  <c r="Y222" i="3"/>
  <c r="T224" i="3"/>
  <c r="D224" i="3" l="1"/>
  <c r="G224" i="3" s="1"/>
  <c r="AG224" i="3"/>
  <c r="AH224" i="3"/>
  <c r="E224" i="3"/>
  <c r="H224" i="3" s="1"/>
  <c r="K224" i="3" s="1"/>
  <c r="AE224" i="3" s="1"/>
  <c r="F224" i="3" l="1"/>
  <c r="I224" i="3"/>
  <c r="J224" i="3"/>
  <c r="M224" i="3"/>
  <c r="N224" i="3" s="1"/>
  <c r="V224" i="3"/>
  <c r="A225" i="3"/>
  <c r="B225" i="3" s="1"/>
  <c r="W224" i="3" l="1"/>
  <c r="L224" i="3"/>
  <c r="AD224" i="3"/>
  <c r="AC225" i="3"/>
  <c r="P225" i="3"/>
  <c r="Q225" i="3" s="1"/>
  <c r="R225" i="3" s="1"/>
  <c r="S225" i="3" s="1"/>
  <c r="AA225" i="3"/>
  <c r="AD225" i="3"/>
  <c r="Z225" i="3"/>
  <c r="U224" i="3" l="1"/>
  <c r="Y223" i="3"/>
  <c r="T225" i="3"/>
  <c r="AG225" i="3" s="1"/>
  <c r="AH225" i="3" l="1"/>
  <c r="E225" i="3"/>
  <c r="H225" i="3" s="1"/>
  <c r="D225" i="3"/>
  <c r="K225" i="3" l="1"/>
  <c r="AE225" i="3" s="1"/>
  <c r="F225" i="3"/>
  <c r="G225" i="3"/>
  <c r="I225" i="3" l="1"/>
  <c r="J225" i="3"/>
  <c r="M225" i="3"/>
  <c r="N225" i="3" s="1"/>
  <c r="V225" i="3"/>
  <c r="A226" i="3"/>
  <c r="B226" i="3" s="1"/>
  <c r="W225" i="3" l="1"/>
  <c r="L225" i="3"/>
  <c r="AD226" i="3"/>
  <c r="Z226" i="3"/>
  <c r="AA226" i="3"/>
  <c r="P226" i="3"/>
  <c r="Q226" i="3" s="1"/>
  <c r="R226" i="3" s="1"/>
  <c r="S226" i="3" s="1"/>
  <c r="AC226" i="3"/>
  <c r="U225" i="3" l="1"/>
  <c r="Y224" i="3"/>
  <c r="T226" i="3"/>
  <c r="D226" i="3" l="1"/>
  <c r="G226" i="3" s="1"/>
  <c r="AH226" i="3"/>
  <c r="AG226" i="3"/>
  <c r="E226" i="3"/>
  <c r="H226" i="3" s="1"/>
  <c r="F226" i="3" l="1"/>
  <c r="I226" i="3"/>
  <c r="J226" i="3"/>
  <c r="M226" i="3"/>
  <c r="N226" i="3" s="1"/>
  <c r="K226" i="3"/>
  <c r="AE226" i="3" s="1"/>
  <c r="V226" i="3" l="1"/>
  <c r="W226" i="3" s="1"/>
  <c r="A227" i="3"/>
  <c r="B227" i="3" s="1"/>
  <c r="L226" i="3"/>
  <c r="U226" i="3" l="1"/>
  <c r="Y225" i="3"/>
  <c r="P227" i="3"/>
  <c r="Q227" i="3" s="1"/>
  <c r="R227" i="3" s="1"/>
  <c r="S227" i="3" s="1"/>
  <c r="AA227" i="3"/>
  <c r="Z227" i="3"/>
  <c r="AD227" i="3"/>
  <c r="AC227" i="3"/>
  <c r="T227" i="3" l="1"/>
  <c r="D227" i="3" s="1"/>
  <c r="E227" i="3" l="1"/>
  <c r="H227" i="3" s="1"/>
  <c r="K227" i="3" s="1"/>
  <c r="AE227" i="3" s="1"/>
  <c r="AH227" i="3"/>
  <c r="AG227" i="3"/>
  <c r="G227" i="3"/>
  <c r="F227" i="3" l="1"/>
  <c r="V227" i="3"/>
  <c r="A228" i="3"/>
  <c r="B228" i="3" s="1"/>
  <c r="I227" i="3"/>
  <c r="J227" i="3"/>
  <c r="M227" i="3"/>
  <c r="N227" i="3" s="1"/>
  <c r="L227" i="3" l="1"/>
  <c r="W227" i="3"/>
  <c r="AD228" i="3"/>
  <c r="AA228" i="3"/>
  <c r="Z228" i="3"/>
  <c r="P228" i="3"/>
  <c r="Q228" i="3" s="1"/>
  <c r="R228" i="3" s="1"/>
  <c r="S228" i="3" s="1"/>
  <c r="AC228" i="3"/>
  <c r="T228" i="3" l="1"/>
  <c r="AG228" i="3" s="1"/>
  <c r="U227" i="3"/>
  <c r="Y226" i="3"/>
  <c r="AH228" i="3" l="1"/>
  <c r="E228" i="3"/>
  <c r="H228" i="3" s="1"/>
  <c r="D228" i="3"/>
  <c r="K228" i="3" l="1"/>
  <c r="AE228" i="3" s="1"/>
  <c r="F228" i="3"/>
  <c r="G228" i="3"/>
  <c r="V228" i="3" l="1"/>
  <c r="A229" i="3"/>
  <c r="B229" i="3" s="1"/>
  <c r="I228" i="3"/>
  <c r="J228" i="3"/>
  <c r="M228" i="3"/>
  <c r="N228" i="3" s="1"/>
  <c r="W228" i="3" l="1"/>
  <c r="L228" i="3"/>
  <c r="AA229" i="3"/>
  <c r="AD229" i="3"/>
  <c r="AC229" i="3"/>
  <c r="P229" i="3"/>
  <c r="Q229" i="3" s="1"/>
  <c r="R229" i="3" s="1"/>
  <c r="S229" i="3" s="1"/>
  <c r="Z229" i="3"/>
  <c r="U228" i="3" l="1"/>
  <c r="Y227" i="3"/>
  <c r="T229" i="3"/>
  <c r="AH229" i="3" s="1"/>
  <c r="D229" i="3" l="1"/>
  <c r="E229" i="3"/>
  <c r="H229" i="3" s="1"/>
  <c r="AG229" i="3"/>
  <c r="K229" i="3" l="1"/>
  <c r="AE229" i="3" s="1"/>
  <c r="F229" i="3"/>
  <c r="G229" i="3"/>
  <c r="V229" i="3" l="1"/>
  <c r="A230" i="3"/>
  <c r="B230" i="3" s="1"/>
  <c r="I229" i="3"/>
  <c r="J229" i="3"/>
  <c r="M229" i="3"/>
  <c r="N229" i="3" s="1"/>
  <c r="L229" i="3" l="1"/>
  <c r="W229" i="3"/>
  <c r="P230" i="3"/>
  <c r="Q230" i="3" s="1"/>
  <c r="R230" i="3" s="1"/>
  <c r="S230" i="3" s="1"/>
  <c r="AA230" i="3"/>
  <c r="AC230" i="3"/>
  <c r="AD230" i="3"/>
  <c r="Z230" i="3"/>
  <c r="U229" i="3" l="1"/>
  <c r="Y228" i="3"/>
  <c r="T230" i="3"/>
  <c r="AH230" i="3" s="1"/>
  <c r="AG230" i="3" l="1"/>
  <c r="D230" i="3"/>
  <c r="E230" i="3"/>
  <c r="H230" i="3" s="1"/>
  <c r="K230" i="3" l="1"/>
  <c r="AE230" i="3" s="1"/>
  <c r="F230" i="3"/>
  <c r="G230" i="3"/>
  <c r="I230" i="3" l="1"/>
  <c r="J230" i="3"/>
  <c r="M230" i="3"/>
  <c r="N230" i="3" s="1"/>
  <c r="V230" i="3"/>
  <c r="A231" i="3"/>
  <c r="B231" i="3" s="1"/>
  <c r="W230" i="3" l="1"/>
  <c r="L230" i="3"/>
  <c r="AD231" i="3"/>
  <c r="P231" i="3"/>
  <c r="Q231" i="3" s="1"/>
  <c r="R231" i="3" s="1"/>
  <c r="S231" i="3" s="1"/>
  <c r="AA231" i="3"/>
  <c r="Z231" i="3"/>
  <c r="AC231" i="3"/>
  <c r="T231" i="3" l="1"/>
  <c r="U230" i="3"/>
  <c r="Y229" i="3"/>
  <c r="D231" i="3" l="1"/>
  <c r="G231" i="3" s="1"/>
  <c r="E231" i="3"/>
  <c r="H231" i="3" s="1"/>
  <c r="K231" i="3" s="1"/>
  <c r="AE231" i="3" s="1"/>
  <c r="AG231" i="3"/>
  <c r="AH231" i="3"/>
  <c r="F231" i="3" l="1"/>
  <c r="V231" i="3"/>
  <c r="A232" i="3"/>
  <c r="B232" i="3" s="1"/>
  <c r="I231" i="3"/>
  <c r="J231" i="3"/>
  <c r="M231" i="3"/>
  <c r="N231" i="3" s="1"/>
  <c r="L231" i="3" l="1"/>
  <c r="W231" i="3"/>
  <c r="P232" i="3"/>
  <c r="Q232" i="3" s="1"/>
  <c r="R232" i="3" s="1"/>
  <c r="S232" i="3" s="1"/>
  <c r="AD232" i="3"/>
  <c r="Z232" i="3"/>
  <c r="AA232" i="3"/>
  <c r="AC232" i="3"/>
  <c r="U231" i="3" l="1"/>
  <c r="Y230" i="3"/>
  <c r="T232" i="3"/>
  <c r="D232" i="3" l="1"/>
  <c r="G232" i="3" s="1"/>
  <c r="AG232" i="3"/>
  <c r="E232" i="3"/>
  <c r="H232" i="3" s="1"/>
  <c r="AH232" i="3"/>
  <c r="F232" i="3" l="1"/>
  <c r="I232" i="3"/>
  <c r="J232" i="3"/>
  <c r="M232" i="3"/>
  <c r="N232" i="3" s="1"/>
  <c r="K232" i="3"/>
  <c r="AE232" i="3" s="1"/>
  <c r="V232" i="3" l="1"/>
  <c r="W232" i="3" s="1"/>
  <c r="A233" i="3"/>
  <c r="B233" i="3" s="1"/>
  <c r="L232" i="3"/>
  <c r="U232" i="3" l="1"/>
  <c r="Y231" i="3"/>
  <c r="AA233" i="3"/>
  <c r="AD233" i="3"/>
  <c r="AC233" i="3"/>
  <c r="P233" i="3"/>
  <c r="Q233" i="3" s="1"/>
  <c r="R233" i="3" s="1"/>
  <c r="S233" i="3" s="1"/>
  <c r="Z233" i="3"/>
  <c r="T233" i="3" l="1"/>
  <c r="D233" i="3" s="1"/>
  <c r="AG233" i="3" l="1"/>
  <c r="AH233" i="3"/>
  <c r="E233" i="3"/>
  <c r="H233" i="3" s="1"/>
  <c r="K233" i="3" s="1"/>
  <c r="AE233" i="3" s="1"/>
  <c r="G233" i="3"/>
  <c r="F233" i="3" l="1"/>
  <c r="I233" i="3"/>
  <c r="J233" i="3"/>
  <c r="M233" i="3"/>
  <c r="N233" i="3" s="1"/>
  <c r="V233" i="3"/>
  <c r="A234" i="3"/>
  <c r="B234" i="3" s="1"/>
  <c r="W233" i="3" l="1"/>
  <c r="L233" i="3"/>
  <c r="Z234" i="3"/>
  <c r="P234" i="3"/>
  <c r="Q234" i="3" s="1"/>
  <c r="R234" i="3" s="1"/>
  <c r="S234" i="3" s="1"/>
  <c r="AC234" i="3"/>
  <c r="AA234" i="3"/>
  <c r="U233" i="3" l="1"/>
  <c r="Y232" i="3"/>
  <c r="T234" i="3"/>
  <c r="E234" i="3" l="1"/>
  <c r="H234" i="3" s="1"/>
  <c r="K234" i="3" s="1"/>
  <c r="AE234" i="3" s="1"/>
  <c r="AG234" i="3"/>
  <c r="AH234" i="3"/>
  <c r="D234" i="3"/>
  <c r="G234" i="3" s="1"/>
  <c r="F234" i="3" l="1"/>
  <c r="I234" i="3"/>
  <c r="J234" i="3"/>
  <c r="M234" i="3"/>
  <c r="N234" i="3" s="1"/>
  <c r="V234" i="3"/>
  <c r="A235" i="3"/>
  <c r="B235" i="3" s="1"/>
  <c r="L234" i="3" l="1"/>
  <c r="AD234" i="3"/>
  <c r="W234" i="3"/>
  <c r="AC235" i="3"/>
  <c r="AA235" i="3"/>
  <c r="Z235" i="3"/>
  <c r="P235" i="3"/>
  <c r="Q235" i="3" s="1"/>
  <c r="R235" i="3" s="1"/>
  <c r="S235" i="3" s="1"/>
  <c r="AD235" i="3"/>
  <c r="U234" i="3" l="1"/>
  <c r="Y233" i="3"/>
  <c r="T235" i="3"/>
  <c r="E235" i="3" l="1"/>
  <c r="H235" i="3" s="1"/>
  <c r="K235" i="3" s="1"/>
  <c r="AE235" i="3" s="1"/>
  <c r="AG235" i="3"/>
  <c r="D235" i="3"/>
  <c r="AH235" i="3"/>
  <c r="F235" i="3" l="1"/>
  <c r="G235" i="3"/>
  <c r="V235" i="3"/>
  <c r="A236" i="3"/>
  <c r="B236" i="3" s="1"/>
  <c r="AD236" i="3" l="1"/>
  <c r="P236" i="3"/>
  <c r="Q236" i="3" s="1"/>
  <c r="R236" i="3" s="1"/>
  <c r="S236" i="3" s="1"/>
  <c r="AA236" i="3"/>
  <c r="Z236" i="3"/>
  <c r="AC236" i="3"/>
  <c r="I235" i="3"/>
  <c r="W235" i="3" s="1"/>
  <c r="J235" i="3"/>
  <c r="M235" i="3"/>
  <c r="N235" i="3" s="1"/>
  <c r="T236" i="3" l="1"/>
  <c r="L235" i="3"/>
  <c r="U235" i="3" l="1"/>
  <c r="D236" i="3" s="1"/>
  <c r="AH236" i="3"/>
  <c r="AG236" i="3"/>
  <c r="Y234" i="3"/>
  <c r="E236" i="3" l="1"/>
  <c r="H236" i="3" s="1"/>
  <c r="K236" i="3" s="1"/>
  <c r="AE236" i="3" s="1"/>
  <c r="G236" i="3"/>
  <c r="F236" i="3" l="1"/>
  <c r="I236" i="3"/>
  <c r="J236" i="3"/>
  <c r="M236" i="3"/>
  <c r="N236" i="3" s="1"/>
  <c r="V236" i="3"/>
  <c r="A237" i="3"/>
  <c r="B237" i="3" s="1"/>
  <c r="W236" i="3" l="1"/>
  <c r="L236" i="3"/>
  <c r="P237" i="3"/>
  <c r="Q237" i="3" s="1"/>
  <c r="R237" i="3" s="1"/>
  <c r="S237" i="3" s="1"/>
  <c r="AA237" i="3"/>
  <c r="Z237" i="3"/>
  <c r="AD237" i="3"/>
  <c r="AC237" i="3"/>
  <c r="U236" i="3" l="1"/>
  <c r="Y235" i="3"/>
  <c r="T237" i="3"/>
  <c r="AH237" i="3" s="1"/>
  <c r="E237" i="3" l="1"/>
  <c r="H237" i="3" s="1"/>
  <c r="K237" i="3" s="1"/>
  <c r="AE237" i="3" s="1"/>
  <c r="AG237" i="3"/>
  <c r="D237" i="3"/>
  <c r="F237" i="3" l="1"/>
  <c r="G237" i="3"/>
  <c r="M237" i="3" s="1"/>
  <c r="N237" i="3" s="1"/>
  <c r="V237" i="3"/>
  <c r="A238" i="3"/>
  <c r="B238" i="3" s="1"/>
  <c r="I237" i="3" l="1"/>
  <c r="W237" i="3" s="1"/>
  <c r="J237" i="3"/>
  <c r="L237" i="3" s="1"/>
  <c r="P238" i="3"/>
  <c r="Q238" i="3" s="1"/>
  <c r="R238" i="3" s="1"/>
  <c r="S238" i="3" s="1"/>
  <c r="Z238" i="3"/>
  <c r="AC238" i="3"/>
  <c r="AA238" i="3"/>
  <c r="AD238" i="3"/>
  <c r="T238" i="3" l="1"/>
  <c r="AG238" i="3" s="1"/>
  <c r="U237" i="3"/>
  <c r="Y236" i="3"/>
  <c r="AH238" i="3" l="1"/>
  <c r="E238" i="3"/>
  <c r="H238" i="3" s="1"/>
  <c r="K238" i="3" s="1"/>
  <c r="AE238" i="3" s="1"/>
  <c r="D238" i="3"/>
  <c r="F238" i="3" l="1"/>
  <c r="G238" i="3"/>
  <c r="M238" i="3" s="1"/>
  <c r="N238" i="3" s="1"/>
  <c r="V238" i="3"/>
  <c r="A239" i="3"/>
  <c r="B239" i="3" s="1"/>
  <c r="I238" i="3" l="1"/>
  <c r="W238" i="3" s="1"/>
  <c r="J238" i="3"/>
  <c r="L238" i="3" s="1"/>
  <c r="AD239" i="3"/>
  <c r="P239" i="3"/>
  <c r="Q239" i="3" s="1"/>
  <c r="R239" i="3" s="1"/>
  <c r="S239" i="3" s="1"/>
  <c r="AC239" i="3"/>
  <c r="Z239" i="3"/>
  <c r="AA239" i="3"/>
  <c r="T239" i="3" l="1"/>
  <c r="U238" i="3"/>
  <c r="Y237" i="3"/>
  <c r="D239" i="3" l="1"/>
  <c r="G239" i="3" s="1"/>
  <c r="E239" i="3"/>
  <c r="H239" i="3" s="1"/>
  <c r="K239" i="3" s="1"/>
  <c r="AE239" i="3" s="1"/>
  <c r="AG239" i="3"/>
  <c r="AH239" i="3"/>
  <c r="F239" i="3" l="1"/>
  <c r="I239" i="3"/>
  <c r="J239" i="3"/>
  <c r="M239" i="3"/>
  <c r="N239" i="3" s="1"/>
  <c r="V239" i="3"/>
  <c r="A240" i="3"/>
  <c r="B240" i="3" s="1"/>
  <c r="W239" i="3" l="1"/>
  <c r="L239" i="3"/>
  <c r="Z240" i="3"/>
  <c r="P240" i="3"/>
  <c r="Q240" i="3" s="1"/>
  <c r="R240" i="3" s="1"/>
  <c r="S240" i="3" s="1"/>
  <c r="AD240" i="3"/>
  <c r="AA240" i="3"/>
  <c r="AC240" i="3"/>
  <c r="U239" i="3" l="1"/>
  <c r="Y238" i="3"/>
  <c r="T240" i="3"/>
  <c r="E240" i="3" l="1"/>
  <c r="H240" i="3" s="1"/>
  <c r="K240" i="3" s="1"/>
  <c r="AE240" i="3" s="1"/>
  <c r="D240" i="3"/>
  <c r="AG240" i="3"/>
  <c r="AH240" i="3"/>
  <c r="V240" i="3" l="1"/>
  <c r="A241" i="3"/>
  <c r="B241" i="3" s="1"/>
  <c r="F240" i="3"/>
  <c r="G240" i="3"/>
  <c r="I240" i="3" l="1"/>
  <c r="W240" i="3" s="1"/>
  <c r="J240" i="3"/>
  <c r="M240" i="3"/>
  <c r="N240" i="3" s="1"/>
  <c r="Z241" i="3"/>
  <c r="AD241" i="3"/>
  <c r="AC241" i="3"/>
  <c r="P241" i="3"/>
  <c r="Q241" i="3" s="1"/>
  <c r="R241" i="3" s="1"/>
  <c r="S241" i="3" s="1"/>
  <c r="AA241" i="3"/>
  <c r="T241" i="3" l="1"/>
  <c r="L240" i="3"/>
  <c r="AG241" i="3" l="1"/>
  <c r="AH241" i="3"/>
  <c r="U240" i="3"/>
  <c r="D241" i="3" s="1"/>
  <c r="Y239" i="3"/>
  <c r="G241" i="3" l="1"/>
  <c r="E241" i="3"/>
  <c r="H241" i="3" s="1"/>
  <c r="F241" i="3" l="1"/>
  <c r="I241" i="3"/>
  <c r="J241" i="3"/>
  <c r="M241" i="3"/>
  <c r="N241" i="3" s="1"/>
  <c r="K241" i="3"/>
  <c r="AE241" i="3" s="1"/>
  <c r="V241" i="3" l="1"/>
  <c r="W241" i="3" s="1"/>
  <c r="A242" i="3"/>
  <c r="B242" i="3" s="1"/>
  <c r="L241" i="3"/>
  <c r="U241" i="3" l="1"/>
  <c r="Y240" i="3"/>
  <c r="Z242" i="3"/>
  <c r="AA242" i="3"/>
  <c r="P242" i="3"/>
  <c r="Q242" i="3" s="1"/>
  <c r="R242" i="3" s="1"/>
  <c r="S242" i="3" s="1"/>
  <c r="AD242" i="3"/>
  <c r="AC242" i="3"/>
  <c r="T242" i="3" l="1"/>
  <c r="D242" i="3" s="1"/>
  <c r="E242" i="3" l="1"/>
  <c r="H242" i="3" s="1"/>
  <c r="K242" i="3" s="1"/>
  <c r="AE242" i="3" s="1"/>
  <c r="G242" i="3"/>
  <c r="AH242" i="3"/>
  <c r="AG242" i="3"/>
  <c r="F242" i="3" l="1"/>
  <c r="I242" i="3"/>
  <c r="J242" i="3"/>
  <c r="M242" i="3"/>
  <c r="N242" i="3" s="1"/>
  <c r="V242" i="3"/>
  <c r="A243" i="3"/>
  <c r="B243" i="3" s="1"/>
  <c r="W242" i="3" l="1"/>
  <c r="L242" i="3"/>
  <c r="AA243" i="3"/>
  <c r="AC243" i="3"/>
  <c r="Z243" i="3"/>
  <c r="P243" i="3"/>
  <c r="Q243" i="3" s="1"/>
  <c r="R243" i="3" s="1"/>
  <c r="S243" i="3" s="1"/>
  <c r="AD243" i="3"/>
  <c r="U242" i="3" l="1"/>
  <c r="Y241" i="3"/>
  <c r="T243" i="3"/>
  <c r="AH243" i="3" s="1"/>
  <c r="D243" i="3" l="1"/>
  <c r="G243" i="3" s="1"/>
  <c r="E243" i="3"/>
  <c r="H243" i="3" s="1"/>
  <c r="K243" i="3" s="1"/>
  <c r="AE243" i="3" s="1"/>
  <c r="AG243" i="3"/>
  <c r="F243" i="3" l="1"/>
  <c r="I243" i="3"/>
  <c r="J243" i="3"/>
  <c r="M243" i="3"/>
  <c r="N243" i="3" s="1"/>
  <c r="V243" i="3"/>
  <c r="A244" i="3"/>
  <c r="B244" i="3" s="1"/>
  <c r="W243" i="3" l="1"/>
  <c r="L243" i="3"/>
  <c r="AA244" i="3"/>
  <c r="P244" i="3"/>
  <c r="Q244" i="3" s="1"/>
  <c r="R244" i="3" s="1"/>
  <c r="S244" i="3" s="1"/>
  <c r="Z244" i="3"/>
  <c r="AC244" i="3"/>
  <c r="U243" i="3" l="1"/>
  <c r="Y242" i="3"/>
  <c r="T244" i="3"/>
  <c r="D244" i="3" l="1"/>
  <c r="G244" i="3" s="1"/>
  <c r="E244" i="3"/>
  <c r="H244" i="3" s="1"/>
  <c r="AG244" i="3"/>
  <c r="AH244" i="3"/>
  <c r="I244" i="3" l="1"/>
  <c r="J244" i="3"/>
  <c r="M244" i="3"/>
  <c r="N244" i="3" s="1"/>
  <c r="F244" i="3"/>
  <c r="K244" i="3"/>
  <c r="AE244" i="3" s="1"/>
  <c r="L244" i="3" l="1"/>
  <c r="AD244" i="3"/>
  <c r="V244" i="3"/>
  <c r="W244" i="3" s="1"/>
  <c r="A245" i="3"/>
  <c r="B245" i="3" s="1"/>
  <c r="U244" i="3" l="1"/>
  <c r="Y243" i="3"/>
  <c r="Z245" i="3"/>
  <c r="AD245" i="3"/>
  <c r="AA245" i="3"/>
  <c r="P245" i="3"/>
  <c r="Q245" i="3" s="1"/>
  <c r="R245" i="3" s="1"/>
  <c r="S245" i="3" s="1"/>
  <c r="AC245" i="3"/>
  <c r="T245" i="3" l="1"/>
  <c r="AG245" i="3" s="1"/>
  <c r="D245" i="3" l="1"/>
  <c r="G245" i="3" s="1"/>
  <c r="AH245" i="3"/>
  <c r="E245" i="3"/>
  <c r="H245" i="3" s="1"/>
  <c r="F245" i="3" l="1"/>
  <c r="I245" i="3"/>
  <c r="J245" i="3"/>
  <c r="M245" i="3"/>
  <c r="N245" i="3" s="1"/>
  <c r="K245" i="3"/>
  <c r="AE245" i="3" s="1"/>
  <c r="V245" i="3" l="1"/>
  <c r="W245" i="3" s="1"/>
  <c r="A246" i="3"/>
  <c r="B246" i="3" s="1"/>
  <c r="L245" i="3"/>
  <c r="U245" i="3" l="1"/>
  <c r="Y244" i="3"/>
  <c r="P246" i="3"/>
  <c r="Q246" i="3" s="1"/>
  <c r="R246" i="3" s="1"/>
  <c r="S246" i="3" s="1"/>
  <c r="AC246" i="3"/>
  <c r="Z246" i="3"/>
  <c r="AD246" i="3"/>
  <c r="AA246" i="3"/>
  <c r="T246" i="3" l="1"/>
  <c r="D246" i="3" s="1"/>
  <c r="E246" i="3" l="1"/>
  <c r="H246" i="3" s="1"/>
  <c r="K246" i="3" s="1"/>
  <c r="AE246" i="3" s="1"/>
  <c r="AG246" i="3"/>
  <c r="AH246" i="3"/>
  <c r="G246" i="3"/>
  <c r="F246" i="3" l="1"/>
  <c r="I246" i="3"/>
  <c r="J246" i="3"/>
  <c r="M246" i="3"/>
  <c r="N246" i="3" s="1"/>
  <c r="V246" i="3"/>
  <c r="A247" i="3"/>
  <c r="B247" i="3" s="1"/>
  <c r="W246" i="3" l="1"/>
  <c r="L246" i="3"/>
  <c r="P247" i="3"/>
  <c r="Q247" i="3" s="1"/>
  <c r="R247" i="3" s="1"/>
  <c r="S247" i="3" s="1"/>
  <c r="AA247" i="3"/>
  <c r="AC247" i="3"/>
  <c r="Z247" i="3"/>
  <c r="AD247" i="3"/>
  <c r="U246" i="3" l="1"/>
  <c r="Y245" i="3"/>
  <c r="T247" i="3"/>
  <c r="AG247" i="3" s="1"/>
  <c r="AH247" i="3" l="1"/>
  <c r="D247" i="3"/>
  <c r="E247" i="3"/>
  <c r="H247" i="3" s="1"/>
  <c r="K247" i="3" s="1"/>
  <c r="AE247" i="3" s="1"/>
  <c r="F247" i="3" l="1"/>
  <c r="G247" i="3"/>
  <c r="M247" i="3" s="1"/>
  <c r="N247" i="3" s="1"/>
  <c r="V247" i="3"/>
  <c r="A248" i="3"/>
  <c r="B248" i="3" s="1"/>
  <c r="I247" i="3" l="1"/>
  <c r="W247" i="3" s="1"/>
  <c r="J247" i="3"/>
  <c r="L247" i="3" s="1"/>
  <c r="Z248" i="3"/>
  <c r="P248" i="3"/>
  <c r="Q248" i="3" s="1"/>
  <c r="R248" i="3" s="1"/>
  <c r="S248" i="3" s="1"/>
  <c r="AA248" i="3"/>
  <c r="AC248" i="3"/>
  <c r="AD248" i="3"/>
  <c r="U247" i="3" l="1"/>
  <c r="Y246" i="3"/>
  <c r="T248" i="3"/>
  <c r="AG248" i="3" s="1"/>
  <c r="E248" i="3" l="1"/>
  <c r="H248" i="3" s="1"/>
  <c r="K248" i="3" s="1"/>
  <c r="AE248" i="3" s="1"/>
  <c r="AH248" i="3"/>
  <c r="D248" i="3"/>
  <c r="G248" i="3" s="1"/>
  <c r="F248" i="3" l="1"/>
  <c r="I248" i="3"/>
  <c r="J248" i="3"/>
  <c r="M248" i="3"/>
  <c r="N248" i="3" s="1"/>
  <c r="V248" i="3"/>
  <c r="A249" i="3"/>
  <c r="B249" i="3" s="1"/>
  <c r="W248" i="3" l="1"/>
  <c r="L248" i="3"/>
  <c r="AC249" i="3"/>
  <c r="P249" i="3"/>
  <c r="Q249" i="3" s="1"/>
  <c r="R249" i="3" s="1"/>
  <c r="S249" i="3" s="1"/>
  <c r="Z249" i="3"/>
  <c r="AD249" i="3"/>
  <c r="AA249" i="3"/>
  <c r="U248" i="3" l="1"/>
  <c r="Y247" i="3"/>
  <c r="T249" i="3"/>
  <c r="AG249" i="3" s="1"/>
  <c r="D249" i="3" l="1"/>
  <c r="G249" i="3" s="1"/>
  <c r="AH249" i="3"/>
  <c r="E249" i="3"/>
  <c r="H249" i="3" s="1"/>
  <c r="K249" i="3" s="1"/>
  <c r="AE249" i="3" s="1"/>
  <c r="F249" i="3" l="1"/>
  <c r="I249" i="3"/>
  <c r="J249" i="3"/>
  <c r="M249" i="3"/>
  <c r="N249" i="3" s="1"/>
  <c r="V249" i="3"/>
  <c r="A250" i="3"/>
  <c r="B250" i="3" s="1"/>
  <c r="W249" i="3" l="1"/>
  <c r="L249" i="3"/>
  <c r="AC250" i="3"/>
  <c r="AA250" i="3"/>
  <c r="P250" i="3"/>
  <c r="Q250" i="3" s="1"/>
  <c r="R250" i="3" s="1"/>
  <c r="S250" i="3" s="1"/>
  <c r="AD250" i="3"/>
  <c r="Z250" i="3"/>
  <c r="T250" i="3" l="1"/>
  <c r="AG250" i="3" s="1"/>
  <c r="U249" i="3"/>
  <c r="Y248" i="3"/>
  <c r="D250" i="3" l="1"/>
  <c r="E250" i="3"/>
  <c r="H250" i="3" s="1"/>
  <c r="AH250" i="3"/>
  <c r="F250" i="3" l="1"/>
  <c r="G250" i="3"/>
  <c r="K250" i="3"/>
  <c r="AE250" i="3" s="1"/>
  <c r="V250" i="3" l="1"/>
  <c r="A251" i="3"/>
  <c r="B251" i="3" s="1"/>
  <c r="I250" i="3"/>
  <c r="J250" i="3"/>
  <c r="M250" i="3"/>
  <c r="N250" i="3" s="1"/>
  <c r="W250" i="3" l="1"/>
  <c r="L250" i="3"/>
  <c r="P251" i="3"/>
  <c r="Q251" i="3" s="1"/>
  <c r="R251" i="3" s="1"/>
  <c r="S251" i="3" s="1"/>
  <c r="AC251" i="3"/>
  <c r="AA251" i="3"/>
  <c r="Z251" i="3"/>
  <c r="AD251" i="3"/>
  <c r="U250" i="3" l="1"/>
  <c r="Y249" i="3"/>
  <c r="T251" i="3"/>
  <c r="D251" i="3" l="1"/>
  <c r="G251" i="3" s="1"/>
  <c r="AG251" i="3"/>
  <c r="AH251" i="3"/>
  <c r="E251" i="3"/>
  <c r="H251" i="3" s="1"/>
  <c r="I251" i="3" l="1"/>
  <c r="J251" i="3"/>
  <c r="M251" i="3"/>
  <c r="N251" i="3" s="1"/>
  <c r="K251" i="3"/>
  <c r="AE251" i="3" s="1"/>
  <c r="F251" i="3"/>
  <c r="V251" i="3" l="1"/>
  <c r="W251" i="3" s="1"/>
  <c r="A252" i="3"/>
  <c r="B252" i="3" s="1"/>
  <c r="L251" i="3"/>
  <c r="U251" i="3" l="1"/>
  <c r="Y250" i="3"/>
  <c r="AD252" i="3"/>
  <c r="Z252" i="3"/>
  <c r="AA252" i="3"/>
  <c r="P252" i="3"/>
  <c r="Q252" i="3" s="1"/>
  <c r="R252" i="3" s="1"/>
  <c r="S252" i="3" s="1"/>
  <c r="AC252" i="3"/>
  <c r="T252" i="3" l="1"/>
  <c r="AH252" i="3" s="1"/>
  <c r="E252" i="3" l="1"/>
  <c r="H252" i="3" s="1"/>
  <c r="K252" i="3" s="1"/>
  <c r="AE252" i="3" s="1"/>
  <c r="AG252" i="3"/>
  <c r="D252" i="3"/>
  <c r="F252" i="3" l="1"/>
  <c r="G252" i="3"/>
  <c r="V252" i="3"/>
  <c r="A253" i="3"/>
  <c r="B253" i="3" s="1"/>
  <c r="AC253" i="3" l="1"/>
  <c r="AA253" i="3"/>
  <c r="AD253" i="3"/>
  <c r="P253" i="3"/>
  <c r="Q253" i="3" s="1"/>
  <c r="R253" i="3" s="1"/>
  <c r="S253" i="3" s="1"/>
  <c r="Z253" i="3"/>
  <c r="I252" i="3"/>
  <c r="W252" i="3" s="1"/>
  <c r="J252" i="3"/>
  <c r="M252" i="3"/>
  <c r="N252" i="3" s="1"/>
  <c r="L252" i="3" l="1"/>
  <c r="T253" i="3"/>
  <c r="AH253" i="3" l="1"/>
  <c r="U252" i="3"/>
  <c r="E253" i="3" s="1"/>
  <c r="H253" i="3" s="1"/>
  <c r="AG253" i="3"/>
  <c r="Y251" i="3"/>
  <c r="D253" i="3" l="1"/>
  <c r="F253" i="3" s="1"/>
  <c r="K253" i="3"/>
  <c r="AE253" i="3" s="1"/>
  <c r="G253" i="3" l="1"/>
  <c r="J253" i="3" s="1"/>
  <c r="V253" i="3"/>
  <c r="A254" i="3"/>
  <c r="B254" i="3" s="1"/>
  <c r="M253" i="3" l="1"/>
  <c r="N253" i="3" s="1"/>
  <c r="I253" i="3"/>
  <c r="W253" i="3" s="1"/>
  <c r="L253" i="3"/>
  <c r="AA254" i="3"/>
  <c r="AC254" i="3"/>
  <c r="P254" i="3"/>
  <c r="Q254" i="3" s="1"/>
  <c r="R254" i="3" s="1"/>
  <c r="S254" i="3" s="1"/>
  <c r="Z254" i="3"/>
  <c r="U253" i="3" l="1"/>
  <c r="Y252" i="3"/>
  <c r="T254" i="3"/>
  <c r="AH254" i="3" s="1"/>
  <c r="D254" i="3" l="1"/>
  <c r="G254" i="3" s="1"/>
  <c r="E254" i="3"/>
  <c r="H254" i="3" s="1"/>
  <c r="K254" i="3" s="1"/>
  <c r="AE254" i="3" s="1"/>
  <c r="AG254" i="3"/>
  <c r="F254" i="3" l="1"/>
  <c r="I254" i="3"/>
  <c r="J254" i="3"/>
  <c r="M254" i="3"/>
  <c r="N254" i="3" s="1"/>
  <c r="V254" i="3"/>
  <c r="A255" i="3"/>
  <c r="B255" i="3" s="1"/>
  <c r="W254" i="3" l="1"/>
  <c r="L254" i="3"/>
  <c r="AD254" i="3"/>
  <c r="AA255" i="3"/>
  <c r="AC255" i="3"/>
  <c r="AD255" i="3"/>
  <c r="Z255" i="3"/>
  <c r="P255" i="3"/>
  <c r="Q255" i="3" s="1"/>
  <c r="R255" i="3" s="1"/>
  <c r="S255" i="3" s="1"/>
  <c r="U254" i="3" l="1"/>
  <c r="Y253" i="3"/>
  <c r="T255" i="3"/>
  <c r="D255" i="3" l="1"/>
  <c r="G255" i="3" s="1"/>
  <c r="AG255" i="3"/>
  <c r="AH255" i="3"/>
  <c r="E255" i="3"/>
  <c r="H255" i="3" s="1"/>
  <c r="K255" i="3" s="1"/>
  <c r="AE255" i="3" s="1"/>
  <c r="F255" i="3" l="1"/>
  <c r="I255" i="3"/>
  <c r="J255" i="3"/>
  <c r="M255" i="3"/>
  <c r="N255" i="3" s="1"/>
  <c r="V255" i="3"/>
  <c r="A256" i="3"/>
  <c r="B256" i="3" s="1"/>
  <c r="W255" i="3" l="1"/>
  <c r="L255" i="3"/>
  <c r="AA256" i="3"/>
  <c r="AD256" i="3"/>
  <c r="P256" i="3"/>
  <c r="Q256" i="3" s="1"/>
  <c r="R256" i="3" s="1"/>
  <c r="S256" i="3" s="1"/>
  <c r="Z256" i="3"/>
  <c r="AC256" i="3"/>
  <c r="U255" i="3" l="1"/>
  <c r="Y254" i="3"/>
  <c r="T256" i="3"/>
  <c r="D256" i="3" l="1"/>
  <c r="G256" i="3" s="1"/>
  <c r="E256" i="3"/>
  <c r="H256" i="3" s="1"/>
  <c r="AH256" i="3"/>
  <c r="AG256" i="3"/>
  <c r="F256" i="3" l="1"/>
  <c r="I256" i="3"/>
  <c r="J256" i="3"/>
  <c r="M256" i="3"/>
  <c r="N256" i="3" s="1"/>
  <c r="K256" i="3"/>
  <c r="AE256" i="3" s="1"/>
  <c r="L256" i="3" l="1"/>
  <c r="V256" i="3"/>
  <c r="W256" i="3" s="1"/>
  <c r="A257" i="3"/>
  <c r="B257" i="3" s="1"/>
  <c r="U256" i="3" l="1"/>
  <c r="Y255" i="3"/>
  <c r="AD257" i="3"/>
  <c r="AC257" i="3"/>
  <c r="Z257" i="3"/>
  <c r="P257" i="3"/>
  <c r="Q257" i="3" s="1"/>
  <c r="R257" i="3" s="1"/>
  <c r="S257" i="3" s="1"/>
  <c r="AA257" i="3"/>
  <c r="T257" i="3" l="1"/>
  <c r="D257" i="3" s="1"/>
  <c r="E257" i="3" l="1"/>
  <c r="H257" i="3" s="1"/>
  <c r="K257" i="3" s="1"/>
  <c r="AE257" i="3" s="1"/>
  <c r="AG257" i="3"/>
  <c r="AH257" i="3"/>
  <c r="G257" i="3"/>
  <c r="F257" i="3" l="1"/>
  <c r="V257" i="3"/>
  <c r="A258" i="3"/>
  <c r="B258" i="3" s="1"/>
  <c r="I257" i="3"/>
  <c r="J257" i="3"/>
  <c r="M257" i="3"/>
  <c r="N257" i="3" s="1"/>
  <c r="W257" i="3" l="1"/>
  <c r="L257" i="3"/>
  <c r="AC258" i="3"/>
  <c r="AD258" i="3"/>
  <c r="Z258" i="3"/>
  <c r="P258" i="3"/>
  <c r="Q258" i="3" s="1"/>
  <c r="R258" i="3" s="1"/>
  <c r="S258" i="3" s="1"/>
  <c r="AA258" i="3"/>
  <c r="U257" i="3" l="1"/>
  <c r="Y256" i="3"/>
  <c r="T258" i="3"/>
  <c r="AG258" i="3" s="1"/>
  <c r="E258" i="3" l="1"/>
  <c r="H258" i="3" s="1"/>
  <c r="D258" i="3"/>
  <c r="AH258" i="3"/>
  <c r="F258" i="3" l="1"/>
  <c r="G258" i="3"/>
  <c r="K258" i="3"/>
  <c r="AE258" i="3" s="1"/>
  <c r="V258" i="3" l="1"/>
  <c r="A259" i="3"/>
  <c r="B259" i="3" s="1"/>
  <c r="I258" i="3"/>
  <c r="J258" i="3"/>
  <c r="M258" i="3"/>
  <c r="N258" i="3" s="1"/>
  <c r="L258" i="3" l="1"/>
  <c r="AC259" i="3"/>
  <c r="P259" i="3"/>
  <c r="Q259" i="3" s="1"/>
  <c r="R259" i="3" s="1"/>
  <c r="S259" i="3" s="1"/>
  <c r="Z259" i="3"/>
  <c r="AD259" i="3"/>
  <c r="AA259" i="3"/>
  <c r="W258" i="3"/>
  <c r="U258" i="3" l="1"/>
  <c r="Y257" i="3"/>
  <c r="T259" i="3"/>
  <c r="AH259" i="3" s="1"/>
  <c r="D259" i="3" l="1"/>
  <c r="G259" i="3" s="1"/>
  <c r="AG259" i="3"/>
  <c r="E259" i="3"/>
  <c r="H259" i="3" s="1"/>
  <c r="K259" i="3" s="1"/>
  <c r="AE259" i="3" s="1"/>
  <c r="F259" i="3" l="1"/>
  <c r="I259" i="3"/>
  <c r="J259" i="3"/>
  <c r="M259" i="3"/>
  <c r="N259" i="3" s="1"/>
  <c r="V259" i="3"/>
  <c r="A260" i="3"/>
  <c r="B260" i="3" s="1"/>
  <c r="W259" i="3" l="1"/>
  <c r="L259" i="3"/>
  <c r="AA260" i="3"/>
  <c r="P260" i="3"/>
  <c r="Q260" i="3" s="1"/>
  <c r="R260" i="3" s="1"/>
  <c r="S260" i="3" s="1"/>
  <c r="AD260" i="3"/>
  <c r="Z260" i="3"/>
  <c r="AC260" i="3"/>
  <c r="U259" i="3" l="1"/>
  <c r="Y258" i="3"/>
  <c r="T260" i="3"/>
  <c r="AH260" i="3" s="1"/>
  <c r="AG260" i="3" l="1"/>
  <c r="D260" i="3"/>
  <c r="E260" i="3"/>
  <c r="H260" i="3" s="1"/>
  <c r="K260" i="3" l="1"/>
  <c r="AE260" i="3" s="1"/>
  <c r="F260" i="3"/>
  <c r="G260" i="3"/>
  <c r="I260" i="3" l="1"/>
  <c r="J260" i="3"/>
  <c r="M260" i="3"/>
  <c r="N260" i="3" s="1"/>
  <c r="V260" i="3"/>
  <c r="A261" i="3"/>
  <c r="B261" i="3" s="1"/>
  <c r="W260" i="3" l="1"/>
  <c r="L260" i="3"/>
  <c r="Z261" i="3"/>
  <c r="AA261" i="3"/>
  <c r="AD261" i="3"/>
  <c r="P261" i="3"/>
  <c r="Q261" i="3" s="1"/>
  <c r="R261" i="3" s="1"/>
  <c r="S261" i="3" s="1"/>
  <c r="AC261" i="3"/>
  <c r="U260" i="3" l="1"/>
  <c r="Y259" i="3"/>
  <c r="T261" i="3"/>
  <c r="AH261" i="3" s="1"/>
  <c r="E261" i="3" l="1"/>
  <c r="H261" i="3" s="1"/>
  <c r="D261" i="3"/>
  <c r="AG261" i="3"/>
  <c r="K261" i="3" l="1"/>
  <c r="AE261" i="3" s="1"/>
  <c r="F261" i="3"/>
  <c r="G261" i="3"/>
  <c r="I261" i="3" l="1"/>
  <c r="J261" i="3"/>
  <c r="M261" i="3"/>
  <c r="N261" i="3" s="1"/>
  <c r="V261" i="3"/>
  <c r="A262" i="3"/>
  <c r="B262" i="3" s="1"/>
  <c r="W261" i="3" l="1"/>
  <c r="L261" i="3"/>
  <c r="AA262" i="3"/>
  <c r="Z262" i="3"/>
  <c r="P262" i="3"/>
  <c r="Q262" i="3" s="1"/>
  <c r="R262" i="3" s="1"/>
  <c r="S262" i="3" s="1"/>
  <c r="AC262" i="3"/>
  <c r="AD262" i="3"/>
  <c r="T262" i="3" l="1"/>
  <c r="AG262" i="3" s="1"/>
  <c r="U261" i="3"/>
  <c r="Y260" i="3"/>
  <c r="E262" i="3" l="1"/>
  <c r="H262" i="3" s="1"/>
  <c r="K262" i="3" s="1"/>
  <c r="AE262" i="3" s="1"/>
  <c r="AH262" i="3"/>
  <c r="D262" i="3"/>
  <c r="F262" i="3" l="1"/>
  <c r="G262" i="3"/>
  <c r="V262" i="3"/>
  <c r="A263" i="3"/>
  <c r="B263" i="3" s="1"/>
  <c r="P263" i="3" l="1"/>
  <c r="Q263" i="3" s="1"/>
  <c r="R263" i="3" s="1"/>
  <c r="S263" i="3" s="1"/>
  <c r="AA263" i="3"/>
  <c r="Z263" i="3"/>
  <c r="AD263" i="3"/>
  <c r="AC263" i="3"/>
  <c r="I262" i="3"/>
  <c r="W262" i="3" s="1"/>
  <c r="J262" i="3"/>
  <c r="M262" i="3"/>
  <c r="N262" i="3" s="1"/>
  <c r="L262" i="3" l="1"/>
  <c r="T263" i="3"/>
  <c r="U262" i="3" l="1"/>
  <c r="E263" i="3" s="1"/>
  <c r="H263" i="3" s="1"/>
  <c r="AH263" i="3"/>
  <c r="AG263" i="3"/>
  <c r="Y261" i="3"/>
  <c r="D263" i="3" l="1"/>
  <c r="G263" i="3" s="1"/>
  <c r="K263" i="3"/>
  <c r="AE263" i="3" s="1"/>
  <c r="F263" i="3" l="1"/>
  <c r="V263" i="3"/>
  <c r="A264" i="3"/>
  <c r="B264" i="3" s="1"/>
  <c r="I263" i="3"/>
  <c r="J263" i="3"/>
  <c r="M263" i="3"/>
  <c r="N263" i="3" s="1"/>
  <c r="W263" i="3" l="1"/>
  <c r="L263" i="3"/>
  <c r="P264" i="3"/>
  <c r="Q264" i="3" s="1"/>
  <c r="R264" i="3" s="1"/>
  <c r="S264" i="3" s="1"/>
  <c r="AA264" i="3"/>
  <c r="AC264" i="3"/>
  <c r="Z264" i="3"/>
  <c r="U263" i="3" l="1"/>
  <c r="Y262" i="3"/>
  <c r="T264" i="3"/>
  <c r="AH264" i="3" s="1"/>
  <c r="AG264" i="3" l="1"/>
  <c r="D264" i="3"/>
  <c r="G264" i="3" s="1"/>
  <c r="E264" i="3"/>
  <c r="H264" i="3" s="1"/>
  <c r="K264" i="3" l="1"/>
  <c r="AE264" i="3" s="1"/>
  <c r="I264" i="3"/>
  <c r="J264" i="3"/>
  <c r="AD264" i="3" s="1"/>
  <c r="M264" i="3"/>
  <c r="N264" i="3" s="1"/>
  <c r="F264" i="3"/>
  <c r="L264" i="3" l="1"/>
  <c r="V264" i="3"/>
  <c r="W264" i="3" s="1"/>
  <c r="A265" i="3"/>
  <c r="B265" i="3" s="1"/>
  <c r="U264" i="3" l="1"/>
  <c r="Y263" i="3"/>
  <c r="P265" i="3"/>
  <c r="Q265" i="3" s="1"/>
  <c r="R265" i="3" s="1"/>
  <c r="S265" i="3" s="1"/>
  <c r="AA265" i="3"/>
  <c r="AD265" i="3"/>
  <c r="Z265" i="3"/>
  <c r="AC265" i="3"/>
  <c r="T265" i="3" l="1"/>
  <c r="AG265" i="3" l="1"/>
  <c r="AH265" i="3"/>
  <c r="D265" i="3"/>
  <c r="E265" i="3"/>
  <c r="H265" i="3" s="1"/>
  <c r="F265" i="3" l="1"/>
  <c r="G265" i="3"/>
  <c r="K265" i="3"/>
  <c r="AE265" i="3" s="1"/>
  <c r="I265" i="3" l="1"/>
  <c r="J265" i="3"/>
  <c r="M265" i="3"/>
  <c r="N265" i="3" s="1"/>
  <c r="V265" i="3"/>
  <c r="A266" i="3"/>
  <c r="B266" i="3" s="1"/>
  <c r="L265" i="3" l="1"/>
  <c r="W265" i="3"/>
  <c r="P266" i="3"/>
  <c r="Q266" i="3" s="1"/>
  <c r="R266" i="3" s="1"/>
  <c r="S266" i="3" s="1"/>
  <c r="AC266" i="3"/>
  <c r="Z266" i="3"/>
  <c r="AA266" i="3"/>
  <c r="AD266" i="3"/>
  <c r="T266" i="3" l="1"/>
  <c r="U265" i="3"/>
  <c r="Y264" i="3"/>
  <c r="E266" i="3" l="1"/>
  <c r="H266" i="3" s="1"/>
  <c r="K266" i="3" s="1"/>
  <c r="AE266" i="3" s="1"/>
  <c r="AH266" i="3"/>
  <c r="AG266" i="3"/>
  <c r="D266" i="3"/>
  <c r="V266" i="3" l="1"/>
  <c r="A267" i="3"/>
  <c r="B267" i="3" s="1"/>
  <c r="F266" i="3"/>
  <c r="G266" i="3"/>
  <c r="I266" i="3" l="1"/>
  <c r="W266" i="3" s="1"/>
  <c r="J266" i="3"/>
  <c r="M266" i="3"/>
  <c r="N266" i="3" s="1"/>
  <c r="AC267" i="3"/>
  <c r="P267" i="3"/>
  <c r="Q267" i="3" s="1"/>
  <c r="R267" i="3" s="1"/>
  <c r="S267" i="3" s="1"/>
  <c r="AA267" i="3"/>
  <c r="Z267" i="3"/>
  <c r="AD267" i="3"/>
  <c r="T267" i="3" l="1"/>
  <c r="L266" i="3"/>
  <c r="AH267" i="3" l="1"/>
  <c r="AG267" i="3"/>
  <c r="U266" i="3"/>
  <c r="E267" i="3" s="1"/>
  <c r="H267" i="3" s="1"/>
  <c r="Y265" i="3"/>
  <c r="K267" i="3" l="1"/>
  <c r="AE267" i="3" s="1"/>
  <c r="D267" i="3"/>
  <c r="V267" i="3" l="1"/>
  <c r="A268" i="3"/>
  <c r="B268" i="3" s="1"/>
  <c r="F267" i="3"/>
  <c r="G267" i="3"/>
  <c r="I267" i="3" l="1"/>
  <c r="W267" i="3" s="1"/>
  <c r="J267" i="3"/>
  <c r="M267" i="3"/>
  <c r="N267" i="3" s="1"/>
  <c r="AC268" i="3"/>
  <c r="P268" i="3"/>
  <c r="Q268" i="3" s="1"/>
  <c r="R268" i="3" s="1"/>
  <c r="S268" i="3" s="1"/>
  <c r="Z268" i="3"/>
  <c r="AA268" i="3"/>
  <c r="AD268" i="3"/>
  <c r="T268" i="3" l="1"/>
  <c r="L267" i="3"/>
  <c r="U267" i="3" l="1"/>
  <c r="E268" i="3" s="1"/>
  <c r="H268" i="3" s="1"/>
  <c r="AH268" i="3"/>
  <c r="AG268" i="3"/>
  <c r="Y266" i="3"/>
  <c r="K268" i="3" l="1"/>
  <c r="AE268" i="3" s="1"/>
  <c r="D268" i="3"/>
  <c r="V268" i="3" l="1"/>
  <c r="A269" i="3"/>
  <c r="B269" i="3" s="1"/>
  <c r="F268" i="3"/>
  <c r="G268" i="3"/>
  <c r="I268" i="3" l="1"/>
  <c r="W268" i="3" s="1"/>
  <c r="J268" i="3"/>
  <c r="M268" i="3"/>
  <c r="N268" i="3" s="1"/>
  <c r="AD269" i="3"/>
  <c r="P269" i="3"/>
  <c r="Q269" i="3" s="1"/>
  <c r="R269" i="3" s="1"/>
  <c r="S269" i="3" s="1"/>
  <c r="AA269" i="3"/>
  <c r="Z269" i="3"/>
  <c r="AC269" i="3"/>
  <c r="T269" i="3" l="1"/>
  <c r="L268" i="3"/>
  <c r="U268" i="3" l="1"/>
  <c r="D269" i="3" s="1"/>
  <c r="AH269" i="3"/>
  <c r="AG269" i="3"/>
  <c r="Y267" i="3"/>
  <c r="G269" i="3" l="1"/>
  <c r="E269" i="3"/>
  <c r="H269" i="3" s="1"/>
  <c r="F269" i="3" l="1"/>
  <c r="I269" i="3"/>
  <c r="J269" i="3"/>
  <c r="M269" i="3"/>
  <c r="N269" i="3" s="1"/>
  <c r="K269" i="3"/>
  <c r="AE269" i="3" s="1"/>
  <c r="V269" i="3" l="1"/>
  <c r="W269" i="3" s="1"/>
  <c r="A270" i="3"/>
  <c r="B270" i="3" s="1"/>
  <c r="L269" i="3"/>
  <c r="U269" i="3" l="1"/>
  <c r="Y268" i="3"/>
  <c r="AA270" i="3"/>
  <c r="Z270" i="3"/>
  <c r="P270" i="3"/>
  <c r="Q270" i="3" s="1"/>
  <c r="R270" i="3" s="1"/>
  <c r="S270" i="3" s="1"/>
  <c r="AC270" i="3"/>
  <c r="AD270" i="3"/>
  <c r="T270" i="3" l="1"/>
  <c r="AG270" i="3" s="1"/>
  <c r="AH270" i="3" l="1"/>
  <c r="E270" i="3"/>
  <c r="H270" i="3" s="1"/>
  <c r="K270" i="3" s="1"/>
  <c r="AE270" i="3" s="1"/>
  <c r="D270" i="3"/>
  <c r="G270" i="3" s="1"/>
  <c r="F270" i="3" l="1"/>
  <c r="V270" i="3"/>
  <c r="A271" i="3"/>
  <c r="B271" i="3" s="1"/>
  <c r="I270" i="3"/>
  <c r="J270" i="3"/>
  <c r="M270" i="3"/>
  <c r="N270" i="3" s="1"/>
  <c r="L270" i="3" l="1"/>
  <c r="Z271" i="3"/>
  <c r="AA271" i="3"/>
  <c r="P271" i="3"/>
  <c r="Q271" i="3" s="1"/>
  <c r="R271" i="3" s="1"/>
  <c r="S271" i="3" s="1"/>
  <c r="AC271" i="3"/>
  <c r="AD271" i="3"/>
  <c r="W270" i="3"/>
  <c r="U270" i="3" l="1"/>
  <c r="Y269" i="3"/>
  <c r="T271" i="3"/>
  <c r="AH271" i="3" s="1"/>
  <c r="AG271" i="3" l="1"/>
  <c r="D271" i="3"/>
  <c r="E271" i="3"/>
  <c r="H271" i="3" s="1"/>
  <c r="K271" i="3" l="1"/>
  <c r="AE271" i="3" s="1"/>
  <c r="F271" i="3"/>
  <c r="G271" i="3"/>
  <c r="I271" i="3" l="1"/>
  <c r="J271" i="3"/>
  <c r="M271" i="3"/>
  <c r="N271" i="3" s="1"/>
  <c r="V271" i="3"/>
  <c r="A272" i="3"/>
  <c r="B272" i="3" s="1"/>
  <c r="W271" i="3" l="1"/>
  <c r="L271" i="3"/>
  <c r="AD272" i="3"/>
  <c r="Z272" i="3"/>
  <c r="AA272" i="3"/>
  <c r="P272" i="3"/>
  <c r="Q272" i="3" s="1"/>
  <c r="R272" i="3" s="1"/>
  <c r="S272" i="3" s="1"/>
  <c r="AC272" i="3"/>
  <c r="T272" i="3" l="1"/>
  <c r="U271" i="3"/>
  <c r="Y270" i="3"/>
  <c r="D272" i="3" l="1"/>
  <c r="G272" i="3" s="1"/>
  <c r="E272" i="3"/>
  <c r="H272" i="3" s="1"/>
  <c r="K272" i="3" s="1"/>
  <c r="AE272" i="3" s="1"/>
  <c r="AG272" i="3"/>
  <c r="AH272" i="3"/>
  <c r="F272" i="3" l="1"/>
  <c r="I272" i="3"/>
  <c r="J272" i="3"/>
  <c r="M272" i="3"/>
  <c r="N272" i="3" s="1"/>
  <c r="V272" i="3"/>
  <c r="A273" i="3"/>
  <c r="B273" i="3" s="1"/>
  <c r="W272" i="3" l="1"/>
  <c r="L272" i="3"/>
  <c r="AA273" i="3"/>
  <c r="P273" i="3"/>
  <c r="Q273" i="3" s="1"/>
  <c r="R273" i="3" s="1"/>
  <c r="S273" i="3" s="1"/>
  <c r="Z273" i="3"/>
  <c r="AC273" i="3"/>
  <c r="AD273" i="3"/>
  <c r="T273" i="3" l="1"/>
  <c r="AG273" i="3" s="1"/>
  <c r="U272" i="3"/>
  <c r="Y271" i="3"/>
  <c r="D273" i="3" l="1"/>
  <c r="G273" i="3" s="1"/>
  <c r="AH273" i="3"/>
  <c r="E273" i="3"/>
  <c r="H273" i="3" s="1"/>
  <c r="F273" i="3" l="1"/>
  <c r="I273" i="3"/>
  <c r="J273" i="3"/>
  <c r="M273" i="3"/>
  <c r="N273" i="3" s="1"/>
  <c r="K273" i="3"/>
  <c r="AE273" i="3" s="1"/>
  <c r="L273" i="3" l="1"/>
  <c r="V273" i="3"/>
  <c r="W273" i="3" s="1"/>
  <c r="A274" i="3"/>
  <c r="B274" i="3" s="1"/>
  <c r="P274" i="3" l="1"/>
  <c r="Q274" i="3" s="1"/>
  <c r="R274" i="3" s="1"/>
  <c r="S274" i="3" s="1"/>
  <c r="AC274" i="3"/>
  <c r="Z274" i="3"/>
  <c r="AA274" i="3"/>
  <c r="U273" i="3"/>
  <c r="Y272" i="3"/>
  <c r="T274" i="3" l="1"/>
  <c r="AG274" i="3" s="1"/>
  <c r="D274" i="3" l="1"/>
  <c r="G274" i="3" s="1"/>
  <c r="AH274" i="3"/>
  <c r="E274" i="3"/>
  <c r="H274" i="3" s="1"/>
  <c r="I274" i="3" l="1"/>
  <c r="J274" i="3"/>
  <c r="AD274" i="3" s="1"/>
  <c r="M274" i="3"/>
  <c r="N274" i="3" s="1"/>
  <c r="K274" i="3"/>
  <c r="AE274" i="3" s="1"/>
  <c r="F274" i="3"/>
  <c r="L274" i="3" l="1"/>
  <c r="V274" i="3"/>
  <c r="W274" i="3" s="1"/>
  <c r="A275" i="3"/>
  <c r="B275" i="3" s="1"/>
  <c r="U274" i="3" l="1"/>
  <c r="Y273" i="3"/>
  <c r="AA275" i="3"/>
  <c r="P275" i="3"/>
  <c r="Q275" i="3" s="1"/>
  <c r="R275" i="3" s="1"/>
  <c r="S275" i="3" s="1"/>
  <c r="AD275" i="3"/>
  <c r="Z275" i="3"/>
  <c r="AC275" i="3"/>
  <c r="T275" i="3" l="1"/>
  <c r="AH275" i="3" s="1"/>
  <c r="E275" i="3" l="1"/>
  <c r="H275" i="3" s="1"/>
  <c r="AG275" i="3"/>
  <c r="D275" i="3"/>
  <c r="F275" i="3" l="1"/>
  <c r="G275" i="3"/>
  <c r="K275" i="3"/>
  <c r="AE275" i="3" s="1"/>
  <c r="I275" i="3" l="1"/>
  <c r="J275" i="3"/>
  <c r="M275" i="3"/>
  <c r="N275" i="3" s="1"/>
  <c r="V275" i="3"/>
  <c r="A276" i="3"/>
  <c r="B276" i="3" s="1"/>
  <c r="W275" i="3" l="1"/>
  <c r="L275" i="3"/>
  <c r="AA276" i="3"/>
  <c r="Z276" i="3"/>
  <c r="P276" i="3"/>
  <c r="Q276" i="3" s="1"/>
  <c r="R276" i="3" s="1"/>
  <c r="S276" i="3" s="1"/>
  <c r="AC276" i="3"/>
  <c r="AD276" i="3"/>
  <c r="U275" i="3" l="1"/>
  <c r="Y274" i="3"/>
  <c r="T276" i="3"/>
  <c r="AH276" i="3" s="1"/>
  <c r="D276" i="3" l="1"/>
  <c r="AG276" i="3"/>
  <c r="E276" i="3"/>
  <c r="H276" i="3" s="1"/>
  <c r="F276" i="3" l="1"/>
  <c r="G276" i="3"/>
  <c r="K276" i="3"/>
  <c r="AE276" i="3" s="1"/>
  <c r="I276" i="3" l="1"/>
  <c r="J276" i="3"/>
  <c r="M276" i="3"/>
  <c r="N276" i="3" s="1"/>
  <c r="V276" i="3"/>
  <c r="A277" i="3"/>
  <c r="B277" i="3" s="1"/>
  <c r="W276" i="3" l="1"/>
  <c r="L276" i="3"/>
  <c r="P277" i="3"/>
  <c r="Q277" i="3" s="1"/>
  <c r="R277" i="3" s="1"/>
  <c r="S277" i="3" s="1"/>
  <c r="AC277" i="3"/>
  <c r="Z277" i="3"/>
  <c r="AD277" i="3"/>
  <c r="AA277" i="3"/>
  <c r="U276" i="3" l="1"/>
  <c r="Y275" i="3"/>
  <c r="T277" i="3"/>
  <c r="AG277" i="3" s="1"/>
  <c r="D277" i="3" l="1"/>
  <c r="G277" i="3" s="1"/>
  <c r="E277" i="3"/>
  <c r="H277" i="3" s="1"/>
  <c r="K277" i="3" s="1"/>
  <c r="AE277" i="3" s="1"/>
  <c r="AH277" i="3"/>
  <c r="F277" i="3" l="1"/>
  <c r="V277" i="3"/>
  <c r="A278" i="3"/>
  <c r="B278" i="3" s="1"/>
  <c r="I277" i="3"/>
  <c r="J277" i="3"/>
  <c r="M277" i="3"/>
  <c r="N277" i="3" s="1"/>
  <c r="W277" i="3" l="1"/>
  <c r="L277" i="3"/>
  <c r="AD278" i="3"/>
  <c r="AC278" i="3"/>
  <c r="Z278" i="3"/>
  <c r="P278" i="3"/>
  <c r="Q278" i="3" s="1"/>
  <c r="R278" i="3" s="1"/>
  <c r="S278" i="3" s="1"/>
  <c r="AA278" i="3"/>
  <c r="T278" i="3" l="1"/>
  <c r="U277" i="3"/>
  <c r="Y276" i="3"/>
  <c r="E278" i="3" l="1"/>
  <c r="H278" i="3" s="1"/>
  <c r="K278" i="3" s="1"/>
  <c r="AE278" i="3" s="1"/>
  <c r="D278" i="3"/>
  <c r="AH278" i="3"/>
  <c r="AG278" i="3"/>
  <c r="V278" i="3" l="1"/>
  <c r="A279" i="3"/>
  <c r="B279" i="3" s="1"/>
  <c r="F278" i="3"/>
  <c r="G278" i="3"/>
  <c r="I278" i="3" l="1"/>
  <c r="W278" i="3" s="1"/>
  <c r="J278" i="3"/>
  <c r="M278" i="3"/>
  <c r="N278" i="3" s="1"/>
  <c r="P279" i="3"/>
  <c r="Q279" i="3" s="1"/>
  <c r="R279" i="3" s="1"/>
  <c r="S279" i="3" s="1"/>
  <c r="AA279" i="3"/>
  <c r="AD279" i="3"/>
  <c r="Z279" i="3"/>
  <c r="AC279" i="3"/>
  <c r="T279" i="3" l="1"/>
  <c r="L278" i="3"/>
  <c r="U278" i="3" l="1"/>
  <c r="D279" i="3" s="1"/>
  <c r="AG279" i="3"/>
  <c r="AH279" i="3"/>
  <c r="Y277" i="3"/>
  <c r="G279" i="3" l="1"/>
  <c r="E279" i="3"/>
  <c r="H279" i="3" s="1"/>
  <c r="I279" i="3" l="1"/>
  <c r="J279" i="3"/>
  <c r="M279" i="3"/>
  <c r="N279" i="3" s="1"/>
  <c r="F279" i="3"/>
  <c r="K279" i="3"/>
  <c r="AE279" i="3" s="1"/>
  <c r="V279" i="3" l="1"/>
  <c r="W279" i="3" s="1"/>
  <c r="A280" i="3"/>
  <c r="B280" i="3" s="1"/>
  <c r="L279" i="3"/>
  <c r="U279" i="3" l="1"/>
  <c r="Y278" i="3"/>
  <c r="AA280" i="3"/>
  <c r="P280" i="3"/>
  <c r="Q280" i="3" s="1"/>
  <c r="R280" i="3" s="1"/>
  <c r="S280" i="3" s="1"/>
  <c r="AD280" i="3"/>
  <c r="AC280" i="3"/>
  <c r="Z280" i="3"/>
  <c r="T280" i="3" l="1"/>
  <c r="AH280" i="3" s="1"/>
  <c r="D280" i="3" l="1"/>
  <c r="G280" i="3" s="1"/>
  <c r="E280" i="3"/>
  <c r="H280" i="3" s="1"/>
  <c r="K280" i="3" s="1"/>
  <c r="AE280" i="3" s="1"/>
  <c r="AG280" i="3"/>
  <c r="F280" i="3" l="1"/>
  <c r="I280" i="3"/>
  <c r="J280" i="3"/>
  <c r="M280" i="3"/>
  <c r="N280" i="3" s="1"/>
  <c r="V280" i="3"/>
  <c r="A281" i="3"/>
  <c r="B281" i="3" s="1"/>
  <c r="L280" i="3" l="1"/>
  <c r="W280" i="3"/>
  <c r="AC281" i="3"/>
  <c r="AA281" i="3"/>
  <c r="P281" i="3"/>
  <c r="Q281" i="3" s="1"/>
  <c r="R281" i="3" s="1"/>
  <c r="S281" i="3" s="1"/>
  <c r="AD281" i="3"/>
  <c r="Z281" i="3"/>
  <c r="T281" i="3" l="1"/>
  <c r="AG281" i="3" s="1"/>
  <c r="U280" i="3"/>
  <c r="Y279" i="3"/>
  <c r="D281" i="3" l="1"/>
  <c r="E281" i="3"/>
  <c r="H281" i="3" s="1"/>
  <c r="AH281" i="3"/>
  <c r="F281" i="3" l="1"/>
  <c r="G281" i="3"/>
  <c r="K281" i="3"/>
  <c r="AE281" i="3" s="1"/>
  <c r="I281" i="3" l="1"/>
  <c r="J281" i="3"/>
  <c r="M281" i="3"/>
  <c r="N281" i="3" s="1"/>
  <c r="V281" i="3"/>
  <c r="A282" i="3"/>
  <c r="B282" i="3" s="1"/>
  <c r="W281" i="3" l="1"/>
  <c r="L281" i="3"/>
  <c r="AC282" i="3"/>
  <c r="Z282" i="3"/>
  <c r="AD282" i="3"/>
  <c r="P282" i="3"/>
  <c r="Q282" i="3" s="1"/>
  <c r="R282" i="3" s="1"/>
  <c r="S282" i="3" s="1"/>
  <c r="AA282" i="3"/>
  <c r="U281" i="3" l="1"/>
  <c r="Y280" i="3"/>
  <c r="T282" i="3"/>
  <c r="D282" i="3" l="1"/>
  <c r="G282" i="3" s="1"/>
  <c r="E282" i="3"/>
  <c r="H282" i="3" s="1"/>
  <c r="AH282" i="3"/>
  <c r="AG282" i="3"/>
  <c r="F282" i="3" l="1"/>
  <c r="I282" i="3"/>
  <c r="J282" i="3"/>
  <c r="M282" i="3"/>
  <c r="N282" i="3" s="1"/>
  <c r="K282" i="3"/>
  <c r="AE282" i="3" s="1"/>
  <c r="V282" i="3" l="1"/>
  <c r="W282" i="3" s="1"/>
  <c r="A283" i="3"/>
  <c r="B283" i="3" s="1"/>
  <c r="L282" i="3"/>
  <c r="U282" i="3" l="1"/>
  <c r="Y281" i="3"/>
  <c r="Z283" i="3"/>
  <c r="AC283" i="3"/>
  <c r="AD283" i="3"/>
  <c r="P283" i="3"/>
  <c r="Q283" i="3" s="1"/>
  <c r="R283" i="3" s="1"/>
  <c r="S283" i="3" s="1"/>
  <c r="AA283" i="3"/>
  <c r="T283" i="3" l="1"/>
  <c r="AH283" i="3" s="1"/>
  <c r="AG283" i="3" l="1"/>
  <c r="E283" i="3"/>
  <c r="H283" i="3" s="1"/>
  <c r="K283" i="3" s="1"/>
  <c r="AE283" i="3" s="1"/>
  <c r="D283" i="3"/>
  <c r="F283" i="3" l="1"/>
  <c r="G283" i="3"/>
  <c r="J283" i="3" s="1"/>
  <c r="V283" i="3"/>
  <c r="A284" i="3"/>
  <c r="B284" i="3" s="1"/>
  <c r="M283" i="3" l="1"/>
  <c r="N283" i="3" s="1"/>
  <c r="I283" i="3"/>
  <c r="W283" i="3" s="1"/>
  <c r="L283" i="3"/>
  <c r="AC284" i="3"/>
  <c r="AA284" i="3"/>
  <c r="P284" i="3"/>
  <c r="Q284" i="3" s="1"/>
  <c r="R284" i="3" s="1"/>
  <c r="S284" i="3" s="1"/>
  <c r="Z284" i="3"/>
  <c r="T284" i="3" l="1"/>
  <c r="AH284" i="3" s="1"/>
  <c r="U283" i="3"/>
  <c r="Y282" i="3"/>
  <c r="AG284" i="3" l="1"/>
  <c r="D284" i="3"/>
  <c r="E284" i="3"/>
  <c r="H284" i="3" s="1"/>
  <c r="F284" i="3" l="1"/>
  <c r="G284" i="3"/>
  <c r="K284" i="3"/>
  <c r="AE284" i="3" s="1"/>
  <c r="V284" i="3" l="1"/>
  <c r="A285" i="3"/>
  <c r="B285" i="3" s="1"/>
  <c r="I284" i="3"/>
  <c r="J284" i="3"/>
  <c r="AD284" i="3" s="1"/>
  <c r="M284" i="3"/>
  <c r="N284" i="3" s="1"/>
  <c r="W284" i="3" l="1"/>
  <c r="L284" i="3"/>
  <c r="AD285" i="3"/>
  <c r="AA285" i="3"/>
  <c r="P285" i="3"/>
  <c r="Q285" i="3" s="1"/>
  <c r="R285" i="3" s="1"/>
  <c r="S285" i="3" s="1"/>
  <c r="Z285" i="3"/>
  <c r="AC285" i="3"/>
  <c r="U284" i="3" l="1"/>
  <c r="Y283" i="3"/>
  <c r="T285" i="3"/>
  <c r="E285" i="3" l="1"/>
  <c r="H285" i="3" s="1"/>
  <c r="K285" i="3" s="1"/>
  <c r="AE285" i="3" s="1"/>
  <c r="AH285" i="3"/>
  <c r="D285" i="3"/>
  <c r="G285" i="3" s="1"/>
  <c r="AG285" i="3"/>
  <c r="F285" i="3" l="1"/>
  <c r="V285" i="3"/>
  <c r="A286" i="3"/>
  <c r="B286" i="3" s="1"/>
  <c r="I285" i="3"/>
  <c r="J285" i="3"/>
  <c r="M285" i="3"/>
  <c r="N285" i="3" s="1"/>
  <c r="W285" i="3" l="1"/>
  <c r="L285" i="3"/>
  <c r="AA286" i="3"/>
  <c r="P286" i="3"/>
  <c r="Q286" i="3" s="1"/>
  <c r="R286" i="3" s="1"/>
  <c r="S286" i="3" s="1"/>
  <c r="AD286" i="3"/>
  <c r="AC286" i="3"/>
  <c r="Z286" i="3"/>
  <c r="T286" i="3" l="1"/>
  <c r="AH286" i="3" s="1"/>
  <c r="U285" i="3"/>
  <c r="Y284" i="3"/>
  <c r="D286" i="3" l="1"/>
  <c r="G286" i="3" s="1"/>
  <c r="AG286" i="3"/>
  <c r="E286" i="3"/>
  <c r="H286" i="3" s="1"/>
  <c r="F286" i="3" l="1"/>
  <c r="I286" i="3"/>
  <c r="J286" i="3"/>
  <c r="M286" i="3"/>
  <c r="N286" i="3" s="1"/>
  <c r="K286" i="3"/>
  <c r="AE286" i="3" s="1"/>
  <c r="V286" i="3" l="1"/>
  <c r="W286" i="3" s="1"/>
  <c r="A287" i="3"/>
  <c r="B287" i="3" s="1"/>
  <c r="L286" i="3"/>
  <c r="U286" i="3" l="1"/>
  <c r="Y285" i="3"/>
  <c r="P287" i="3"/>
  <c r="Q287" i="3" s="1"/>
  <c r="R287" i="3" s="1"/>
  <c r="S287" i="3" s="1"/>
  <c r="AA287" i="3"/>
  <c r="Z287" i="3"/>
  <c r="AD287" i="3"/>
  <c r="AC287" i="3"/>
  <c r="T287" i="3" l="1"/>
  <c r="D287" i="3" s="1"/>
  <c r="G287" i="3" l="1"/>
  <c r="AH287" i="3"/>
  <c r="AG287" i="3"/>
  <c r="E287" i="3"/>
  <c r="H287" i="3" s="1"/>
  <c r="F287" i="3" l="1"/>
  <c r="K287" i="3"/>
  <c r="AE287" i="3" s="1"/>
  <c r="I287" i="3"/>
  <c r="J287" i="3"/>
  <c r="M287" i="3"/>
  <c r="N287" i="3" s="1"/>
  <c r="L287" i="3" l="1"/>
  <c r="V287" i="3"/>
  <c r="W287" i="3" s="1"/>
  <c r="A288" i="3"/>
  <c r="B288" i="3" s="1"/>
  <c r="U287" i="3" l="1"/>
  <c r="Y286" i="3"/>
  <c r="P288" i="3"/>
  <c r="Q288" i="3" s="1"/>
  <c r="R288" i="3" s="1"/>
  <c r="S288" i="3" s="1"/>
  <c r="AA288" i="3"/>
  <c r="AC288" i="3"/>
  <c r="AD288" i="3"/>
  <c r="Z288" i="3"/>
  <c r="T288" i="3" l="1"/>
  <c r="D288" i="3" s="1"/>
  <c r="AG288" i="3" l="1"/>
  <c r="AH288" i="3"/>
  <c r="E288" i="3"/>
  <c r="H288" i="3" s="1"/>
  <c r="K288" i="3" s="1"/>
  <c r="AE288" i="3" s="1"/>
  <c r="G288" i="3"/>
  <c r="F288" i="3" l="1"/>
  <c r="I288" i="3"/>
  <c r="J288" i="3"/>
  <c r="M288" i="3"/>
  <c r="N288" i="3" s="1"/>
  <c r="V288" i="3"/>
  <c r="A289" i="3"/>
  <c r="B289" i="3" s="1"/>
  <c r="W288" i="3" l="1"/>
  <c r="L288" i="3"/>
  <c r="AD289" i="3"/>
  <c r="P289" i="3"/>
  <c r="Q289" i="3" s="1"/>
  <c r="R289" i="3" s="1"/>
  <c r="S289" i="3" s="1"/>
  <c r="AA289" i="3"/>
  <c r="AC289" i="3"/>
  <c r="Z289" i="3"/>
  <c r="T289" i="3" l="1"/>
  <c r="U288" i="3"/>
  <c r="Y287" i="3"/>
  <c r="E289" i="3" l="1"/>
  <c r="H289" i="3" s="1"/>
  <c r="K289" i="3" s="1"/>
  <c r="AE289" i="3" s="1"/>
  <c r="AH289" i="3"/>
  <c r="AG289" i="3"/>
  <c r="D289" i="3"/>
  <c r="V289" i="3" l="1"/>
  <c r="A290" i="3"/>
  <c r="B290" i="3" s="1"/>
  <c r="F289" i="3"/>
  <c r="G289" i="3"/>
  <c r="I289" i="3" l="1"/>
  <c r="W289" i="3" s="1"/>
  <c r="J289" i="3"/>
  <c r="M289" i="3"/>
  <c r="N289" i="3" s="1"/>
  <c r="AA290" i="3"/>
  <c r="AC290" i="3"/>
  <c r="Z290" i="3"/>
  <c r="P290" i="3"/>
  <c r="Q290" i="3" s="1"/>
  <c r="R290" i="3" s="1"/>
  <c r="S290" i="3" s="1"/>
  <c r="AD290" i="3"/>
  <c r="T290" i="3" l="1"/>
  <c r="L289" i="3"/>
  <c r="U289" i="3" l="1"/>
  <c r="E290" i="3" s="1"/>
  <c r="H290" i="3" s="1"/>
  <c r="AH290" i="3"/>
  <c r="AG290" i="3"/>
  <c r="Y288" i="3"/>
  <c r="D290" i="3" l="1"/>
  <c r="G290" i="3" s="1"/>
  <c r="K290" i="3"/>
  <c r="AE290" i="3" s="1"/>
  <c r="F290" i="3" l="1"/>
  <c r="I290" i="3"/>
  <c r="J290" i="3"/>
  <c r="M290" i="3"/>
  <c r="N290" i="3" s="1"/>
  <c r="V290" i="3"/>
  <c r="A291" i="3"/>
  <c r="B291" i="3" s="1"/>
  <c r="L290" i="3" l="1"/>
  <c r="W290" i="3"/>
  <c r="P291" i="3"/>
  <c r="Q291" i="3" s="1"/>
  <c r="R291" i="3" s="1"/>
  <c r="S291" i="3" s="1"/>
  <c r="AD291" i="3"/>
  <c r="Z291" i="3"/>
  <c r="AA291" i="3"/>
  <c r="AC291" i="3"/>
  <c r="U290" i="3" l="1"/>
  <c r="Y289" i="3"/>
  <c r="T291" i="3"/>
  <c r="AG291" i="3" s="1"/>
  <c r="D291" i="3" l="1"/>
  <c r="E291" i="3"/>
  <c r="H291" i="3" s="1"/>
  <c r="AH291" i="3"/>
  <c r="K291" i="3" l="1"/>
  <c r="AE291" i="3" s="1"/>
  <c r="F291" i="3"/>
  <c r="G291" i="3"/>
  <c r="I291" i="3" l="1"/>
  <c r="J291" i="3"/>
  <c r="M291" i="3"/>
  <c r="N291" i="3" s="1"/>
  <c r="V291" i="3"/>
  <c r="A292" i="3"/>
  <c r="B292" i="3" s="1"/>
  <c r="W291" i="3" l="1"/>
  <c r="L291" i="3"/>
  <c r="Z292" i="3"/>
  <c r="AC292" i="3"/>
  <c r="AD292" i="3"/>
  <c r="AA292" i="3"/>
  <c r="P292" i="3"/>
  <c r="Q292" i="3" s="1"/>
  <c r="R292" i="3" s="1"/>
  <c r="S292" i="3" s="1"/>
  <c r="U291" i="3" l="1"/>
  <c r="Y290" i="3"/>
  <c r="T292" i="3"/>
  <c r="E292" i="3" l="1"/>
  <c r="H292" i="3" s="1"/>
  <c r="K292" i="3" s="1"/>
  <c r="AE292" i="3" s="1"/>
  <c r="D292" i="3"/>
  <c r="AG292" i="3"/>
  <c r="AH292" i="3"/>
  <c r="V292" i="3" l="1"/>
  <c r="A293" i="3"/>
  <c r="B293" i="3" s="1"/>
  <c r="F292" i="3"/>
  <c r="G292" i="3"/>
  <c r="I292" i="3" l="1"/>
  <c r="W292" i="3" s="1"/>
  <c r="J292" i="3"/>
  <c r="M292" i="3"/>
  <c r="N292" i="3" s="1"/>
  <c r="Z293" i="3"/>
  <c r="AC293" i="3"/>
  <c r="AD293" i="3"/>
  <c r="P293" i="3"/>
  <c r="Q293" i="3" s="1"/>
  <c r="R293" i="3" s="1"/>
  <c r="S293" i="3" s="1"/>
  <c r="AA293" i="3"/>
  <c r="L292" i="3" l="1"/>
  <c r="T293" i="3"/>
  <c r="U292" i="3" l="1"/>
  <c r="E293" i="3" s="1"/>
  <c r="H293" i="3" s="1"/>
  <c r="AH293" i="3"/>
  <c r="AG293" i="3"/>
  <c r="Y291" i="3"/>
  <c r="K293" i="3" l="1"/>
  <c r="AE293" i="3" s="1"/>
  <c r="D293" i="3"/>
  <c r="V293" i="3" l="1"/>
  <c r="A294" i="3"/>
  <c r="B294" i="3" s="1"/>
  <c r="F293" i="3"/>
  <c r="G293" i="3"/>
  <c r="I293" i="3" l="1"/>
  <c r="W293" i="3" s="1"/>
  <c r="J293" i="3"/>
  <c r="M293" i="3"/>
  <c r="N293" i="3" s="1"/>
  <c r="AA294" i="3"/>
  <c r="P294" i="3"/>
  <c r="Q294" i="3" s="1"/>
  <c r="R294" i="3" s="1"/>
  <c r="S294" i="3" s="1"/>
  <c r="Z294" i="3"/>
  <c r="AC294" i="3"/>
  <c r="L293" i="3" l="1"/>
  <c r="T294" i="3"/>
  <c r="AG294" i="3" l="1"/>
  <c r="U293" i="3"/>
  <c r="E294" i="3" s="1"/>
  <c r="H294" i="3" s="1"/>
  <c r="AH294" i="3"/>
  <c r="Y292" i="3"/>
  <c r="D294" i="3" l="1"/>
  <c r="G294" i="3" s="1"/>
  <c r="K294" i="3"/>
  <c r="AE294" i="3" s="1"/>
  <c r="F294" i="3" l="1"/>
  <c r="I294" i="3"/>
  <c r="J294" i="3"/>
  <c r="AD294" i="3" s="1"/>
  <c r="M294" i="3"/>
  <c r="N294" i="3" s="1"/>
  <c r="V294" i="3"/>
  <c r="A295" i="3"/>
  <c r="B295" i="3" s="1"/>
  <c r="L294" i="3" l="1"/>
  <c r="W294" i="3"/>
  <c r="AA295" i="3"/>
  <c r="AD295" i="3"/>
  <c r="P295" i="3"/>
  <c r="Q295" i="3" s="1"/>
  <c r="R295" i="3" s="1"/>
  <c r="S295" i="3" s="1"/>
  <c r="AC295" i="3"/>
  <c r="Z295" i="3"/>
  <c r="U294" i="3" l="1"/>
  <c r="Y293" i="3"/>
  <c r="T295" i="3"/>
  <c r="AG295" i="3" s="1"/>
  <c r="D295" i="3" l="1"/>
  <c r="AH295" i="3"/>
  <c r="E295" i="3"/>
  <c r="H295" i="3" s="1"/>
  <c r="F295" i="3" l="1"/>
  <c r="G295" i="3"/>
  <c r="K295" i="3"/>
  <c r="AE295" i="3" s="1"/>
  <c r="V295" i="3" l="1"/>
  <c r="A296" i="3"/>
  <c r="B296" i="3" s="1"/>
  <c r="I295" i="3"/>
  <c r="J295" i="3"/>
  <c r="M295" i="3"/>
  <c r="N295" i="3" s="1"/>
  <c r="L295" i="3" l="1"/>
  <c r="AC296" i="3"/>
  <c r="Z296" i="3"/>
  <c r="AD296" i="3"/>
  <c r="P296" i="3"/>
  <c r="Q296" i="3" s="1"/>
  <c r="R296" i="3" s="1"/>
  <c r="S296" i="3" s="1"/>
  <c r="AA296" i="3"/>
  <c r="W295" i="3"/>
  <c r="T296" i="3" l="1"/>
  <c r="U295" i="3"/>
  <c r="Y294" i="3"/>
  <c r="D296" i="3" l="1"/>
  <c r="G296" i="3" s="1"/>
  <c r="AG296" i="3"/>
  <c r="AH296" i="3"/>
  <c r="E296" i="3"/>
  <c r="H296" i="3" s="1"/>
  <c r="F296" i="3" l="1"/>
  <c r="I296" i="3"/>
  <c r="J296" i="3"/>
  <c r="M296" i="3"/>
  <c r="N296" i="3" s="1"/>
  <c r="K296" i="3"/>
  <c r="AE296" i="3" s="1"/>
  <c r="V296" i="3" l="1"/>
  <c r="W296" i="3" s="1"/>
  <c r="A297" i="3"/>
  <c r="B297" i="3" s="1"/>
  <c r="L296" i="3"/>
  <c r="U296" i="3" l="1"/>
  <c r="Y295" i="3"/>
  <c r="AA297" i="3"/>
  <c r="P297" i="3"/>
  <c r="Q297" i="3" s="1"/>
  <c r="R297" i="3" s="1"/>
  <c r="S297" i="3" s="1"/>
  <c r="Z297" i="3"/>
  <c r="AC297" i="3"/>
  <c r="AD297" i="3"/>
  <c r="T297" i="3" l="1"/>
  <c r="E297" i="3" s="1"/>
  <c r="H297" i="3" s="1"/>
  <c r="D297" i="3" l="1"/>
  <c r="F297" i="3" s="1"/>
  <c r="AG297" i="3"/>
  <c r="K297" i="3"/>
  <c r="AE297" i="3" s="1"/>
  <c r="AH297" i="3"/>
  <c r="G297" i="3" l="1"/>
  <c r="M297" i="3" s="1"/>
  <c r="N297" i="3" s="1"/>
  <c r="V297" i="3"/>
  <c r="A298" i="3"/>
  <c r="B298" i="3" s="1"/>
  <c r="J297" i="3" l="1"/>
  <c r="L297" i="3" s="1"/>
  <c r="I297" i="3"/>
  <c r="W297" i="3" s="1"/>
  <c r="Z298" i="3"/>
  <c r="AD298" i="3"/>
  <c r="P298" i="3"/>
  <c r="Q298" i="3" s="1"/>
  <c r="R298" i="3" s="1"/>
  <c r="S298" i="3" s="1"/>
  <c r="AA298" i="3"/>
  <c r="AC298" i="3"/>
  <c r="T298" i="3" l="1"/>
  <c r="U297" i="3"/>
  <c r="Y296" i="3"/>
  <c r="E298" i="3" l="1"/>
  <c r="H298" i="3" s="1"/>
  <c r="K298" i="3" s="1"/>
  <c r="AE298" i="3" s="1"/>
  <c r="AH298" i="3"/>
  <c r="D298" i="3"/>
  <c r="AG298" i="3"/>
  <c r="F298" i="3" l="1"/>
  <c r="G298" i="3"/>
  <c r="V298" i="3"/>
  <c r="A299" i="3"/>
  <c r="B299" i="3" s="1"/>
  <c r="I298" i="3" l="1"/>
  <c r="W298" i="3" s="1"/>
  <c r="J298" i="3"/>
  <c r="M298" i="3"/>
  <c r="N298" i="3" s="1"/>
  <c r="Z299" i="3"/>
  <c r="AD299" i="3"/>
  <c r="P299" i="3"/>
  <c r="Q299" i="3" s="1"/>
  <c r="R299" i="3" s="1"/>
  <c r="S299" i="3" s="1"/>
  <c r="AA299" i="3"/>
  <c r="AC299" i="3"/>
  <c r="L298" i="3" l="1"/>
  <c r="T299" i="3"/>
  <c r="AG299" i="3" l="1"/>
  <c r="U298" i="3"/>
  <c r="E299" i="3" s="1"/>
  <c r="H299" i="3" s="1"/>
  <c r="AH299" i="3"/>
  <c r="Y297" i="3"/>
  <c r="D299" i="3" l="1"/>
  <c r="G299" i="3" s="1"/>
  <c r="K299" i="3"/>
  <c r="AE299" i="3" s="1"/>
  <c r="F299" i="3" l="1"/>
  <c r="I299" i="3"/>
  <c r="J299" i="3"/>
  <c r="M299" i="3"/>
  <c r="N299" i="3" s="1"/>
  <c r="V299" i="3"/>
  <c r="A300" i="3"/>
  <c r="B300" i="3" s="1"/>
  <c r="W299" i="3" l="1"/>
  <c r="L299" i="3"/>
  <c r="Z300" i="3"/>
  <c r="P300" i="3"/>
  <c r="Q300" i="3" s="1"/>
  <c r="R300" i="3" s="1"/>
  <c r="S300" i="3" s="1"/>
  <c r="AD300" i="3"/>
  <c r="AA300" i="3"/>
  <c r="AC300" i="3"/>
  <c r="U299" i="3" l="1"/>
  <c r="Y298" i="3"/>
  <c r="T300" i="3"/>
  <c r="E300" i="3" l="1"/>
  <c r="H300" i="3" s="1"/>
  <c r="K300" i="3" s="1"/>
  <c r="AE300" i="3" s="1"/>
  <c r="AH300" i="3"/>
  <c r="AG300" i="3"/>
  <c r="D300" i="3"/>
  <c r="F300" i="3" l="1"/>
  <c r="G300" i="3"/>
  <c r="V300" i="3"/>
  <c r="A301" i="3"/>
  <c r="B301" i="3" s="1"/>
  <c r="I300" i="3" l="1"/>
  <c r="W300" i="3" s="1"/>
  <c r="J300" i="3"/>
  <c r="M300" i="3"/>
  <c r="N300" i="3" s="1"/>
  <c r="AC301" i="3"/>
  <c r="Z301" i="3"/>
  <c r="AD301" i="3"/>
  <c r="AA301" i="3"/>
  <c r="P301" i="3"/>
  <c r="Q301" i="3" s="1"/>
  <c r="R301" i="3" s="1"/>
  <c r="S301" i="3" s="1"/>
  <c r="L300" i="3" l="1"/>
  <c r="T301" i="3"/>
  <c r="AH301" i="3" l="1"/>
  <c r="U300" i="3"/>
  <c r="D301" i="3" s="1"/>
  <c r="AG301" i="3"/>
  <c r="Y299" i="3"/>
  <c r="E301" i="3" l="1"/>
  <c r="H301" i="3" s="1"/>
  <c r="K301" i="3" s="1"/>
  <c r="AE301" i="3" s="1"/>
  <c r="G301" i="3"/>
  <c r="F301" i="3" l="1"/>
  <c r="I301" i="3"/>
  <c r="J301" i="3"/>
  <c r="M301" i="3"/>
  <c r="N301" i="3" s="1"/>
  <c r="V301" i="3"/>
  <c r="A302" i="3"/>
  <c r="B302" i="3" s="1"/>
  <c r="W301" i="3" l="1"/>
  <c r="L301" i="3"/>
  <c r="P302" i="3"/>
  <c r="Q302" i="3" s="1"/>
  <c r="R302" i="3" s="1"/>
  <c r="S302" i="3" s="1"/>
  <c r="AA302" i="3"/>
  <c r="AC302" i="3"/>
  <c r="AD302" i="3"/>
  <c r="Z302" i="3"/>
  <c r="U301" i="3" l="1"/>
  <c r="Y300" i="3"/>
  <c r="T302" i="3"/>
  <c r="AG302" i="3" s="1"/>
  <c r="AH302" i="3" l="1"/>
  <c r="D302" i="3"/>
  <c r="E302" i="3"/>
  <c r="H302" i="3" s="1"/>
  <c r="K302" i="3" s="1"/>
  <c r="AE302" i="3" s="1"/>
  <c r="F302" i="3" l="1"/>
  <c r="G302" i="3"/>
  <c r="M302" i="3" s="1"/>
  <c r="N302" i="3" s="1"/>
  <c r="V302" i="3"/>
  <c r="A303" i="3"/>
  <c r="B303" i="3" s="1"/>
  <c r="I302" i="3" l="1"/>
  <c r="W302" i="3" s="1"/>
  <c r="J302" i="3"/>
  <c r="L302" i="3" s="1"/>
  <c r="AD303" i="3"/>
  <c r="Z303" i="3"/>
  <c r="P303" i="3"/>
  <c r="Q303" i="3" s="1"/>
  <c r="R303" i="3" s="1"/>
  <c r="S303" i="3" s="1"/>
  <c r="AA303" i="3"/>
  <c r="AC303" i="3"/>
  <c r="T303" i="3" l="1"/>
  <c r="U302" i="3"/>
  <c r="Y301" i="3"/>
  <c r="E303" i="3" l="1"/>
  <c r="H303" i="3" s="1"/>
  <c r="K303" i="3" s="1"/>
  <c r="AE303" i="3" s="1"/>
  <c r="D303" i="3"/>
  <c r="G303" i="3" s="1"/>
  <c r="AH303" i="3"/>
  <c r="AG303" i="3"/>
  <c r="F303" i="3" l="1"/>
  <c r="I303" i="3"/>
  <c r="J303" i="3"/>
  <c r="M303" i="3"/>
  <c r="N303" i="3" s="1"/>
  <c r="V303" i="3"/>
  <c r="A304" i="3"/>
  <c r="B304" i="3" s="1"/>
  <c r="W303" i="3" l="1"/>
  <c r="L303" i="3"/>
  <c r="Z304" i="3"/>
  <c r="P304" i="3"/>
  <c r="Q304" i="3" s="1"/>
  <c r="R304" i="3" s="1"/>
  <c r="S304" i="3" s="1"/>
  <c r="AC304" i="3"/>
  <c r="AA304" i="3"/>
  <c r="U303" i="3" l="1"/>
  <c r="Y302" i="3"/>
  <c r="T304" i="3"/>
  <c r="AH304" i="3" s="1"/>
  <c r="AG304" i="3" l="1"/>
  <c r="D304" i="3"/>
  <c r="G304" i="3" s="1"/>
  <c r="E304" i="3"/>
  <c r="H304" i="3" s="1"/>
  <c r="K304" i="3" s="1"/>
  <c r="AE304" i="3" s="1"/>
  <c r="F304" i="3" l="1"/>
  <c r="I304" i="3"/>
  <c r="J304" i="3"/>
  <c r="AD304" i="3" s="1"/>
  <c r="M304" i="3"/>
  <c r="N304" i="3" s="1"/>
  <c r="V304" i="3"/>
  <c r="A305" i="3"/>
  <c r="B305" i="3" s="1"/>
  <c r="W304" i="3" l="1"/>
  <c r="L304" i="3"/>
  <c r="Z305" i="3"/>
  <c r="AA305" i="3"/>
  <c r="P305" i="3"/>
  <c r="Q305" i="3" s="1"/>
  <c r="R305" i="3" s="1"/>
  <c r="S305" i="3" s="1"/>
  <c r="AC305" i="3"/>
  <c r="AD305" i="3"/>
  <c r="U304" i="3" l="1"/>
  <c r="Y303" i="3"/>
  <c r="T305" i="3"/>
  <c r="AG305" i="3" s="1"/>
  <c r="AH305" i="3" l="1"/>
  <c r="E305" i="3"/>
  <c r="H305" i="3" s="1"/>
  <c r="K305" i="3" s="1"/>
  <c r="AE305" i="3" s="1"/>
  <c r="D305" i="3"/>
  <c r="V305" i="3" l="1"/>
  <c r="A306" i="3"/>
  <c r="B306" i="3" s="1"/>
  <c r="F305" i="3"/>
  <c r="G305" i="3"/>
  <c r="I305" i="3" l="1"/>
  <c r="W305" i="3" s="1"/>
  <c r="J305" i="3"/>
  <c r="M305" i="3"/>
  <c r="N305" i="3" s="1"/>
  <c r="AA306" i="3"/>
  <c r="Z306" i="3"/>
  <c r="P306" i="3"/>
  <c r="Q306" i="3" s="1"/>
  <c r="R306" i="3" s="1"/>
  <c r="S306" i="3" s="1"/>
  <c r="AC306" i="3"/>
  <c r="AD306" i="3"/>
  <c r="T306" i="3" l="1"/>
  <c r="L305" i="3"/>
  <c r="U305" i="3" l="1"/>
  <c r="E306" i="3" s="1"/>
  <c r="H306" i="3" s="1"/>
  <c r="AH306" i="3"/>
  <c r="AG306" i="3"/>
  <c r="Y304" i="3"/>
  <c r="D306" i="3" l="1"/>
  <c r="G306" i="3" s="1"/>
  <c r="K306" i="3"/>
  <c r="AE306" i="3" s="1"/>
  <c r="F306" i="3" l="1"/>
  <c r="I306" i="3"/>
  <c r="J306" i="3"/>
  <c r="M306" i="3"/>
  <c r="N306" i="3" s="1"/>
  <c r="V306" i="3"/>
  <c r="A307" i="3"/>
  <c r="B307" i="3" s="1"/>
  <c r="W306" i="3" l="1"/>
  <c r="L306" i="3"/>
  <c r="AC307" i="3"/>
  <c r="P307" i="3"/>
  <c r="Q307" i="3" s="1"/>
  <c r="R307" i="3" s="1"/>
  <c r="S307" i="3" s="1"/>
  <c r="AA307" i="3"/>
  <c r="Z307" i="3"/>
  <c r="AD307" i="3"/>
  <c r="T307" i="3" l="1"/>
  <c r="AH307" i="3" s="1"/>
  <c r="U306" i="3"/>
  <c r="Y305" i="3"/>
  <c r="D307" i="3" l="1"/>
  <c r="E307" i="3"/>
  <c r="H307" i="3" s="1"/>
  <c r="AG307" i="3"/>
  <c r="F307" i="3" l="1"/>
  <c r="G307" i="3"/>
  <c r="K307" i="3"/>
  <c r="AE307" i="3" s="1"/>
  <c r="I307" i="3" l="1"/>
  <c r="J307" i="3"/>
  <c r="M307" i="3"/>
  <c r="N307" i="3" s="1"/>
  <c r="V307" i="3"/>
  <c r="A308" i="3"/>
  <c r="B308" i="3" s="1"/>
  <c r="L307" i="3" l="1"/>
  <c r="Z308" i="3"/>
  <c r="AD308" i="3"/>
  <c r="AA308" i="3"/>
  <c r="P308" i="3"/>
  <c r="Q308" i="3" s="1"/>
  <c r="R308" i="3" s="1"/>
  <c r="S308" i="3" s="1"/>
  <c r="AC308" i="3"/>
  <c r="W307" i="3"/>
  <c r="T308" i="3" l="1"/>
  <c r="U307" i="3"/>
  <c r="Y306" i="3"/>
  <c r="E308" i="3" l="1"/>
  <c r="H308" i="3" s="1"/>
  <c r="K308" i="3" s="1"/>
  <c r="AE308" i="3" s="1"/>
  <c r="AH308" i="3"/>
  <c r="AG308" i="3"/>
  <c r="D308" i="3"/>
  <c r="F308" i="3" l="1"/>
  <c r="G308" i="3"/>
  <c r="V308" i="3"/>
  <c r="A309" i="3"/>
  <c r="B309" i="3" s="1"/>
  <c r="I308" i="3" l="1"/>
  <c r="W308" i="3" s="1"/>
  <c r="J308" i="3"/>
  <c r="M308" i="3"/>
  <c r="N308" i="3" s="1"/>
  <c r="AC309" i="3"/>
  <c r="AD309" i="3"/>
  <c r="P309" i="3"/>
  <c r="Q309" i="3" s="1"/>
  <c r="R309" i="3" s="1"/>
  <c r="S309" i="3" s="1"/>
  <c r="AA309" i="3"/>
  <c r="Z309" i="3"/>
  <c r="T309" i="3" l="1"/>
  <c r="L308" i="3"/>
  <c r="AG309" i="3" l="1"/>
  <c r="AH309" i="3"/>
  <c r="U308" i="3"/>
  <c r="E309" i="3" s="1"/>
  <c r="H309" i="3" s="1"/>
  <c r="Y307" i="3"/>
  <c r="D309" i="3" l="1"/>
  <c r="G309" i="3" s="1"/>
  <c r="K309" i="3"/>
  <c r="AE309" i="3" s="1"/>
  <c r="F309" i="3" l="1"/>
  <c r="V309" i="3"/>
  <c r="A310" i="3"/>
  <c r="B310" i="3" s="1"/>
  <c r="I309" i="3"/>
  <c r="J309" i="3"/>
  <c r="M309" i="3"/>
  <c r="N309" i="3" s="1"/>
  <c r="W309" i="3" l="1"/>
  <c r="L309" i="3"/>
  <c r="AC310" i="3"/>
  <c r="AD310" i="3"/>
  <c r="Z310" i="3"/>
  <c r="AA310" i="3"/>
  <c r="P310" i="3"/>
  <c r="Q310" i="3" s="1"/>
  <c r="R310" i="3" s="1"/>
  <c r="S310" i="3" s="1"/>
  <c r="T310" i="3" l="1"/>
  <c r="AH310" i="3" s="1"/>
  <c r="U309" i="3"/>
  <c r="Y308" i="3"/>
  <c r="AG310" i="3" l="1"/>
  <c r="E310" i="3"/>
  <c r="H310" i="3" s="1"/>
  <c r="D310" i="3"/>
  <c r="K310" i="3" l="1"/>
  <c r="AE310" i="3" s="1"/>
  <c r="F310" i="3"/>
  <c r="G310" i="3"/>
  <c r="I310" i="3" l="1"/>
  <c r="J310" i="3"/>
  <c r="M310" i="3"/>
  <c r="N310" i="3" s="1"/>
  <c r="V310" i="3"/>
  <c r="A311" i="3"/>
  <c r="B311" i="3" s="1"/>
  <c r="W310" i="3" l="1"/>
  <c r="L310" i="3"/>
  <c r="AA311" i="3"/>
  <c r="Z311" i="3"/>
  <c r="P311" i="3"/>
  <c r="Q311" i="3" s="1"/>
  <c r="R311" i="3" s="1"/>
  <c r="S311" i="3" s="1"/>
  <c r="AC311" i="3"/>
  <c r="AD311" i="3"/>
  <c r="T311" i="3" l="1"/>
  <c r="AH311" i="3" s="1"/>
  <c r="U310" i="3"/>
  <c r="Y309" i="3"/>
  <c r="D311" i="3" l="1"/>
  <c r="G311" i="3" s="1"/>
  <c r="E311" i="3"/>
  <c r="H311" i="3" s="1"/>
  <c r="AG311" i="3"/>
  <c r="I311" i="3" l="1"/>
  <c r="J311" i="3"/>
  <c r="M311" i="3"/>
  <c r="N311" i="3" s="1"/>
  <c r="K311" i="3"/>
  <c r="AE311" i="3" s="1"/>
  <c r="F311" i="3"/>
  <c r="V311" i="3" l="1"/>
  <c r="W311" i="3" s="1"/>
  <c r="A312" i="3"/>
  <c r="B312" i="3" s="1"/>
  <c r="L311" i="3"/>
  <c r="U311" i="3" l="1"/>
  <c r="Y310" i="3"/>
  <c r="AA312" i="3"/>
  <c r="Z312" i="3"/>
  <c r="AD312" i="3"/>
  <c r="P312" i="3"/>
  <c r="Q312" i="3" s="1"/>
  <c r="R312" i="3" s="1"/>
  <c r="S312" i="3" s="1"/>
  <c r="AC312" i="3"/>
  <c r="T312" i="3" l="1"/>
  <c r="AG312" i="3" s="1"/>
  <c r="E312" i="3" l="1"/>
  <c r="H312" i="3" s="1"/>
  <c r="K312" i="3" s="1"/>
  <c r="AE312" i="3" s="1"/>
  <c r="D312" i="3"/>
  <c r="AH312" i="3"/>
  <c r="V312" i="3" l="1"/>
  <c r="A313" i="3"/>
  <c r="B313" i="3" s="1"/>
  <c r="F312" i="3"/>
  <c r="G312" i="3"/>
  <c r="I312" i="3" l="1"/>
  <c r="W312" i="3" s="1"/>
  <c r="J312" i="3"/>
  <c r="M312" i="3"/>
  <c r="N312" i="3" s="1"/>
  <c r="Z313" i="3"/>
  <c r="AC313" i="3"/>
  <c r="P313" i="3"/>
  <c r="Q313" i="3" s="1"/>
  <c r="R313" i="3" s="1"/>
  <c r="S313" i="3" s="1"/>
  <c r="AD313" i="3"/>
  <c r="AA313" i="3"/>
  <c r="T313" i="3" l="1"/>
  <c r="L312" i="3"/>
  <c r="AG313" i="3" l="1"/>
  <c r="AH313" i="3"/>
  <c r="U312" i="3"/>
  <c r="D313" i="3" s="1"/>
  <c r="Y311" i="3"/>
  <c r="E313" i="3" l="1"/>
  <c r="H313" i="3" s="1"/>
  <c r="K313" i="3" s="1"/>
  <c r="AE313" i="3" s="1"/>
  <c r="G313" i="3"/>
  <c r="F313" i="3" l="1"/>
  <c r="I313" i="3"/>
  <c r="J313" i="3"/>
  <c r="M313" i="3"/>
  <c r="N313" i="3" s="1"/>
  <c r="V313" i="3"/>
  <c r="A314" i="3"/>
  <c r="B314" i="3" s="1"/>
  <c r="Z314" i="3" l="1"/>
  <c r="AC314" i="3"/>
  <c r="AA314" i="3"/>
  <c r="P314" i="3"/>
  <c r="Q314" i="3" s="1"/>
  <c r="R314" i="3" s="1"/>
  <c r="S314" i="3" s="1"/>
  <c r="L313" i="3"/>
  <c r="W313" i="3"/>
  <c r="U313" i="3" l="1"/>
  <c r="Y312" i="3"/>
  <c r="T314" i="3"/>
  <c r="D314" i="3" l="1"/>
  <c r="G314" i="3" s="1"/>
  <c r="AG314" i="3"/>
  <c r="AH314" i="3"/>
  <c r="E314" i="3"/>
  <c r="H314" i="3" s="1"/>
  <c r="F314" i="3" l="1"/>
  <c r="I314" i="3"/>
  <c r="J314" i="3"/>
  <c r="AD314" i="3" s="1"/>
  <c r="M314" i="3"/>
  <c r="N314" i="3" s="1"/>
  <c r="K314" i="3"/>
  <c r="AE314" i="3" s="1"/>
  <c r="V314" i="3" l="1"/>
  <c r="W314" i="3" s="1"/>
  <c r="A315" i="3"/>
  <c r="B315" i="3" s="1"/>
  <c r="L314" i="3"/>
  <c r="U314" i="3" l="1"/>
  <c r="Y313" i="3"/>
  <c r="Z315" i="3"/>
  <c r="P315" i="3"/>
  <c r="Q315" i="3" s="1"/>
  <c r="R315" i="3" s="1"/>
  <c r="S315" i="3" s="1"/>
  <c r="AD315" i="3"/>
  <c r="AA315" i="3"/>
  <c r="AC315" i="3"/>
  <c r="T315" i="3" l="1"/>
  <c r="D315" i="3" s="1"/>
  <c r="AH315" i="3" l="1"/>
  <c r="AG315" i="3"/>
  <c r="E315" i="3"/>
  <c r="H315" i="3" s="1"/>
  <c r="K315" i="3" s="1"/>
  <c r="AE315" i="3" s="1"/>
  <c r="G315" i="3"/>
  <c r="F315" i="3" l="1"/>
  <c r="I315" i="3"/>
  <c r="J315" i="3"/>
  <c r="M315" i="3"/>
  <c r="N315" i="3" s="1"/>
  <c r="V315" i="3"/>
  <c r="A316" i="3"/>
  <c r="B316" i="3" s="1"/>
  <c r="W315" i="3" l="1"/>
  <c r="L315" i="3"/>
  <c r="Z316" i="3"/>
  <c r="AC316" i="3"/>
  <c r="P316" i="3"/>
  <c r="Q316" i="3" s="1"/>
  <c r="R316" i="3" s="1"/>
  <c r="S316" i="3" s="1"/>
  <c r="AD316" i="3"/>
  <c r="AA316" i="3"/>
  <c r="U315" i="3" l="1"/>
  <c r="Y314" i="3"/>
  <c r="T316" i="3"/>
  <c r="AG316" i="3" s="1"/>
  <c r="D316" i="3" l="1"/>
  <c r="AH316" i="3"/>
  <c r="E316" i="3"/>
  <c r="H316" i="3" s="1"/>
  <c r="F316" i="3" l="1"/>
  <c r="G316" i="3"/>
  <c r="K316" i="3"/>
  <c r="AE316" i="3" s="1"/>
  <c r="V316" i="3" l="1"/>
  <c r="A317" i="3"/>
  <c r="B317" i="3" s="1"/>
  <c r="I316" i="3"/>
  <c r="J316" i="3"/>
  <c r="M316" i="3"/>
  <c r="N316" i="3" s="1"/>
  <c r="W316" i="3" l="1"/>
  <c r="L316" i="3"/>
  <c r="Z317" i="3"/>
  <c r="AA317" i="3"/>
  <c r="P317" i="3"/>
  <c r="Q317" i="3" s="1"/>
  <c r="R317" i="3" s="1"/>
  <c r="S317" i="3" s="1"/>
  <c r="AD317" i="3"/>
  <c r="AC317" i="3"/>
  <c r="T317" i="3" l="1"/>
  <c r="AG317" i="3" s="1"/>
  <c r="U316" i="3"/>
  <c r="Y315" i="3"/>
  <c r="E317" i="3" l="1"/>
  <c r="H317" i="3" s="1"/>
  <c r="K317" i="3" s="1"/>
  <c r="AE317" i="3" s="1"/>
  <c r="D317" i="3"/>
  <c r="AH317" i="3"/>
  <c r="V317" i="3" l="1"/>
  <c r="A318" i="3"/>
  <c r="B318" i="3" s="1"/>
  <c r="F317" i="3"/>
  <c r="G317" i="3"/>
  <c r="I317" i="3" l="1"/>
  <c r="W317" i="3" s="1"/>
  <c r="J317" i="3"/>
  <c r="M317" i="3"/>
  <c r="N317" i="3" s="1"/>
  <c r="AA318" i="3"/>
  <c r="P318" i="3"/>
  <c r="Q318" i="3" s="1"/>
  <c r="R318" i="3" s="1"/>
  <c r="S318" i="3" s="1"/>
  <c r="Z318" i="3"/>
  <c r="AC318" i="3"/>
  <c r="AD318" i="3"/>
  <c r="T318" i="3" l="1"/>
  <c r="L317" i="3"/>
  <c r="AH318" i="3" l="1"/>
  <c r="AG318" i="3"/>
  <c r="U317" i="3"/>
  <c r="E318" i="3" s="1"/>
  <c r="H318" i="3" s="1"/>
  <c r="Y316" i="3"/>
  <c r="K318" i="3" l="1"/>
  <c r="AE318" i="3" s="1"/>
  <c r="D318" i="3"/>
  <c r="V318" i="3" l="1"/>
  <c r="A319" i="3"/>
  <c r="B319" i="3" s="1"/>
  <c r="F318" i="3"/>
  <c r="G318" i="3"/>
  <c r="I318" i="3" l="1"/>
  <c r="W318" i="3" s="1"/>
  <c r="J318" i="3"/>
  <c r="M318" i="3"/>
  <c r="N318" i="3" s="1"/>
  <c r="Z319" i="3"/>
  <c r="AC319" i="3"/>
  <c r="P319" i="3"/>
  <c r="Q319" i="3" s="1"/>
  <c r="R319" i="3" s="1"/>
  <c r="S319" i="3" s="1"/>
  <c r="AD319" i="3"/>
  <c r="AA319" i="3"/>
  <c r="T319" i="3" l="1"/>
  <c r="L318" i="3"/>
  <c r="U318" i="3" l="1"/>
  <c r="E319" i="3" s="1"/>
  <c r="H319" i="3" s="1"/>
  <c r="AH319" i="3"/>
  <c r="AG319" i="3"/>
  <c r="Y317" i="3"/>
  <c r="D319" i="3" l="1"/>
  <c r="G319" i="3" s="1"/>
  <c r="K319" i="3"/>
  <c r="AE319" i="3" s="1"/>
  <c r="F319" i="3" l="1"/>
  <c r="V319" i="3"/>
  <c r="A320" i="3"/>
  <c r="B320" i="3" s="1"/>
  <c r="I319" i="3"/>
  <c r="J319" i="3"/>
  <c r="M319" i="3"/>
  <c r="N319" i="3" s="1"/>
  <c r="L319" i="3" l="1"/>
  <c r="W319" i="3"/>
  <c r="AA320" i="3"/>
  <c r="AC320" i="3"/>
  <c r="P320" i="3"/>
  <c r="Q320" i="3" s="1"/>
  <c r="R320" i="3" s="1"/>
  <c r="S320" i="3" s="1"/>
  <c r="Z320" i="3"/>
  <c r="AD320" i="3"/>
  <c r="U319" i="3" l="1"/>
  <c r="Y318" i="3"/>
  <c r="T320" i="3"/>
  <c r="AH320" i="3" s="1"/>
  <c r="D320" i="3" l="1"/>
  <c r="AG320" i="3"/>
  <c r="E320" i="3"/>
  <c r="H320" i="3" s="1"/>
  <c r="F320" i="3" l="1"/>
  <c r="G320" i="3"/>
  <c r="K320" i="3"/>
  <c r="AE320" i="3" s="1"/>
  <c r="I320" i="3" l="1"/>
  <c r="J320" i="3"/>
  <c r="M320" i="3"/>
  <c r="N320" i="3" s="1"/>
  <c r="V320" i="3"/>
  <c r="A321" i="3"/>
  <c r="B321" i="3" s="1"/>
  <c r="W320" i="3" l="1"/>
  <c r="L320" i="3"/>
  <c r="AC321" i="3"/>
  <c r="AA321" i="3"/>
  <c r="Z321" i="3"/>
  <c r="P321" i="3"/>
  <c r="Q321" i="3" s="1"/>
  <c r="R321" i="3" s="1"/>
  <c r="S321" i="3" s="1"/>
  <c r="AD321" i="3"/>
  <c r="U320" i="3" l="1"/>
  <c r="Y319" i="3"/>
  <c r="T321" i="3"/>
  <c r="D321" i="3" l="1"/>
  <c r="G321" i="3" s="1"/>
  <c r="AH321" i="3"/>
  <c r="E321" i="3"/>
  <c r="H321" i="3" s="1"/>
  <c r="AG321" i="3"/>
  <c r="F321" i="3" l="1"/>
  <c r="I321" i="3"/>
  <c r="J321" i="3"/>
  <c r="M321" i="3"/>
  <c r="N321" i="3" s="1"/>
  <c r="K321" i="3"/>
  <c r="AE321" i="3" s="1"/>
  <c r="V321" i="3" l="1"/>
  <c r="W321" i="3" s="1"/>
  <c r="A322" i="3"/>
  <c r="B322" i="3" s="1"/>
  <c r="L321" i="3"/>
  <c r="U321" i="3" l="1"/>
  <c r="Y320" i="3"/>
  <c r="P322" i="3"/>
  <c r="Q322" i="3" s="1"/>
  <c r="R322" i="3" s="1"/>
  <c r="S322" i="3" s="1"/>
  <c r="Z322" i="3"/>
  <c r="AC322" i="3"/>
  <c r="AD322" i="3"/>
  <c r="AA322" i="3"/>
  <c r="T322" i="3" l="1"/>
  <c r="AH322" i="3" s="1"/>
  <c r="E322" i="3" l="1"/>
  <c r="H322" i="3" s="1"/>
  <c r="K322" i="3" s="1"/>
  <c r="AE322" i="3" s="1"/>
  <c r="AG322" i="3"/>
  <c r="D322" i="3"/>
  <c r="V322" i="3" l="1"/>
  <c r="A323" i="3"/>
  <c r="B323" i="3" s="1"/>
  <c r="F322" i="3"/>
  <c r="G322" i="3"/>
  <c r="I322" i="3" l="1"/>
  <c r="W322" i="3" s="1"/>
  <c r="J322" i="3"/>
  <c r="M322" i="3"/>
  <c r="N322" i="3" s="1"/>
  <c r="P323" i="3"/>
  <c r="Q323" i="3" s="1"/>
  <c r="R323" i="3" s="1"/>
  <c r="S323" i="3" s="1"/>
  <c r="AA323" i="3"/>
  <c r="Z323" i="3"/>
  <c r="AD323" i="3"/>
  <c r="AC323" i="3"/>
  <c r="T323" i="3" l="1"/>
  <c r="L322" i="3"/>
  <c r="AH323" i="3" l="1"/>
  <c r="U322" i="3"/>
  <c r="D323" i="3" s="1"/>
  <c r="AG323" i="3"/>
  <c r="Y321" i="3"/>
  <c r="G323" i="3" l="1"/>
  <c r="E323" i="3"/>
  <c r="H323" i="3" s="1"/>
  <c r="F323" i="3" l="1"/>
  <c r="K323" i="3"/>
  <c r="AE323" i="3" s="1"/>
  <c r="I323" i="3"/>
  <c r="J323" i="3"/>
  <c r="M323" i="3"/>
  <c r="N323" i="3" s="1"/>
  <c r="L323" i="3" l="1"/>
  <c r="V323" i="3"/>
  <c r="W323" i="3" s="1"/>
  <c r="A324" i="3"/>
  <c r="B324" i="3" s="1"/>
  <c r="U323" i="3" l="1"/>
  <c r="Y322" i="3"/>
  <c r="Z324" i="3"/>
  <c r="P324" i="3"/>
  <c r="Q324" i="3" s="1"/>
  <c r="R324" i="3" s="1"/>
  <c r="S324" i="3" s="1"/>
  <c r="AA324" i="3"/>
  <c r="AC324" i="3"/>
  <c r="T324" i="3" l="1"/>
  <c r="AG324" i="3" s="1"/>
  <c r="E324" i="3" l="1"/>
  <c r="H324" i="3" s="1"/>
  <c r="K324" i="3" s="1"/>
  <c r="AE324" i="3" s="1"/>
  <c r="AH324" i="3"/>
  <c r="D324" i="3"/>
  <c r="V324" i="3" l="1"/>
  <c r="A325" i="3"/>
  <c r="B325" i="3" s="1"/>
  <c r="F324" i="3"/>
  <c r="G324" i="3"/>
  <c r="I324" i="3" l="1"/>
  <c r="W324" i="3" s="1"/>
  <c r="J324" i="3"/>
  <c r="AD324" i="3" s="1"/>
  <c r="M324" i="3"/>
  <c r="N324" i="3" s="1"/>
  <c r="P325" i="3"/>
  <c r="Q325" i="3" s="1"/>
  <c r="R325" i="3" s="1"/>
  <c r="S325" i="3" s="1"/>
  <c r="AC325" i="3"/>
  <c r="Z325" i="3"/>
  <c r="AA325" i="3"/>
  <c r="T325" i="3" l="1"/>
  <c r="L324" i="3"/>
  <c r="AG325" i="3" l="1"/>
  <c r="U324" i="3"/>
  <c r="D325" i="3" s="1"/>
  <c r="AH325" i="3"/>
  <c r="Y323" i="3"/>
  <c r="E325" i="3" l="1"/>
  <c r="H325" i="3" s="1"/>
  <c r="K325" i="3" s="1"/>
  <c r="AE325" i="3" s="1"/>
  <c r="G325" i="3"/>
  <c r="F325" i="3" l="1"/>
  <c r="V325" i="3"/>
  <c r="A326" i="3"/>
  <c r="B326" i="3" s="1"/>
  <c r="I325" i="3"/>
  <c r="J325" i="3"/>
  <c r="AD325" i="3" s="1"/>
  <c r="M325" i="3"/>
  <c r="N325" i="3" s="1"/>
  <c r="L325" i="3" l="1"/>
  <c r="W325" i="3"/>
  <c r="P326" i="3"/>
  <c r="Q326" i="3" s="1"/>
  <c r="R326" i="3" s="1"/>
  <c r="S326" i="3" s="1"/>
  <c r="AA326" i="3"/>
  <c r="AC326" i="3"/>
  <c r="Z326" i="3"/>
  <c r="U325" i="3" l="1"/>
  <c r="Y324" i="3"/>
  <c r="T326" i="3"/>
  <c r="AH326" i="3" s="1"/>
  <c r="E326" i="3" l="1"/>
  <c r="H326" i="3" s="1"/>
  <c r="K326" i="3" s="1"/>
  <c r="AE326" i="3" s="1"/>
  <c r="AG326" i="3"/>
  <c r="D326" i="3"/>
  <c r="G326" i="3" s="1"/>
  <c r="F326" i="3" l="1"/>
  <c r="I326" i="3"/>
  <c r="J326" i="3"/>
  <c r="AD326" i="3" s="1"/>
  <c r="M326" i="3"/>
  <c r="N326" i="3" s="1"/>
  <c r="V326" i="3"/>
  <c r="A327" i="3"/>
  <c r="B327" i="3" s="1"/>
  <c r="W326" i="3" l="1"/>
  <c r="L326" i="3"/>
  <c r="Z327" i="3"/>
  <c r="AA327" i="3"/>
  <c r="P327" i="3"/>
  <c r="Q327" i="3" s="1"/>
  <c r="R327" i="3" s="1"/>
  <c r="S327" i="3" s="1"/>
  <c r="AC327" i="3"/>
  <c r="U326" i="3" l="1"/>
  <c r="Y325" i="3"/>
  <c r="T327" i="3"/>
  <c r="AH327" i="3" s="1"/>
  <c r="E327" i="3" l="1"/>
  <c r="H327" i="3" s="1"/>
  <c r="K327" i="3" s="1"/>
  <c r="AE327" i="3" s="1"/>
  <c r="D327" i="3"/>
  <c r="AG327" i="3"/>
  <c r="F327" i="3" l="1"/>
  <c r="G327" i="3"/>
  <c r="M327" i="3" s="1"/>
  <c r="N327" i="3" s="1"/>
  <c r="V327" i="3"/>
  <c r="A328" i="3"/>
  <c r="B328" i="3" s="1"/>
  <c r="I327" i="3" l="1"/>
  <c r="W327" i="3" s="1"/>
  <c r="J327" i="3"/>
  <c r="Z328" i="3"/>
  <c r="P328" i="3"/>
  <c r="Q328" i="3" s="1"/>
  <c r="R328" i="3" s="1"/>
  <c r="S328" i="3" s="1"/>
  <c r="AA328" i="3"/>
  <c r="AC328" i="3"/>
  <c r="L327" i="3" l="1"/>
  <c r="U327" i="3" s="1"/>
  <c r="AD327" i="3"/>
  <c r="T328" i="3"/>
  <c r="AG328" i="3" l="1"/>
  <c r="Y326" i="3"/>
  <c r="AH328" i="3"/>
  <c r="E328" i="3"/>
  <c r="H328" i="3" s="1"/>
  <c r="K328" i="3" s="1"/>
  <c r="AE328" i="3" s="1"/>
  <c r="D328" i="3"/>
  <c r="V328" i="3" l="1"/>
  <c r="A329" i="3"/>
  <c r="B329" i="3" s="1"/>
  <c r="F328" i="3"/>
  <c r="G328" i="3"/>
  <c r="I328" i="3" l="1"/>
  <c r="W328" i="3" s="1"/>
  <c r="J328" i="3"/>
  <c r="AD328" i="3" s="1"/>
  <c r="M328" i="3"/>
  <c r="N328" i="3" s="1"/>
  <c r="P329" i="3"/>
  <c r="Q329" i="3" s="1"/>
  <c r="R329" i="3" s="1"/>
  <c r="S329" i="3" s="1"/>
  <c r="Z329" i="3"/>
  <c r="AC329" i="3"/>
  <c r="AA329" i="3"/>
  <c r="T329" i="3" l="1"/>
  <c r="L328" i="3"/>
  <c r="AH329" i="3" l="1"/>
  <c r="U328" i="3"/>
  <c r="D329" i="3" s="1"/>
  <c r="AG329" i="3"/>
  <c r="Y327" i="3"/>
  <c r="E329" i="3" l="1"/>
  <c r="H329" i="3" s="1"/>
  <c r="K329" i="3" s="1"/>
  <c r="AE329" i="3" s="1"/>
  <c r="G329" i="3"/>
  <c r="F329" i="3" l="1"/>
  <c r="I329" i="3"/>
  <c r="J329" i="3"/>
  <c r="AD329" i="3" s="1"/>
  <c r="M329" i="3"/>
  <c r="N329" i="3" s="1"/>
  <c r="V329" i="3"/>
  <c r="A330" i="3"/>
  <c r="B330" i="3" s="1"/>
  <c r="W329" i="3" l="1"/>
  <c r="L329" i="3"/>
  <c r="AA330" i="3"/>
  <c r="AC330" i="3"/>
  <c r="P330" i="3"/>
  <c r="Q330" i="3" s="1"/>
  <c r="R330" i="3" s="1"/>
  <c r="S330" i="3" s="1"/>
  <c r="Z330" i="3"/>
  <c r="U329" i="3" l="1"/>
  <c r="Y328" i="3"/>
  <c r="T330" i="3"/>
  <c r="AH330" i="3" s="1"/>
  <c r="AG330" i="3" l="1"/>
  <c r="E330" i="3"/>
  <c r="H330" i="3" s="1"/>
  <c r="D330" i="3"/>
  <c r="K330" i="3" l="1"/>
  <c r="AE330" i="3" s="1"/>
  <c r="F330" i="3"/>
  <c r="G330" i="3"/>
  <c r="I330" i="3" l="1"/>
  <c r="J330" i="3"/>
  <c r="AD330" i="3" s="1"/>
  <c r="M330" i="3"/>
  <c r="N330" i="3" s="1"/>
  <c r="V330" i="3"/>
  <c r="A331" i="3"/>
  <c r="B331" i="3" s="1"/>
  <c r="W330" i="3" l="1"/>
  <c r="L330" i="3"/>
  <c r="P331" i="3"/>
  <c r="Q331" i="3" s="1"/>
  <c r="R331" i="3" s="1"/>
  <c r="S331" i="3" s="1"/>
  <c r="AA331" i="3"/>
  <c r="AC331" i="3"/>
  <c r="Z331" i="3"/>
  <c r="U330" i="3" l="1"/>
  <c r="Y329" i="3"/>
  <c r="T331" i="3"/>
  <c r="D331" i="3" l="1"/>
  <c r="G331" i="3" s="1"/>
  <c r="AH331" i="3"/>
  <c r="AG331" i="3"/>
  <c r="E331" i="3"/>
  <c r="H331" i="3" s="1"/>
  <c r="F331" i="3" l="1"/>
  <c r="I331" i="3"/>
  <c r="J331" i="3"/>
  <c r="AD331" i="3" s="1"/>
  <c r="M331" i="3"/>
  <c r="N331" i="3" s="1"/>
  <c r="K331" i="3"/>
  <c r="AE331" i="3" s="1"/>
  <c r="V331" i="3" l="1"/>
  <c r="W331" i="3" s="1"/>
  <c r="A332" i="3"/>
  <c r="B332" i="3" s="1"/>
  <c r="L331" i="3"/>
  <c r="U331" i="3" l="1"/>
  <c r="Y330" i="3"/>
  <c r="AA332" i="3"/>
  <c r="Z332" i="3"/>
  <c r="AC332" i="3"/>
  <c r="P332" i="3"/>
  <c r="Q332" i="3" s="1"/>
  <c r="R332" i="3" s="1"/>
  <c r="S332" i="3" s="1"/>
  <c r="T332" i="3" l="1"/>
  <c r="AG332" i="3" s="1"/>
  <c r="E332" i="3" l="1"/>
  <c r="H332" i="3" s="1"/>
  <c r="K332" i="3" s="1"/>
  <c r="AE332" i="3" s="1"/>
  <c r="D332" i="3"/>
  <c r="AH332" i="3"/>
  <c r="V332" i="3" l="1"/>
  <c r="A333" i="3"/>
  <c r="B333" i="3" s="1"/>
  <c r="F332" i="3"/>
  <c r="G332" i="3"/>
  <c r="I332" i="3" l="1"/>
  <c r="W332" i="3" s="1"/>
  <c r="J332" i="3"/>
  <c r="AD332" i="3" s="1"/>
  <c r="M332" i="3"/>
  <c r="N332" i="3" s="1"/>
  <c r="AA333" i="3"/>
  <c r="P333" i="3"/>
  <c r="Q333" i="3" s="1"/>
  <c r="R333" i="3" s="1"/>
  <c r="S333" i="3" s="1"/>
  <c r="Z333" i="3"/>
  <c r="AC333" i="3"/>
  <c r="T333" i="3" l="1"/>
  <c r="L332" i="3"/>
  <c r="AH333" i="3" l="1"/>
  <c r="AG333" i="3"/>
  <c r="U332" i="3"/>
  <c r="D333" i="3" s="1"/>
  <c r="Y331" i="3"/>
  <c r="E333" i="3" l="1"/>
  <c r="H333" i="3" s="1"/>
  <c r="K333" i="3" s="1"/>
  <c r="AE333" i="3" s="1"/>
  <c r="G333" i="3"/>
  <c r="F333" i="3" l="1"/>
  <c r="I333" i="3"/>
  <c r="J333" i="3"/>
  <c r="AD333" i="3" s="1"/>
  <c r="M333" i="3"/>
  <c r="N333" i="3" s="1"/>
  <c r="V333" i="3"/>
  <c r="A334" i="3"/>
  <c r="B334" i="3" s="1"/>
  <c r="W333" i="3" l="1"/>
  <c r="L333" i="3"/>
  <c r="AA334" i="3"/>
  <c r="P334" i="3"/>
  <c r="Q334" i="3" s="1"/>
  <c r="R334" i="3" s="1"/>
  <c r="S334" i="3" s="1"/>
  <c r="Z334" i="3"/>
  <c r="AC334" i="3"/>
  <c r="T334" i="3" l="1"/>
  <c r="AH334" i="3" s="1"/>
  <c r="U333" i="3"/>
  <c r="Y332" i="3"/>
  <c r="D334" i="3" l="1"/>
  <c r="G334" i="3" s="1"/>
  <c r="E334" i="3"/>
  <c r="H334" i="3" s="1"/>
  <c r="AG334" i="3"/>
  <c r="F334" i="3" l="1"/>
  <c r="I334" i="3"/>
  <c r="J334" i="3"/>
  <c r="AD334" i="3" s="1"/>
  <c r="M334" i="3"/>
  <c r="N334" i="3" s="1"/>
  <c r="K334" i="3"/>
  <c r="AE334" i="3" s="1"/>
  <c r="L334" i="3" l="1"/>
  <c r="V334" i="3"/>
  <c r="W334" i="3" s="1"/>
  <c r="A335" i="3"/>
  <c r="B335" i="3" s="1"/>
  <c r="U334" i="3" l="1"/>
  <c r="Y333" i="3"/>
  <c r="AC335" i="3"/>
  <c r="P335" i="3"/>
  <c r="Q335" i="3" s="1"/>
  <c r="R335" i="3" s="1"/>
  <c r="S335" i="3" s="1"/>
  <c r="AA335" i="3"/>
  <c r="Z335" i="3"/>
  <c r="T335" i="3" l="1"/>
  <c r="AG335" i="3" s="1"/>
  <c r="AH335" i="3" l="1"/>
  <c r="D335" i="3"/>
  <c r="E335" i="3"/>
  <c r="H335" i="3" s="1"/>
  <c r="F335" i="3" l="1"/>
  <c r="G335" i="3"/>
  <c r="K335" i="3"/>
  <c r="AE335" i="3" s="1"/>
  <c r="I335" i="3" l="1"/>
  <c r="J335" i="3"/>
  <c r="AD335" i="3" s="1"/>
  <c r="M335" i="3"/>
  <c r="N335" i="3" s="1"/>
  <c r="V335" i="3"/>
  <c r="A336" i="3"/>
  <c r="B336" i="3" s="1"/>
  <c r="W335" i="3" l="1"/>
  <c r="L335" i="3"/>
  <c r="AA336" i="3"/>
  <c r="P336" i="3"/>
  <c r="Q336" i="3" s="1"/>
  <c r="R336" i="3" s="1"/>
  <c r="S336" i="3" s="1"/>
  <c r="AC336" i="3"/>
  <c r="Z336" i="3"/>
  <c r="T336" i="3" l="1"/>
  <c r="AG336" i="3" s="1"/>
  <c r="U335" i="3"/>
  <c r="Y334" i="3"/>
  <c r="E336" i="3" l="1"/>
  <c r="H336" i="3" s="1"/>
  <c r="D336" i="3"/>
  <c r="AH336" i="3"/>
  <c r="K336" i="3" l="1"/>
  <c r="AE336" i="3" s="1"/>
  <c r="F336" i="3"/>
  <c r="G336" i="3"/>
  <c r="I336" i="3" l="1"/>
  <c r="J336" i="3"/>
  <c r="AD336" i="3" s="1"/>
  <c r="M336" i="3"/>
  <c r="N336" i="3" s="1"/>
  <c r="V336" i="3"/>
  <c r="A337" i="3"/>
  <c r="B337" i="3" s="1"/>
  <c r="W336" i="3" l="1"/>
  <c r="P337" i="3"/>
  <c r="Q337" i="3" s="1"/>
  <c r="R337" i="3" s="1"/>
  <c r="S337" i="3" s="1"/>
  <c r="AC337" i="3"/>
  <c r="AA337" i="3"/>
  <c r="Z337" i="3"/>
  <c r="L336" i="3"/>
  <c r="T337" i="3" l="1"/>
  <c r="U336" i="3"/>
  <c r="Y335" i="3"/>
  <c r="E337" i="3" l="1"/>
  <c r="H337" i="3" s="1"/>
  <c r="K337" i="3" s="1"/>
  <c r="AE337" i="3" s="1"/>
  <c r="AH337" i="3"/>
  <c r="AG337" i="3"/>
  <c r="D337" i="3"/>
  <c r="V337" i="3" l="1"/>
  <c r="A338" i="3"/>
  <c r="B338" i="3" s="1"/>
  <c r="F337" i="3"/>
  <c r="G337" i="3"/>
  <c r="I337" i="3" l="1"/>
  <c r="W337" i="3" s="1"/>
  <c r="J337" i="3"/>
  <c r="AD337" i="3" s="1"/>
  <c r="M337" i="3"/>
  <c r="N337" i="3" s="1"/>
  <c r="P338" i="3"/>
  <c r="Q338" i="3" s="1"/>
  <c r="R338" i="3" s="1"/>
  <c r="S338" i="3" s="1"/>
  <c r="Z338" i="3"/>
  <c r="AC338" i="3"/>
  <c r="AA338" i="3"/>
  <c r="T338" i="3" l="1"/>
  <c r="L337" i="3"/>
  <c r="AH338" i="3" l="1"/>
  <c r="U337" i="3"/>
  <c r="E338" i="3" s="1"/>
  <c r="H338" i="3" s="1"/>
  <c r="AG338" i="3"/>
  <c r="Y336" i="3"/>
  <c r="D338" i="3" l="1"/>
  <c r="F338" i="3" s="1"/>
  <c r="K338" i="3"/>
  <c r="AE338" i="3" s="1"/>
  <c r="G338" i="3" l="1"/>
  <c r="M338" i="3" s="1"/>
  <c r="N338" i="3" s="1"/>
  <c r="V338" i="3"/>
  <c r="A339" i="3"/>
  <c r="B339" i="3" s="1"/>
  <c r="I338" i="3" l="1"/>
  <c r="W338" i="3" s="1"/>
  <c r="J338" i="3"/>
  <c r="Z339" i="3"/>
  <c r="P339" i="3"/>
  <c r="Q339" i="3" s="1"/>
  <c r="R339" i="3" s="1"/>
  <c r="S339" i="3" s="1"/>
  <c r="AA339" i="3"/>
  <c r="AC339" i="3"/>
  <c r="L338" i="3" l="1"/>
  <c r="U338" i="3" s="1"/>
  <c r="AD338" i="3"/>
  <c r="T339" i="3"/>
  <c r="Y337" i="3" l="1"/>
  <c r="AG339" i="3"/>
  <c r="AH339" i="3"/>
  <c r="E339" i="3"/>
  <c r="H339" i="3" s="1"/>
  <c r="D339" i="3"/>
  <c r="K339" i="3" l="1"/>
  <c r="AE339" i="3" s="1"/>
  <c r="F339" i="3"/>
  <c r="G339" i="3"/>
  <c r="V339" i="3" l="1"/>
  <c r="A340" i="3"/>
  <c r="B340" i="3" s="1"/>
  <c r="I339" i="3"/>
  <c r="J339" i="3"/>
  <c r="AD339" i="3" s="1"/>
  <c r="M339" i="3"/>
  <c r="N339" i="3" s="1"/>
  <c r="W339" i="3" l="1"/>
  <c r="L339" i="3"/>
  <c r="Z340" i="3"/>
  <c r="P340" i="3"/>
  <c r="Q340" i="3" s="1"/>
  <c r="R340" i="3" s="1"/>
  <c r="S340" i="3" s="1"/>
  <c r="AC340" i="3"/>
  <c r="AA340" i="3"/>
  <c r="T340" i="3" l="1"/>
  <c r="U339" i="3"/>
  <c r="Y338" i="3"/>
  <c r="D340" i="3" l="1"/>
  <c r="G340" i="3" s="1"/>
  <c r="E340" i="3"/>
  <c r="H340" i="3" s="1"/>
  <c r="K340" i="3" s="1"/>
  <c r="AE340" i="3" s="1"/>
  <c r="AH340" i="3"/>
  <c r="AG340" i="3"/>
  <c r="F340" i="3" l="1"/>
  <c r="V340" i="3"/>
  <c r="A341" i="3"/>
  <c r="B341" i="3" s="1"/>
  <c r="I340" i="3"/>
  <c r="J340" i="3"/>
  <c r="AD340" i="3" s="1"/>
  <c r="M340" i="3"/>
  <c r="N340" i="3" s="1"/>
  <c r="W340" i="3" l="1"/>
  <c r="L340" i="3"/>
  <c r="Z341" i="3"/>
  <c r="P341" i="3"/>
  <c r="Q341" i="3" s="1"/>
  <c r="R341" i="3" s="1"/>
  <c r="S341" i="3" s="1"/>
  <c r="AA341" i="3"/>
  <c r="AC341" i="3"/>
  <c r="U340" i="3" l="1"/>
  <c r="Y339" i="3"/>
  <c r="T341" i="3"/>
  <c r="AG341" i="3" s="1"/>
  <c r="D341" i="3" l="1"/>
  <c r="AH341" i="3"/>
  <c r="E341" i="3"/>
  <c r="H341" i="3" s="1"/>
  <c r="F341" i="3" l="1"/>
  <c r="G341" i="3"/>
  <c r="K341" i="3"/>
  <c r="AE341" i="3" s="1"/>
  <c r="I341" i="3" l="1"/>
  <c r="J341" i="3"/>
  <c r="AD341" i="3" s="1"/>
  <c r="M341" i="3"/>
  <c r="N341" i="3" s="1"/>
  <c r="V341" i="3"/>
  <c r="A342" i="3"/>
  <c r="B342" i="3" s="1"/>
  <c r="L341" i="3" l="1"/>
  <c r="W341" i="3"/>
  <c r="Z342" i="3"/>
  <c r="P342" i="3"/>
  <c r="Q342" i="3" s="1"/>
  <c r="R342" i="3" s="1"/>
  <c r="S342" i="3" s="1"/>
  <c r="AA342" i="3"/>
  <c r="AC342" i="3"/>
  <c r="U341" i="3" l="1"/>
  <c r="Y340" i="3"/>
  <c r="T342" i="3"/>
  <c r="D342" i="3" l="1"/>
  <c r="G342" i="3" s="1"/>
  <c r="AH342" i="3"/>
  <c r="E342" i="3"/>
  <c r="H342" i="3" s="1"/>
  <c r="AG342" i="3"/>
  <c r="F342" i="3" l="1"/>
  <c r="I342" i="3"/>
  <c r="J342" i="3"/>
  <c r="AD342" i="3" s="1"/>
  <c r="M342" i="3"/>
  <c r="N342" i="3" s="1"/>
  <c r="K342" i="3"/>
  <c r="AE342" i="3" s="1"/>
  <c r="V342" i="3" l="1"/>
  <c r="W342" i="3" s="1"/>
  <c r="A343" i="3"/>
  <c r="B343" i="3" s="1"/>
  <c r="L342" i="3"/>
  <c r="U342" i="3" l="1"/>
  <c r="Y341" i="3"/>
  <c r="P343" i="3"/>
  <c r="Q343" i="3" s="1"/>
  <c r="R343" i="3" s="1"/>
  <c r="S343" i="3" s="1"/>
  <c r="AA343" i="3"/>
  <c r="Z343" i="3"/>
  <c r="AC343" i="3"/>
  <c r="T343" i="3" l="1"/>
  <c r="D343" i="3" s="1"/>
  <c r="E343" i="3" l="1"/>
  <c r="H343" i="3" s="1"/>
  <c r="K343" i="3" s="1"/>
  <c r="AE343" i="3" s="1"/>
  <c r="G343" i="3"/>
  <c r="AG343" i="3"/>
  <c r="AH343" i="3"/>
  <c r="F343" i="3" l="1"/>
  <c r="I343" i="3"/>
  <c r="J343" i="3"/>
  <c r="AD343" i="3" s="1"/>
  <c r="M343" i="3"/>
  <c r="N343" i="3" s="1"/>
  <c r="V343" i="3"/>
  <c r="A344" i="3"/>
  <c r="B344" i="3" s="1"/>
  <c r="W343" i="3" l="1"/>
  <c r="L343" i="3"/>
  <c r="AA344" i="3"/>
  <c r="Z344" i="3"/>
  <c r="P344" i="3"/>
  <c r="Q344" i="3" s="1"/>
  <c r="R344" i="3" s="1"/>
  <c r="S344" i="3" s="1"/>
  <c r="AC344" i="3"/>
  <c r="U343" i="3" l="1"/>
  <c r="Y342" i="3"/>
  <c r="T344" i="3"/>
  <c r="AH344" i="3" s="1"/>
  <c r="AG344" i="3" l="1"/>
  <c r="E344" i="3"/>
  <c r="H344" i="3" s="1"/>
  <c r="D344" i="3"/>
  <c r="F344" i="3" l="1"/>
  <c r="G344" i="3"/>
  <c r="K344" i="3"/>
  <c r="AE344" i="3" s="1"/>
  <c r="I344" i="3" l="1"/>
  <c r="J344" i="3"/>
  <c r="AD344" i="3" s="1"/>
  <c r="M344" i="3"/>
  <c r="N344" i="3" s="1"/>
  <c r="V344" i="3"/>
  <c r="A345" i="3"/>
  <c r="B345" i="3" s="1"/>
  <c r="W344" i="3" l="1"/>
  <c r="P345" i="3"/>
  <c r="Q345" i="3" s="1"/>
  <c r="R345" i="3" s="1"/>
  <c r="S345" i="3" s="1"/>
  <c r="Z345" i="3"/>
  <c r="AC345" i="3"/>
  <c r="AD345" i="3"/>
  <c r="AA345" i="3"/>
  <c r="L344" i="3"/>
  <c r="T345" i="3" l="1"/>
  <c r="U344" i="3"/>
  <c r="Y343" i="3"/>
  <c r="E345" i="3" l="1"/>
  <c r="H345" i="3" s="1"/>
  <c r="K345" i="3" s="1"/>
  <c r="AE345" i="3" s="1"/>
  <c r="AH345" i="3"/>
  <c r="D345" i="3"/>
  <c r="AG345" i="3"/>
  <c r="F345" i="3" l="1"/>
  <c r="G345" i="3"/>
  <c r="V345" i="3"/>
  <c r="A346" i="3"/>
  <c r="B346" i="3" s="1"/>
  <c r="AD346" i="3" l="1"/>
  <c r="AC346" i="3"/>
  <c r="P346" i="3"/>
  <c r="Q346" i="3" s="1"/>
  <c r="R346" i="3" s="1"/>
  <c r="S346" i="3" s="1"/>
  <c r="AA346" i="3"/>
  <c r="Z346" i="3"/>
  <c r="I345" i="3"/>
  <c r="W345" i="3" s="1"/>
  <c r="J345" i="3"/>
  <c r="M345" i="3"/>
  <c r="N345" i="3" s="1"/>
  <c r="L345" i="3" l="1"/>
  <c r="T346" i="3"/>
  <c r="AH346" i="3" l="1"/>
  <c r="AG346" i="3"/>
  <c r="U345" i="3"/>
  <c r="D346" i="3" s="1"/>
  <c r="Y344" i="3"/>
  <c r="G346" i="3" l="1"/>
  <c r="E346" i="3"/>
  <c r="H346" i="3" s="1"/>
  <c r="F346" i="3" l="1"/>
  <c r="I346" i="3"/>
  <c r="J346" i="3"/>
  <c r="M346" i="3"/>
  <c r="N346" i="3" s="1"/>
  <c r="K346" i="3"/>
  <c r="AE346" i="3" s="1"/>
  <c r="V346" i="3" l="1"/>
  <c r="W346" i="3" s="1"/>
  <c r="A347" i="3"/>
  <c r="B347" i="3" s="1"/>
  <c r="L346" i="3"/>
  <c r="U346" i="3" l="1"/>
  <c r="Y345" i="3"/>
  <c r="AC347" i="3"/>
  <c r="Z347" i="3"/>
  <c r="AA347" i="3"/>
  <c r="P347" i="3"/>
  <c r="Q347" i="3" s="1"/>
  <c r="R347" i="3" s="1"/>
  <c r="S347" i="3" s="1"/>
  <c r="AD347" i="3"/>
  <c r="T347" i="3" l="1"/>
  <c r="E347" i="3" s="1"/>
  <c r="H347" i="3" s="1"/>
  <c r="K347" i="3" l="1"/>
  <c r="AE347" i="3" s="1"/>
  <c r="AH347" i="3"/>
  <c r="AG347" i="3"/>
  <c r="D347" i="3"/>
  <c r="F347" i="3" l="1"/>
  <c r="G347" i="3"/>
  <c r="V347" i="3"/>
  <c r="A348" i="3"/>
  <c r="B348" i="3" s="1"/>
  <c r="I347" i="3" l="1"/>
  <c r="W347" i="3" s="1"/>
  <c r="J347" i="3"/>
  <c r="M347" i="3"/>
  <c r="N347" i="3" s="1"/>
  <c r="AC348" i="3"/>
  <c r="AA348" i="3"/>
  <c r="P348" i="3"/>
  <c r="Q348" i="3" s="1"/>
  <c r="R348" i="3" s="1"/>
  <c r="S348" i="3" s="1"/>
  <c r="AD348" i="3"/>
  <c r="Z348" i="3"/>
  <c r="L347" i="3" l="1"/>
  <c r="T348" i="3"/>
  <c r="U347" i="3" l="1"/>
  <c r="D348" i="3" s="1"/>
  <c r="AH348" i="3"/>
  <c r="AG348" i="3"/>
  <c r="Y346" i="3"/>
  <c r="E348" i="3" l="1"/>
  <c r="H348" i="3" s="1"/>
  <c r="K348" i="3" s="1"/>
  <c r="AE348" i="3" s="1"/>
  <c r="G348" i="3"/>
  <c r="F348" i="3" l="1"/>
  <c r="I348" i="3"/>
  <c r="J348" i="3"/>
  <c r="M348" i="3"/>
  <c r="N348" i="3" s="1"/>
  <c r="V348" i="3"/>
  <c r="A349" i="3"/>
  <c r="B349" i="3" s="1"/>
  <c r="W348" i="3" l="1"/>
  <c r="L348" i="3"/>
  <c r="AC349" i="3"/>
  <c r="P349" i="3"/>
  <c r="Q349" i="3" s="1"/>
  <c r="R349" i="3" s="1"/>
  <c r="S349" i="3" s="1"/>
  <c r="AA349" i="3"/>
  <c r="Z349" i="3"/>
  <c r="AD349" i="3"/>
  <c r="U348" i="3" l="1"/>
  <c r="Y347" i="3"/>
  <c r="T349" i="3"/>
  <c r="AG349" i="3" s="1"/>
  <c r="E349" i="3" l="1"/>
  <c r="H349" i="3" s="1"/>
  <c r="K349" i="3" s="1"/>
  <c r="AE349" i="3" s="1"/>
  <c r="D349" i="3"/>
  <c r="AH349" i="3"/>
  <c r="V349" i="3" l="1"/>
  <c r="A350" i="3"/>
  <c r="B350" i="3" s="1"/>
  <c r="F349" i="3"/>
  <c r="G349" i="3"/>
  <c r="I349" i="3" l="1"/>
  <c r="W349" i="3" s="1"/>
  <c r="J349" i="3"/>
  <c r="M349" i="3"/>
  <c r="N349" i="3" s="1"/>
  <c r="AD350" i="3"/>
  <c r="P350" i="3"/>
  <c r="Q350" i="3" s="1"/>
  <c r="R350" i="3" s="1"/>
  <c r="S350" i="3" s="1"/>
  <c r="Z350" i="3"/>
  <c r="AC350" i="3"/>
  <c r="AA350" i="3"/>
  <c r="T350" i="3" l="1"/>
  <c r="L349" i="3"/>
  <c r="U349" i="3" l="1"/>
  <c r="D350" i="3" s="1"/>
  <c r="AG350" i="3"/>
  <c r="AH350" i="3"/>
  <c r="Y348" i="3"/>
  <c r="E350" i="3" l="1"/>
  <c r="H350" i="3" s="1"/>
  <c r="K350" i="3" s="1"/>
  <c r="AE350" i="3" s="1"/>
  <c r="G350" i="3"/>
  <c r="F350" i="3" l="1"/>
  <c r="V350" i="3"/>
  <c r="A351" i="3"/>
  <c r="B351" i="3" s="1"/>
  <c r="I350" i="3"/>
  <c r="J350" i="3"/>
  <c r="M350" i="3"/>
  <c r="N350" i="3" s="1"/>
  <c r="W350" i="3" l="1"/>
  <c r="L350" i="3"/>
  <c r="AA351" i="3"/>
  <c r="P351" i="3"/>
  <c r="Q351" i="3" s="1"/>
  <c r="R351" i="3" s="1"/>
  <c r="S351" i="3" s="1"/>
  <c r="Z351" i="3"/>
  <c r="AC351" i="3"/>
  <c r="AD351" i="3"/>
  <c r="U350" i="3" l="1"/>
  <c r="Y349" i="3"/>
  <c r="T351" i="3"/>
  <c r="D351" i="3" l="1"/>
  <c r="G351" i="3" s="1"/>
  <c r="AH351" i="3"/>
  <c r="E351" i="3"/>
  <c r="H351" i="3" s="1"/>
  <c r="K351" i="3" s="1"/>
  <c r="AE351" i="3" s="1"/>
  <c r="AG351" i="3"/>
  <c r="F351" i="3" l="1"/>
  <c r="V351" i="3"/>
  <c r="A352" i="3"/>
  <c r="B352" i="3" s="1"/>
  <c r="I351" i="3"/>
  <c r="J351" i="3"/>
  <c r="M351" i="3"/>
  <c r="N351" i="3" s="1"/>
  <c r="L351" i="3" l="1"/>
  <c r="W351" i="3"/>
  <c r="AC352" i="3"/>
  <c r="AD352" i="3"/>
  <c r="P352" i="3"/>
  <c r="Q352" i="3" s="1"/>
  <c r="R352" i="3" s="1"/>
  <c r="S352" i="3" s="1"/>
  <c r="AA352" i="3"/>
  <c r="Z352" i="3"/>
  <c r="U351" i="3" l="1"/>
  <c r="Y350" i="3"/>
  <c r="T352" i="3"/>
  <c r="E352" i="3" l="1"/>
  <c r="H352" i="3" s="1"/>
  <c r="K352" i="3" s="1"/>
  <c r="AE352" i="3" s="1"/>
  <c r="AH352" i="3"/>
  <c r="D352" i="3"/>
  <c r="AG352" i="3"/>
  <c r="F352" i="3" l="1"/>
  <c r="G352" i="3"/>
  <c r="V352" i="3"/>
  <c r="A353" i="3"/>
  <c r="B353" i="3" s="1"/>
  <c r="AC353" i="3" l="1"/>
  <c r="AD353" i="3"/>
  <c r="AA353" i="3"/>
  <c r="P353" i="3"/>
  <c r="Q353" i="3" s="1"/>
  <c r="R353" i="3" s="1"/>
  <c r="S353" i="3" s="1"/>
  <c r="Z353" i="3"/>
  <c r="I352" i="3"/>
  <c r="W352" i="3" s="1"/>
  <c r="J352" i="3"/>
  <c r="M352" i="3"/>
  <c r="N352" i="3" s="1"/>
  <c r="T353" i="3" l="1"/>
  <c r="L352" i="3"/>
  <c r="U352" i="3" l="1"/>
  <c r="D353" i="3" s="1"/>
  <c r="AH353" i="3"/>
  <c r="AG353" i="3"/>
  <c r="Y351" i="3"/>
  <c r="E353" i="3" l="1"/>
  <c r="H353" i="3" s="1"/>
  <c r="K353" i="3" s="1"/>
  <c r="AE353" i="3" s="1"/>
  <c r="G353" i="3"/>
  <c r="F353" i="3" l="1"/>
  <c r="I353" i="3"/>
  <c r="J353" i="3"/>
  <c r="M353" i="3"/>
  <c r="N353" i="3" s="1"/>
  <c r="V353" i="3"/>
  <c r="A354" i="3"/>
  <c r="B354" i="3" s="1"/>
  <c r="W353" i="3" l="1"/>
  <c r="L353" i="3"/>
  <c r="P354" i="3"/>
  <c r="Q354" i="3" s="1"/>
  <c r="R354" i="3" s="1"/>
  <c r="S354" i="3" s="1"/>
  <c r="AC354" i="3"/>
  <c r="Z354" i="3"/>
  <c r="AA354" i="3"/>
  <c r="U353" i="3" l="1"/>
  <c r="Y352" i="3"/>
  <c r="T354" i="3"/>
  <c r="AG354" i="3" s="1"/>
  <c r="D354" i="3" l="1"/>
  <c r="AH354" i="3"/>
  <c r="E354" i="3"/>
  <c r="H354" i="3" s="1"/>
  <c r="F354" i="3" l="1"/>
  <c r="G354" i="3"/>
  <c r="K354" i="3"/>
  <c r="AE354" i="3" s="1"/>
  <c r="V354" i="3" l="1"/>
  <c r="A355" i="3"/>
  <c r="B355" i="3" s="1"/>
  <c r="I354" i="3"/>
  <c r="J354" i="3"/>
  <c r="AD354" i="3" s="1"/>
  <c r="M354" i="3"/>
  <c r="N354" i="3" s="1"/>
  <c r="W354" i="3" l="1"/>
  <c r="L354" i="3"/>
  <c r="AA355" i="3"/>
  <c r="AC355" i="3"/>
  <c r="Z355" i="3"/>
  <c r="P355" i="3"/>
  <c r="Q355" i="3" s="1"/>
  <c r="R355" i="3" s="1"/>
  <c r="S355" i="3" s="1"/>
  <c r="T355" i="3" l="1"/>
  <c r="U354" i="3"/>
  <c r="Y353" i="3"/>
  <c r="D355" i="3" l="1"/>
  <c r="G355" i="3" s="1"/>
  <c r="AG355" i="3"/>
  <c r="E355" i="3"/>
  <c r="H355" i="3" s="1"/>
  <c r="K355" i="3" s="1"/>
  <c r="AE355" i="3" s="1"/>
  <c r="AH355" i="3"/>
  <c r="F355" i="3" l="1"/>
  <c r="V355" i="3"/>
  <c r="A356" i="3"/>
  <c r="B356" i="3" s="1"/>
  <c r="I355" i="3"/>
  <c r="J355" i="3"/>
  <c r="AD355" i="3" s="1"/>
  <c r="M355" i="3"/>
  <c r="N355" i="3" s="1"/>
  <c r="W355" i="3" l="1"/>
  <c r="L355" i="3"/>
  <c r="P356" i="3"/>
  <c r="Q356" i="3" s="1"/>
  <c r="R356" i="3" s="1"/>
  <c r="S356" i="3" s="1"/>
  <c r="AA356" i="3"/>
  <c r="Z356" i="3"/>
  <c r="AC356" i="3"/>
  <c r="U355" i="3" l="1"/>
  <c r="Y354" i="3"/>
  <c r="T356" i="3"/>
  <c r="AG356" i="3" s="1"/>
  <c r="AH356" i="3" l="1"/>
  <c r="D356" i="3"/>
  <c r="E356" i="3"/>
  <c r="H356" i="3" s="1"/>
  <c r="K356" i="3" s="1"/>
  <c r="AE356" i="3" s="1"/>
  <c r="F356" i="3" l="1"/>
  <c r="G356" i="3"/>
  <c r="M356" i="3" s="1"/>
  <c r="N356" i="3" s="1"/>
  <c r="V356" i="3"/>
  <c r="A357" i="3"/>
  <c r="B357" i="3" s="1"/>
  <c r="I356" i="3" l="1"/>
  <c r="W356" i="3" s="1"/>
  <c r="J356" i="3"/>
  <c r="Z357" i="3"/>
  <c r="P357" i="3"/>
  <c r="Q357" i="3" s="1"/>
  <c r="R357" i="3" s="1"/>
  <c r="S357" i="3" s="1"/>
  <c r="AC357" i="3"/>
  <c r="AA357" i="3"/>
  <c r="L356" i="3" l="1"/>
  <c r="U356" i="3" s="1"/>
  <c r="AD356" i="3"/>
  <c r="T357" i="3"/>
  <c r="Y355" i="3" l="1"/>
  <c r="AG357" i="3"/>
  <c r="AH357" i="3"/>
  <c r="E357" i="3"/>
  <c r="H357" i="3" s="1"/>
  <c r="D357" i="3"/>
  <c r="F357" i="3" l="1"/>
  <c r="G357" i="3"/>
  <c r="K357" i="3"/>
  <c r="AE357" i="3" s="1"/>
  <c r="V357" i="3" l="1"/>
  <c r="A358" i="3"/>
  <c r="B358" i="3" s="1"/>
  <c r="I357" i="3"/>
  <c r="J357" i="3"/>
  <c r="AD357" i="3" s="1"/>
  <c r="M357" i="3"/>
  <c r="N357" i="3" s="1"/>
  <c r="W357" i="3" l="1"/>
  <c r="L357" i="3"/>
  <c r="P358" i="3"/>
  <c r="Q358" i="3" s="1"/>
  <c r="R358" i="3" s="1"/>
  <c r="S358" i="3" s="1"/>
  <c r="Z358" i="3"/>
  <c r="AA358" i="3"/>
  <c r="AC358" i="3"/>
  <c r="T358" i="3" l="1"/>
  <c r="AH358" i="3" s="1"/>
  <c r="U357" i="3"/>
  <c r="Y356" i="3"/>
  <c r="D358" i="3" l="1"/>
  <c r="G358" i="3" s="1"/>
  <c r="E358" i="3"/>
  <c r="H358" i="3" s="1"/>
  <c r="AG358" i="3"/>
  <c r="I358" i="3" l="1"/>
  <c r="J358" i="3"/>
  <c r="AD358" i="3" s="1"/>
  <c r="M358" i="3"/>
  <c r="N358" i="3" s="1"/>
  <c r="F358" i="3"/>
  <c r="K358" i="3"/>
  <c r="AE358" i="3" s="1"/>
  <c r="V358" i="3" l="1"/>
  <c r="W358" i="3" s="1"/>
  <c r="A359" i="3"/>
  <c r="B359" i="3" s="1"/>
  <c r="L358" i="3"/>
  <c r="U358" i="3" l="1"/>
  <c r="Y357" i="3"/>
  <c r="P359" i="3"/>
  <c r="Q359" i="3" s="1"/>
  <c r="R359" i="3" s="1"/>
  <c r="S359" i="3" s="1"/>
  <c r="AC359" i="3"/>
  <c r="AA359" i="3"/>
  <c r="Z359" i="3"/>
  <c r="T359" i="3" l="1"/>
  <c r="AG359" i="3" s="1"/>
  <c r="AH359" i="3" l="1"/>
  <c r="E359" i="3"/>
  <c r="H359" i="3" s="1"/>
  <c r="D359" i="3"/>
  <c r="K359" i="3" l="1"/>
  <c r="AE359" i="3" s="1"/>
  <c r="F359" i="3"/>
  <c r="G359" i="3"/>
  <c r="I359" i="3" l="1"/>
  <c r="J359" i="3"/>
  <c r="AD359" i="3" s="1"/>
  <c r="M359" i="3"/>
  <c r="N359" i="3" s="1"/>
  <c r="V359" i="3"/>
  <c r="A360" i="3"/>
  <c r="B360" i="3" s="1"/>
  <c r="W359" i="3" l="1"/>
  <c r="L359" i="3"/>
  <c r="AC360" i="3"/>
  <c r="AA360" i="3"/>
  <c r="P360" i="3"/>
  <c r="Q360" i="3" s="1"/>
  <c r="R360" i="3" s="1"/>
  <c r="S360" i="3" s="1"/>
  <c r="Z360" i="3"/>
  <c r="T360" i="3" l="1"/>
  <c r="AH360" i="3" s="1"/>
  <c r="U359" i="3"/>
  <c r="Y358" i="3"/>
  <c r="E360" i="3" l="1"/>
  <c r="H360" i="3" s="1"/>
  <c r="K360" i="3" s="1"/>
  <c r="AE360" i="3" s="1"/>
  <c r="AG360" i="3"/>
  <c r="D360" i="3"/>
  <c r="F360" i="3" l="1"/>
  <c r="G360" i="3"/>
  <c r="V360" i="3"/>
  <c r="A361" i="3"/>
  <c r="B361" i="3" s="1"/>
  <c r="Z361" i="3" l="1"/>
  <c r="P361" i="3"/>
  <c r="Q361" i="3" s="1"/>
  <c r="R361" i="3" s="1"/>
  <c r="S361" i="3" s="1"/>
  <c r="AC361" i="3"/>
  <c r="AA361" i="3"/>
  <c r="I360" i="3"/>
  <c r="W360" i="3" s="1"/>
  <c r="J360" i="3"/>
  <c r="AD360" i="3" s="1"/>
  <c r="M360" i="3"/>
  <c r="N360" i="3" s="1"/>
  <c r="T361" i="3" l="1"/>
  <c r="L360" i="3"/>
  <c r="AG361" i="3" l="1"/>
  <c r="AH361" i="3"/>
  <c r="U360" i="3"/>
  <c r="E361" i="3" s="1"/>
  <c r="H361" i="3" s="1"/>
  <c r="Y359" i="3"/>
  <c r="D361" i="3" l="1"/>
  <c r="G361" i="3" s="1"/>
  <c r="K361" i="3"/>
  <c r="AE361" i="3" s="1"/>
  <c r="F361" i="3" l="1"/>
  <c r="I361" i="3"/>
  <c r="J361" i="3"/>
  <c r="AD361" i="3" s="1"/>
  <c r="M361" i="3"/>
  <c r="N361" i="3" s="1"/>
  <c r="V361" i="3"/>
  <c r="A362" i="3"/>
  <c r="B362" i="3" s="1"/>
  <c r="W361" i="3" l="1"/>
  <c r="L361" i="3"/>
  <c r="AC362" i="3"/>
  <c r="Z362" i="3"/>
  <c r="P362" i="3"/>
  <c r="Q362" i="3" s="1"/>
  <c r="R362" i="3" s="1"/>
  <c r="S362" i="3" s="1"/>
  <c r="AA362" i="3"/>
  <c r="U361" i="3" l="1"/>
  <c r="Y360" i="3"/>
  <c r="T362" i="3"/>
  <c r="AH362" i="3" s="1"/>
  <c r="D362" i="3" l="1"/>
  <c r="G362" i="3" s="1"/>
  <c r="E362" i="3"/>
  <c r="H362" i="3" s="1"/>
  <c r="K362" i="3" s="1"/>
  <c r="AE362" i="3" s="1"/>
  <c r="AG362" i="3"/>
  <c r="F362" i="3" l="1"/>
  <c r="I362" i="3"/>
  <c r="J362" i="3"/>
  <c r="AD362" i="3" s="1"/>
  <c r="M362" i="3"/>
  <c r="N362" i="3" s="1"/>
  <c r="V362" i="3"/>
  <c r="A363" i="3"/>
  <c r="B363" i="3" s="1"/>
  <c r="W362" i="3" l="1"/>
  <c r="L362" i="3"/>
  <c r="P363" i="3"/>
  <c r="Q363" i="3" s="1"/>
  <c r="R363" i="3" s="1"/>
  <c r="S363" i="3" s="1"/>
  <c r="AA363" i="3"/>
  <c r="Z363" i="3"/>
  <c r="AC363" i="3"/>
  <c r="T363" i="3" l="1"/>
  <c r="U362" i="3"/>
  <c r="Y361" i="3"/>
  <c r="E363" i="3" l="1"/>
  <c r="H363" i="3" s="1"/>
  <c r="K363" i="3" s="1"/>
  <c r="AE363" i="3" s="1"/>
  <c r="AH363" i="3"/>
  <c r="D363" i="3"/>
  <c r="AG363" i="3"/>
  <c r="F363" i="3" l="1"/>
  <c r="G363" i="3"/>
  <c r="M363" i="3" s="1"/>
  <c r="N363" i="3" s="1"/>
  <c r="V363" i="3"/>
  <c r="A364" i="3"/>
  <c r="B364" i="3" s="1"/>
  <c r="I363" i="3" l="1"/>
  <c r="W363" i="3" s="1"/>
  <c r="J363" i="3"/>
  <c r="P364" i="3"/>
  <c r="Q364" i="3" s="1"/>
  <c r="R364" i="3" s="1"/>
  <c r="S364" i="3" s="1"/>
  <c r="Z364" i="3"/>
  <c r="AC364" i="3"/>
  <c r="AA364" i="3"/>
  <c r="L363" i="3" l="1"/>
  <c r="U363" i="3" s="1"/>
  <c r="AD363" i="3"/>
  <c r="T364" i="3"/>
  <c r="Y362" i="3" l="1"/>
  <c r="D364" i="3"/>
  <c r="G364" i="3" s="1"/>
  <c r="E364" i="3"/>
  <c r="H364" i="3" s="1"/>
  <c r="K364" i="3" s="1"/>
  <c r="AE364" i="3" s="1"/>
  <c r="AG364" i="3"/>
  <c r="AH364" i="3"/>
  <c r="F364" i="3" l="1"/>
  <c r="V364" i="3"/>
  <c r="A365" i="3"/>
  <c r="B365" i="3" s="1"/>
  <c r="I364" i="3"/>
  <c r="J364" i="3"/>
  <c r="AD364" i="3" s="1"/>
  <c r="M364" i="3"/>
  <c r="N364" i="3" s="1"/>
  <c r="W364" i="3" l="1"/>
  <c r="L364" i="3"/>
  <c r="AC365" i="3"/>
  <c r="P365" i="3"/>
  <c r="Q365" i="3" s="1"/>
  <c r="R365" i="3" s="1"/>
  <c r="S365" i="3" s="1"/>
  <c r="AA365" i="3"/>
  <c r="AD365" i="3"/>
  <c r="Z365" i="3"/>
  <c r="U364" i="3" l="1"/>
  <c r="Y363" i="3"/>
  <c r="T365" i="3"/>
  <c r="AH365" i="3" s="1"/>
  <c r="D365" i="3" l="1"/>
  <c r="G365" i="3" s="1"/>
  <c r="AG365" i="3"/>
  <c r="E365" i="3"/>
  <c r="H365" i="3" s="1"/>
  <c r="K365" i="3" s="1"/>
  <c r="AE365" i="3" s="1"/>
  <c r="F365" i="3" l="1"/>
  <c r="I365" i="3"/>
  <c r="J365" i="3"/>
  <c r="M365" i="3"/>
  <c r="N365" i="3" s="1"/>
  <c r="V365" i="3"/>
  <c r="A366" i="3"/>
  <c r="B366" i="3" s="1"/>
  <c r="W365" i="3" l="1"/>
  <c r="L365" i="3"/>
  <c r="AC366" i="3"/>
  <c r="AD366" i="3"/>
  <c r="P366" i="3"/>
  <c r="Q366" i="3" s="1"/>
  <c r="R366" i="3" s="1"/>
  <c r="S366" i="3" s="1"/>
  <c r="AA366" i="3"/>
  <c r="Z366" i="3"/>
  <c r="U365" i="3" l="1"/>
  <c r="Y364" i="3"/>
  <c r="T366" i="3"/>
  <c r="E366" i="3" l="1"/>
  <c r="H366" i="3" s="1"/>
  <c r="K366" i="3" s="1"/>
  <c r="AE366" i="3" s="1"/>
  <c r="AH366" i="3"/>
  <c r="D366" i="3"/>
  <c r="G366" i="3" s="1"/>
  <c r="AG366" i="3"/>
  <c r="F366" i="3" l="1"/>
  <c r="V366" i="3"/>
  <c r="A367" i="3"/>
  <c r="B367" i="3" s="1"/>
  <c r="I366" i="3"/>
  <c r="J366" i="3"/>
  <c r="M366" i="3"/>
  <c r="N366" i="3" s="1"/>
  <c r="W366" i="3" l="1"/>
  <c r="L366" i="3"/>
  <c r="Z367" i="3"/>
  <c r="P367" i="3"/>
  <c r="Q367" i="3" s="1"/>
  <c r="R367" i="3" s="1"/>
  <c r="S367" i="3" s="1"/>
  <c r="AC367" i="3"/>
  <c r="AD367" i="3"/>
  <c r="AA367" i="3"/>
  <c r="T367" i="3" l="1"/>
  <c r="AG367" i="3" s="1"/>
  <c r="U366" i="3"/>
  <c r="Y365" i="3"/>
  <c r="D367" i="3" l="1"/>
  <c r="AH367" i="3"/>
  <c r="E367" i="3"/>
  <c r="H367" i="3" s="1"/>
  <c r="F367" i="3" l="1"/>
  <c r="G367" i="3"/>
  <c r="K367" i="3"/>
  <c r="AE367" i="3" s="1"/>
  <c r="I367" i="3" l="1"/>
  <c r="J367" i="3"/>
  <c r="M367" i="3"/>
  <c r="N367" i="3" s="1"/>
  <c r="V367" i="3"/>
  <c r="A368" i="3"/>
  <c r="B368" i="3" s="1"/>
  <c r="L367" i="3" l="1"/>
  <c r="W367" i="3"/>
  <c r="Z368" i="3"/>
  <c r="P368" i="3"/>
  <c r="Q368" i="3" s="1"/>
  <c r="R368" i="3" s="1"/>
  <c r="S368" i="3" s="1"/>
  <c r="AD368" i="3"/>
  <c r="AC368" i="3"/>
  <c r="AA368" i="3"/>
  <c r="T368" i="3" l="1"/>
  <c r="AH368" i="3" s="1"/>
  <c r="U367" i="3"/>
  <c r="Y366" i="3"/>
  <c r="E368" i="3" l="1"/>
  <c r="H368" i="3" s="1"/>
  <c r="K368" i="3" s="1"/>
  <c r="AE368" i="3" s="1"/>
  <c r="D368" i="3"/>
  <c r="AG368" i="3"/>
  <c r="V368" i="3" l="1"/>
  <c r="A369" i="3"/>
  <c r="B369" i="3" s="1"/>
  <c r="F368" i="3"/>
  <c r="G368" i="3"/>
  <c r="I368" i="3" l="1"/>
  <c r="W368" i="3" s="1"/>
  <c r="J368" i="3"/>
  <c r="M368" i="3"/>
  <c r="N368" i="3" s="1"/>
  <c r="AD369" i="3"/>
  <c r="Z369" i="3"/>
  <c r="AC369" i="3"/>
  <c r="P369" i="3"/>
  <c r="Q369" i="3" s="1"/>
  <c r="R369" i="3" s="1"/>
  <c r="S369" i="3" s="1"/>
  <c r="AA369" i="3"/>
  <c r="T369" i="3" l="1"/>
  <c r="L368" i="3"/>
  <c r="AH369" i="3" l="1"/>
  <c r="AG369" i="3"/>
  <c r="U368" i="3"/>
  <c r="E369" i="3" s="1"/>
  <c r="H369" i="3" s="1"/>
  <c r="Y367" i="3"/>
  <c r="D369" i="3" l="1"/>
  <c r="F369" i="3" s="1"/>
  <c r="K369" i="3"/>
  <c r="AE369" i="3" s="1"/>
  <c r="G369" i="3" l="1"/>
  <c r="M369" i="3" s="1"/>
  <c r="N369" i="3" s="1"/>
  <c r="V369" i="3"/>
  <c r="A370" i="3"/>
  <c r="B370" i="3" s="1"/>
  <c r="J369" i="3" l="1"/>
  <c r="L369" i="3" s="1"/>
  <c r="I369" i="3"/>
  <c r="W369" i="3" s="1"/>
  <c r="AD370" i="3"/>
  <c r="AA370" i="3"/>
  <c r="P370" i="3"/>
  <c r="Q370" i="3" s="1"/>
  <c r="R370" i="3" s="1"/>
  <c r="S370" i="3" s="1"/>
  <c r="AC370" i="3"/>
  <c r="Z370" i="3"/>
  <c r="U369" i="3" l="1"/>
  <c r="Y368" i="3"/>
  <c r="T370" i="3"/>
  <c r="AG370" i="3" s="1"/>
  <c r="E370" i="3" l="1"/>
  <c r="H370" i="3" s="1"/>
  <c r="K370" i="3" s="1"/>
  <c r="AE370" i="3" s="1"/>
  <c r="AH370" i="3"/>
  <c r="D370" i="3"/>
  <c r="F370" i="3" l="1"/>
  <c r="G370" i="3"/>
  <c r="M370" i="3" s="1"/>
  <c r="N370" i="3" s="1"/>
  <c r="V370" i="3"/>
  <c r="A371" i="3"/>
  <c r="B371" i="3" s="1"/>
  <c r="I370" i="3" l="1"/>
  <c r="W370" i="3" s="1"/>
  <c r="J370" i="3"/>
  <c r="L370" i="3" s="1"/>
  <c r="AD371" i="3"/>
  <c r="AC371" i="3"/>
  <c r="P371" i="3"/>
  <c r="Q371" i="3" s="1"/>
  <c r="R371" i="3" s="1"/>
  <c r="S371" i="3" s="1"/>
  <c r="AA371" i="3"/>
  <c r="Z371" i="3"/>
  <c r="T371" i="3" l="1"/>
  <c r="AG371" i="3" s="1"/>
  <c r="U370" i="3"/>
  <c r="Y369" i="3"/>
  <c r="E371" i="3" l="1"/>
  <c r="H371" i="3" s="1"/>
  <c r="K371" i="3" s="1"/>
  <c r="AE371" i="3" s="1"/>
  <c r="D371" i="3"/>
  <c r="AH371" i="3"/>
  <c r="V371" i="3" l="1"/>
  <c r="A372" i="3"/>
  <c r="B372" i="3" s="1"/>
  <c r="F371" i="3"/>
  <c r="G371" i="3"/>
  <c r="I371" i="3" l="1"/>
  <c r="W371" i="3" s="1"/>
  <c r="J371" i="3"/>
  <c r="M371" i="3"/>
  <c r="N371" i="3" s="1"/>
  <c r="P372" i="3"/>
  <c r="Q372" i="3" s="1"/>
  <c r="R372" i="3" s="1"/>
  <c r="S372" i="3" s="1"/>
  <c r="AA372" i="3"/>
  <c r="AC372" i="3"/>
  <c r="Z372" i="3"/>
  <c r="AD372" i="3"/>
  <c r="L371" i="3" l="1"/>
  <c r="T372" i="3"/>
  <c r="U371" i="3" l="1"/>
  <c r="E372" i="3" s="1"/>
  <c r="H372" i="3" s="1"/>
  <c r="AG372" i="3"/>
  <c r="AH372" i="3"/>
  <c r="Y370" i="3"/>
  <c r="D372" i="3" l="1"/>
  <c r="F372" i="3" s="1"/>
  <c r="K372" i="3"/>
  <c r="AE372" i="3" s="1"/>
  <c r="G372" i="3" l="1"/>
  <c r="M372" i="3" s="1"/>
  <c r="N372" i="3" s="1"/>
  <c r="V372" i="3"/>
  <c r="A373" i="3"/>
  <c r="B373" i="3" s="1"/>
  <c r="J372" i="3" l="1"/>
  <c r="L372" i="3" s="1"/>
  <c r="I372" i="3"/>
  <c r="W372" i="3" s="1"/>
  <c r="AD373" i="3"/>
  <c r="Z373" i="3"/>
  <c r="AC373" i="3"/>
  <c r="P373" i="3"/>
  <c r="Q373" i="3" s="1"/>
  <c r="R373" i="3" s="1"/>
  <c r="S373" i="3" s="1"/>
  <c r="AA373" i="3"/>
  <c r="U372" i="3" l="1"/>
  <c r="Y371" i="3"/>
  <c r="T373" i="3"/>
  <c r="AH373" i="3" s="1"/>
  <c r="D373" i="3" l="1"/>
  <c r="G373" i="3" s="1"/>
  <c r="E373" i="3"/>
  <c r="H373" i="3" s="1"/>
  <c r="AG373" i="3"/>
  <c r="F373" i="3" l="1"/>
  <c r="I373" i="3"/>
  <c r="J373" i="3"/>
  <c r="M373" i="3"/>
  <c r="N373" i="3" s="1"/>
  <c r="K373" i="3"/>
  <c r="AE373" i="3" s="1"/>
  <c r="V373" i="3" l="1"/>
  <c r="W373" i="3" s="1"/>
  <c r="A374" i="3"/>
  <c r="B374" i="3" s="1"/>
  <c r="L373" i="3"/>
  <c r="U373" i="3" l="1"/>
  <c r="Y372" i="3"/>
  <c r="AA374" i="3"/>
  <c r="AC374" i="3"/>
  <c r="Z374" i="3"/>
  <c r="P374" i="3"/>
  <c r="Q374" i="3" s="1"/>
  <c r="R374" i="3" s="1"/>
  <c r="S374" i="3" s="1"/>
  <c r="T374" i="3" l="1"/>
  <c r="AH374" i="3" s="1"/>
  <c r="AG374" i="3" l="1"/>
  <c r="E374" i="3"/>
  <c r="H374" i="3" s="1"/>
  <c r="K374" i="3" s="1"/>
  <c r="AE374" i="3" s="1"/>
  <c r="D374" i="3"/>
  <c r="F374" i="3" l="1"/>
  <c r="G374" i="3"/>
  <c r="I374" i="3" s="1"/>
  <c r="V374" i="3"/>
  <c r="A375" i="3"/>
  <c r="B375" i="3" s="1"/>
  <c r="J374" i="3" l="1"/>
  <c r="M374" i="3"/>
  <c r="N374" i="3" s="1"/>
  <c r="W374" i="3"/>
  <c r="P375" i="3"/>
  <c r="Q375" i="3" s="1"/>
  <c r="R375" i="3" s="1"/>
  <c r="S375" i="3" s="1"/>
  <c r="Z375" i="3"/>
  <c r="AC375" i="3"/>
  <c r="AA375" i="3"/>
  <c r="AD375" i="3"/>
  <c r="L374" i="3" l="1"/>
  <c r="Y373" i="3" s="1"/>
  <c r="AD374" i="3"/>
  <c r="T375" i="3"/>
  <c r="U374" i="3" l="1"/>
  <c r="E375" i="3" s="1"/>
  <c r="H375" i="3" s="1"/>
  <c r="K375" i="3" s="1"/>
  <c r="AE375" i="3" s="1"/>
  <c r="AG375" i="3"/>
  <c r="AH375" i="3"/>
  <c r="D375" i="3" l="1"/>
  <c r="G375" i="3" s="1"/>
  <c r="I375" i="3" s="1"/>
  <c r="V375" i="3"/>
  <c r="A376" i="3"/>
  <c r="B376" i="3" s="1"/>
  <c r="M375" i="3" l="1"/>
  <c r="N375" i="3" s="1"/>
  <c r="F375" i="3"/>
  <c r="J375" i="3"/>
  <c r="L375" i="3" s="1"/>
  <c r="W375" i="3"/>
  <c r="AA376" i="3"/>
  <c r="P376" i="3"/>
  <c r="Q376" i="3" s="1"/>
  <c r="R376" i="3" s="1"/>
  <c r="S376" i="3" s="1"/>
  <c r="AC376" i="3"/>
  <c r="Z376" i="3"/>
  <c r="AD376" i="3"/>
  <c r="T376" i="3" l="1"/>
  <c r="U375" i="3"/>
  <c r="Y374" i="3"/>
  <c r="D376" i="3" l="1"/>
  <c r="G376" i="3" s="1"/>
  <c r="AG376" i="3"/>
  <c r="AH376" i="3"/>
  <c r="E376" i="3"/>
  <c r="H376" i="3" s="1"/>
  <c r="F376" i="3" l="1"/>
  <c r="I376" i="3"/>
  <c r="J376" i="3"/>
  <c r="M376" i="3"/>
  <c r="N376" i="3" s="1"/>
  <c r="K376" i="3"/>
  <c r="AE376" i="3" s="1"/>
  <c r="V376" i="3" l="1"/>
  <c r="W376" i="3" s="1"/>
  <c r="A377" i="3"/>
  <c r="B377" i="3" s="1"/>
  <c r="L376" i="3"/>
  <c r="AC377" i="3" l="1"/>
  <c r="AA377" i="3"/>
  <c r="P377" i="3"/>
  <c r="Q377" i="3" s="1"/>
  <c r="R377" i="3" s="1"/>
  <c r="S377" i="3" s="1"/>
  <c r="AD377" i="3"/>
  <c r="Z377" i="3"/>
  <c r="U376" i="3"/>
  <c r="Y375" i="3"/>
  <c r="T377" i="3" l="1"/>
  <c r="AH377" i="3" s="1"/>
  <c r="E377" i="3" l="1"/>
  <c r="H377" i="3" s="1"/>
  <c r="K377" i="3" s="1"/>
  <c r="AE377" i="3" s="1"/>
  <c r="D377" i="3"/>
  <c r="AG377" i="3"/>
  <c r="F377" i="3" l="1"/>
  <c r="G377" i="3"/>
  <c r="M377" i="3" s="1"/>
  <c r="N377" i="3" s="1"/>
  <c r="V377" i="3"/>
  <c r="A378" i="3"/>
  <c r="B378" i="3" s="1"/>
  <c r="I377" i="3" l="1"/>
  <c r="W377" i="3" s="1"/>
  <c r="J377" i="3"/>
  <c r="L377" i="3" s="1"/>
  <c r="AD378" i="3"/>
  <c r="Z378" i="3"/>
  <c r="AC378" i="3"/>
  <c r="P378" i="3"/>
  <c r="Q378" i="3" s="1"/>
  <c r="R378" i="3" s="1"/>
  <c r="S378" i="3" s="1"/>
  <c r="AA378" i="3"/>
  <c r="U377" i="3" l="1"/>
  <c r="Y376" i="3"/>
  <c r="T378" i="3"/>
  <c r="D378" i="3" l="1"/>
  <c r="G378" i="3" s="1"/>
  <c r="AG378" i="3"/>
  <c r="E378" i="3"/>
  <c r="H378" i="3" s="1"/>
  <c r="K378" i="3" s="1"/>
  <c r="AE378" i="3" s="1"/>
  <c r="AH378" i="3"/>
  <c r="F378" i="3" l="1"/>
  <c r="V378" i="3"/>
  <c r="A379" i="3"/>
  <c r="B379" i="3" s="1"/>
  <c r="I378" i="3"/>
  <c r="J378" i="3"/>
  <c r="M378" i="3"/>
  <c r="N378" i="3" s="1"/>
  <c r="W378" i="3" l="1"/>
  <c r="L378" i="3"/>
  <c r="Z379" i="3"/>
  <c r="AA379" i="3"/>
  <c r="AD379" i="3"/>
  <c r="P379" i="3"/>
  <c r="Q379" i="3" s="1"/>
  <c r="R379" i="3" s="1"/>
  <c r="S379" i="3" s="1"/>
  <c r="AC379" i="3"/>
  <c r="U378" i="3" l="1"/>
  <c r="Y377" i="3"/>
  <c r="T379" i="3"/>
  <c r="AH379" i="3" s="1"/>
  <c r="E379" i="3" l="1"/>
  <c r="H379" i="3" s="1"/>
  <c r="K379" i="3" s="1"/>
  <c r="AE379" i="3" s="1"/>
  <c r="D379" i="3"/>
  <c r="G379" i="3" s="1"/>
  <c r="AG379" i="3"/>
  <c r="F379" i="3" l="1"/>
  <c r="I379" i="3"/>
  <c r="J379" i="3"/>
  <c r="M379" i="3"/>
  <c r="N379" i="3" s="1"/>
  <c r="V379" i="3"/>
  <c r="A380" i="3"/>
  <c r="B380" i="3" s="1"/>
  <c r="W379" i="3" l="1"/>
  <c r="L379" i="3"/>
  <c r="Z380" i="3"/>
  <c r="P380" i="3"/>
  <c r="Q380" i="3" s="1"/>
  <c r="R380" i="3" s="1"/>
  <c r="S380" i="3" s="1"/>
  <c r="AD380" i="3"/>
  <c r="AC380" i="3"/>
  <c r="AA380" i="3"/>
  <c r="T380" i="3" l="1"/>
  <c r="AH380" i="3" s="1"/>
  <c r="U379" i="3"/>
  <c r="Y378" i="3"/>
  <c r="AG380" i="3" l="1"/>
  <c r="E380" i="3"/>
  <c r="H380" i="3" s="1"/>
  <c r="K380" i="3" s="1"/>
  <c r="AE380" i="3" s="1"/>
  <c r="D380" i="3"/>
  <c r="V380" i="3" l="1"/>
  <c r="A381" i="3"/>
  <c r="B381" i="3" s="1"/>
  <c r="F380" i="3"/>
  <c r="G380" i="3"/>
  <c r="I380" i="3" l="1"/>
  <c r="W380" i="3" s="1"/>
  <c r="J380" i="3"/>
  <c r="M380" i="3"/>
  <c r="N380" i="3" s="1"/>
  <c r="Z381" i="3"/>
  <c r="AA381" i="3"/>
  <c r="AC381" i="3"/>
  <c r="P381" i="3"/>
  <c r="Q381" i="3" s="1"/>
  <c r="R381" i="3" s="1"/>
  <c r="S381" i="3" s="1"/>
  <c r="AD381" i="3"/>
  <c r="T381" i="3" l="1"/>
  <c r="L380" i="3"/>
  <c r="U380" i="3" l="1"/>
  <c r="E381" i="3" s="1"/>
  <c r="H381" i="3" s="1"/>
  <c r="AH381" i="3"/>
  <c r="AG381" i="3"/>
  <c r="Y379" i="3"/>
  <c r="K381" i="3" l="1"/>
  <c r="AE381" i="3" s="1"/>
  <c r="D381" i="3"/>
  <c r="V381" i="3" l="1"/>
  <c r="A382" i="3"/>
  <c r="B382" i="3" s="1"/>
  <c r="F381" i="3"/>
  <c r="G381" i="3"/>
  <c r="I381" i="3" l="1"/>
  <c r="W381" i="3" s="1"/>
  <c r="J381" i="3"/>
  <c r="M381" i="3"/>
  <c r="N381" i="3" s="1"/>
  <c r="AD382" i="3"/>
  <c r="AA382" i="3"/>
  <c r="Z382" i="3"/>
  <c r="P382" i="3"/>
  <c r="Q382" i="3" s="1"/>
  <c r="R382" i="3" s="1"/>
  <c r="S382" i="3" s="1"/>
  <c r="AC382" i="3"/>
  <c r="L381" i="3" l="1"/>
  <c r="T382" i="3"/>
  <c r="U381" i="3" l="1"/>
  <c r="E382" i="3" s="1"/>
  <c r="H382" i="3" s="1"/>
  <c r="AH382" i="3"/>
  <c r="AG382" i="3"/>
  <c r="Y380" i="3"/>
  <c r="D382" i="3" l="1"/>
  <c r="G382" i="3" s="1"/>
  <c r="K382" i="3"/>
  <c r="AE382" i="3" s="1"/>
  <c r="F382" i="3" l="1"/>
  <c r="I382" i="3"/>
  <c r="J382" i="3"/>
  <c r="M382" i="3"/>
  <c r="N382" i="3" s="1"/>
  <c r="V382" i="3"/>
  <c r="A383" i="3"/>
  <c r="B383" i="3" s="1"/>
  <c r="W382" i="3" l="1"/>
  <c r="L382" i="3"/>
  <c r="AD383" i="3"/>
  <c r="AA383" i="3"/>
  <c r="P383" i="3"/>
  <c r="Q383" i="3" s="1"/>
  <c r="R383" i="3" s="1"/>
  <c r="S383" i="3" s="1"/>
  <c r="Z383" i="3"/>
  <c r="AC383" i="3"/>
  <c r="U382" i="3" l="1"/>
  <c r="Y381" i="3"/>
  <c r="T383" i="3"/>
  <c r="E383" i="3" l="1"/>
  <c r="H383" i="3" s="1"/>
  <c r="K383" i="3" s="1"/>
  <c r="AE383" i="3" s="1"/>
  <c r="D383" i="3"/>
  <c r="AH383" i="3"/>
  <c r="AG383" i="3"/>
  <c r="V383" i="3" l="1"/>
  <c r="A384" i="3"/>
  <c r="B384" i="3" s="1"/>
  <c r="F383" i="3"/>
  <c r="G383" i="3"/>
  <c r="I383" i="3" l="1"/>
  <c r="W383" i="3" s="1"/>
  <c r="J383" i="3"/>
  <c r="M383" i="3"/>
  <c r="N383" i="3" s="1"/>
  <c r="P384" i="3"/>
  <c r="Q384" i="3" s="1"/>
  <c r="R384" i="3" s="1"/>
  <c r="S384" i="3" s="1"/>
  <c r="Z384" i="3"/>
  <c r="AC384" i="3"/>
  <c r="AA384" i="3"/>
  <c r="T384" i="3" l="1"/>
  <c r="L383" i="3"/>
  <c r="AG384" i="3" l="1"/>
  <c r="AH384" i="3"/>
  <c r="U383" i="3"/>
  <c r="D384" i="3" s="1"/>
  <c r="Y382" i="3"/>
  <c r="E384" i="3" l="1"/>
  <c r="H384" i="3" s="1"/>
  <c r="K384" i="3" s="1"/>
  <c r="AE384" i="3" s="1"/>
  <c r="G384" i="3"/>
  <c r="F384" i="3" l="1"/>
  <c r="I384" i="3"/>
  <c r="J384" i="3"/>
  <c r="AD384" i="3" s="1"/>
  <c r="M384" i="3"/>
  <c r="N384" i="3" s="1"/>
  <c r="V384" i="3"/>
  <c r="A385" i="3"/>
  <c r="B385" i="3" s="1"/>
  <c r="W384" i="3" l="1"/>
  <c r="L384" i="3"/>
  <c r="P385" i="3"/>
  <c r="Q385" i="3" s="1"/>
  <c r="R385" i="3" s="1"/>
  <c r="S385" i="3" s="1"/>
  <c r="AD385" i="3"/>
  <c r="Z385" i="3"/>
  <c r="AC385" i="3"/>
  <c r="AA385" i="3"/>
  <c r="U384" i="3" l="1"/>
  <c r="Y383" i="3"/>
  <c r="T385" i="3"/>
  <c r="AG385" i="3" s="1"/>
  <c r="D385" i="3" l="1"/>
  <c r="G385" i="3" s="1"/>
  <c r="E385" i="3"/>
  <c r="H385" i="3" s="1"/>
  <c r="K385" i="3" s="1"/>
  <c r="AE385" i="3" s="1"/>
  <c r="AH385" i="3"/>
  <c r="F385" i="3" l="1"/>
  <c r="V385" i="3"/>
  <c r="A386" i="3"/>
  <c r="B386" i="3" s="1"/>
  <c r="I385" i="3"/>
  <c r="J385" i="3"/>
  <c r="M385" i="3"/>
  <c r="N385" i="3" s="1"/>
  <c r="L385" i="3" l="1"/>
  <c r="W385" i="3"/>
  <c r="AC386" i="3"/>
  <c r="P386" i="3"/>
  <c r="Q386" i="3" s="1"/>
  <c r="R386" i="3" s="1"/>
  <c r="S386" i="3" s="1"/>
  <c r="AA386" i="3"/>
  <c r="AD386" i="3"/>
  <c r="Z386" i="3"/>
  <c r="T386" i="3" l="1"/>
  <c r="AH386" i="3" s="1"/>
  <c r="U385" i="3"/>
  <c r="Y384" i="3"/>
  <c r="D386" i="3" l="1"/>
  <c r="E386" i="3"/>
  <c r="H386" i="3" s="1"/>
  <c r="AG386" i="3"/>
  <c r="F386" i="3" l="1"/>
  <c r="G386" i="3"/>
  <c r="K386" i="3"/>
  <c r="AE386" i="3" s="1"/>
  <c r="I386" i="3" l="1"/>
  <c r="J386" i="3"/>
  <c r="M386" i="3"/>
  <c r="N386" i="3" s="1"/>
  <c r="V386" i="3"/>
  <c r="A387" i="3"/>
  <c r="B387" i="3" s="1"/>
  <c r="W386" i="3" l="1"/>
  <c r="L386" i="3"/>
  <c r="AD387" i="3"/>
  <c r="AA387" i="3"/>
  <c r="P387" i="3"/>
  <c r="Q387" i="3" s="1"/>
  <c r="R387" i="3" s="1"/>
  <c r="S387" i="3" s="1"/>
  <c r="AC387" i="3"/>
  <c r="Z387" i="3"/>
  <c r="U386" i="3" l="1"/>
  <c r="Y385" i="3"/>
  <c r="T387" i="3"/>
  <c r="AG387" i="3" s="1"/>
  <c r="AH387" i="3" l="1"/>
  <c r="D387" i="3"/>
  <c r="G387" i="3" s="1"/>
  <c r="E387" i="3"/>
  <c r="H387" i="3" s="1"/>
  <c r="F387" i="3" l="1"/>
  <c r="I387" i="3"/>
  <c r="J387" i="3"/>
  <c r="M387" i="3"/>
  <c r="N387" i="3" s="1"/>
  <c r="K387" i="3"/>
  <c r="AE387" i="3" s="1"/>
  <c r="V387" i="3" l="1"/>
  <c r="W387" i="3" s="1"/>
  <c r="A388" i="3"/>
  <c r="B388" i="3" s="1"/>
  <c r="L387" i="3"/>
  <c r="U387" i="3" l="1"/>
  <c r="Y386" i="3"/>
  <c r="AA388" i="3"/>
  <c r="Z388" i="3"/>
  <c r="P388" i="3"/>
  <c r="Q388" i="3" s="1"/>
  <c r="R388" i="3" s="1"/>
  <c r="S388" i="3" s="1"/>
  <c r="AD388" i="3"/>
  <c r="AC388" i="3"/>
  <c r="T388" i="3" l="1"/>
  <c r="E388" i="3" s="1"/>
  <c r="H388" i="3" s="1"/>
  <c r="K388" i="3" l="1"/>
  <c r="AE388" i="3" s="1"/>
  <c r="D388" i="3"/>
  <c r="AG388" i="3"/>
  <c r="AH388" i="3"/>
  <c r="V388" i="3" l="1"/>
  <c r="A389" i="3"/>
  <c r="B389" i="3" s="1"/>
  <c r="F388" i="3"/>
  <c r="G388" i="3"/>
  <c r="I388" i="3" l="1"/>
  <c r="W388" i="3" s="1"/>
  <c r="J388" i="3"/>
  <c r="M388" i="3"/>
  <c r="N388" i="3" s="1"/>
  <c r="P389" i="3"/>
  <c r="Q389" i="3" s="1"/>
  <c r="R389" i="3" s="1"/>
  <c r="S389" i="3" s="1"/>
  <c r="AA389" i="3"/>
  <c r="AD389" i="3"/>
  <c r="AC389" i="3"/>
  <c r="Z389" i="3"/>
  <c r="T389" i="3" l="1"/>
  <c r="L388" i="3"/>
  <c r="U388" i="3" l="1"/>
  <c r="E389" i="3" s="1"/>
  <c r="H389" i="3" s="1"/>
  <c r="AH389" i="3"/>
  <c r="AG389" i="3"/>
  <c r="Y387" i="3"/>
  <c r="D389" i="3" l="1"/>
  <c r="G389" i="3" s="1"/>
  <c r="K389" i="3"/>
  <c r="AE389" i="3" s="1"/>
  <c r="F389" i="3" l="1"/>
  <c r="V389" i="3"/>
  <c r="A390" i="3"/>
  <c r="B390" i="3" s="1"/>
  <c r="I389" i="3"/>
  <c r="J389" i="3"/>
  <c r="M389" i="3"/>
  <c r="N389" i="3" s="1"/>
  <c r="W389" i="3" l="1"/>
  <c r="L389" i="3"/>
  <c r="P390" i="3"/>
  <c r="Q390" i="3" s="1"/>
  <c r="R390" i="3" s="1"/>
  <c r="S390" i="3" s="1"/>
  <c r="AC390" i="3"/>
  <c r="AA390" i="3"/>
  <c r="Z390" i="3"/>
  <c r="AD390" i="3"/>
  <c r="U389" i="3" l="1"/>
  <c r="Y388" i="3"/>
  <c r="T390" i="3"/>
  <c r="AG390" i="3" s="1"/>
  <c r="D390" i="3" l="1"/>
  <c r="AH390" i="3"/>
  <c r="E390" i="3"/>
  <c r="H390" i="3" s="1"/>
  <c r="F390" i="3" l="1"/>
  <c r="G390" i="3"/>
  <c r="K390" i="3"/>
  <c r="AE390" i="3" s="1"/>
  <c r="I390" i="3" l="1"/>
  <c r="J390" i="3"/>
  <c r="M390" i="3"/>
  <c r="N390" i="3" s="1"/>
  <c r="V390" i="3"/>
  <c r="A391" i="3"/>
  <c r="B391" i="3" s="1"/>
  <c r="W390" i="3" l="1"/>
  <c r="L390" i="3"/>
  <c r="AC391" i="3"/>
  <c r="AA391" i="3"/>
  <c r="AD391" i="3"/>
  <c r="Z391" i="3"/>
  <c r="P391" i="3"/>
  <c r="Q391" i="3" s="1"/>
  <c r="R391" i="3" s="1"/>
  <c r="S391" i="3" s="1"/>
  <c r="U390" i="3" l="1"/>
  <c r="Y389" i="3"/>
  <c r="T391" i="3"/>
  <c r="E391" i="3" l="1"/>
  <c r="H391" i="3" s="1"/>
  <c r="K391" i="3" s="1"/>
  <c r="AE391" i="3" s="1"/>
  <c r="AG391" i="3"/>
  <c r="AH391" i="3"/>
  <c r="D391" i="3"/>
  <c r="V391" i="3" l="1"/>
  <c r="A392" i="3"/>
  <c r="B392" i="3" s="1"/>
  <c r="F391" i="3"/>
  <c r="G391" i="3"/>
  <c r="I391" i="3" l="1"/>
  <c r="W391" i="3" s="1"/>
  <c r="J391" i="3"/>
  <c r="M391" i="3"/>
  <c r="N391" i="3" s="1"/>
  <c r="AD392" i="3"/>
  <c r="Z392" i="3"/>
  <c r="P392" i="3"/>
  <c r="Q392" i="3" s="1"/>
  <c r="R392" i="3" s="1"/>
  <c r="S392" i="3" s="1"/>
  <c r="AA392" i="3"/>
  <c r="AC392" i="3"/>
  <c r="T392" i="3" l="1"/>
  <c r="L391" i="3"/>
  <c r="U391" i="3" l="1"/>
  <c r="D392" i="3" s="1"/>
  <c r="AH392" i="3"/>
  <c r="AG392" i="3"/>
  <c r="Y390" i="3"/>
  <c r="G392" i="3" l="1"/>
  <c r="E392" i="3"/>
  <c r="H392" i="3" s="1"/>
  <c r="F392" i="3" l="1"/>
  <c r="I392" i="3"/>
  <c r="J392" i="3"/>
  <c r="M392" i="3"/>
  <c r="N392" i="3" s="1"/>
  <c r="K392" i="3"/>
  <c r="AE392" i="3" s="1"/>
  <c r="V392" i="3" l="1"/>
  <c r="W392" i="3" s="1"/>
  <c r="A393" i="3"/>
  <c r="B393" i="3" s="1"/>
  <c r="L392" i="3"/>
  <c r="U392" i="3" l="1"/>
  <c r="Y391" i="3"/>
  <c r="AD393" i="3"/>
  <c r="Z393" i="3"/>
  <c r="AA393" i="3"/>
  <c r="P393" i="3"/>
  <c r="Q393" i="3" s="1"/>
  <c r="R393" i="3" s="1"/>
  <c r="S393" i="3" s="1"/>
  <c r="AC393" i="3"/>
  <c r="T393" i="3" l="1"/>
  <c r="AG393" i="3" s="1"/>
  <c r="E393" i="3" l="1"/>
  <c r="H393" i="3" s="1"/>
  <c r="K393" i="3" s="1"/>
  <c r="AE393" i="3" s="1"/>
  <c r="D393" i="3"/>
  <c r="AH393" i="3"/>
  <c r="V393" i="3" l="1"/>
  <c r="A394" i="3"/>
  <c r="B394" i="3" s="1"/>
  <c r="F393" i="3"/>
  <c r="G393" i="3"/>
  <c r="I393" i="3" l="1"/>
  <c r="W393" i="3" s="1"/>
  <c r="J393" i="3"/>
  <c r="M393" i="3"/>
  <c r="N393" i="3" s="1"/>
  <c r="P394" i="3"/>
  <c r="Q394" i="3" s="1"/>
  <c r="R394" i="3" s="1"/>
  <c r="S394" i="3" s="1"/>
  <c r="AC394" i="3"/>
  <c r="Z394" i="3"/>
  <c r="AA394" i="3"/>
  <c r="T394" i="3" l="1"/>
  <c r="L393" i="3"/>
  <c r="AH394" i="3" l="1"/>
  <c r="AG394" i="3"/>
  <c r="U393" i="3"/>
  <c r="D394" i="3" s="1"/>
  <c r="Y392" i="3"/>
  <c r="G394" i="3" l="1"/>
  <c r="E394" i="3"/>
  <c r="H394" i="3" s="1"/>
  <c r="F394" i="3" l="1"/>
  <c r="I394" i="3"/>
  <c r="J394" i="3"/>
  <c r="AD394" i="3" s="1"/>
  <c r="M394" i="3"/>
  <c r="N394" i="3" s="1"/>
  <c r="K394" i="3"/>
  <c r="AE394" i="3" s="1"/>
  <c r="L394" i="3" l="1"/>
  <c r="V394" i="3"/>
  <c r="W394" i="3" s="1"/>
  <c r="A395" i="3"/>
  <c r="B395" i="3" s="1"/>
  <c r="U394" i="3" l="1"/>
  <c r="Y393" i="3"/>
  <c r="AD395" i="3"/>
  <c r="AA395" i="3"/>
  <c r="P395" i="3"/>
  <c r="Q395" i="3" s="1"/>
  <c r="R395" i="3" s="1"/>
  <c r="S395" i="3" s="1"/>
  <c r="Z395" i="3"/>
  <c r="AC395" i="3"/>
  <c r="T395" i="3" l="1"/>
  <c r="AG395" i="3" s="1"/>
  <c r="AH395" i="3" l="1"/>
  <c r="E395" i="3"/>
  <c r="H395" i="3" s="1"/>
  <c r="K395" i="3" s="1"/>
  <c r="AE395" i="3" s="1"/>
  <c r="D395" i="3"/>
  <c r="G395" i="3" s="1"/>
  <c r="F395" i="3" l="1"/>
  <c r="V395" i="3"/>
  <c r="A396" i="3"/>
  <c r="B396" i="3" s="1"/>
  <c r="I395" i="3"/>
  <c r="J395" i="3"/>
  <c r="M395" i="3"/>
  <c r="N395" i="3" s="1"/>
  <c r="W395" i="3" l="1"/>
  <c r="L395" i="3"/>
  <c r="AA396" i="3"/>
  <c r="Z396" i="3"/>
  <c r="P396" i="3"/>
  <c r="Q396" i="3" s="1"/>
  <c r="R396" i="3" s="1"/>
  <c r="S396" i="3" s="1"/>
  <c r="AD396" i="3"/>
  <c r="AC396" i="3"/>
  <c r="U395" i="3" l="1"/>
  <c r="Y394" i="3"/>
  <c r="T396" i="3"/>
  <c r="E396" i="3" l="1"/>
  <c r="H396" i="3" s="1"/>
  <c r="K396" i="3" s="1"/>
  <c r="AE396" i="3" s="1"/>
  <c r="AG396" i="3"/>
  <c r="AH396" i="3"/>
  <c r="D396" i="3"/>
  <c r="F396" i="3" l="1"/>
  <c r="G396" i="3"/>
  <c r="V396" i="3"/>
  <c r="A397" i="3"/>
  <c r="B397" i="3" s="1"/>
  <c r="P397" i="3" l="1"/>
  <c r="Q397" i="3" s="1"/>
  <c r="R397" i="3" s="1"/>
  <c r="S397" i="3" s="1"/>
  <c r="AC397" i="3"/>
  <c r="AA397" i="3"/>
  <c r="Z397" i="3"/>
  <c r="AD397" i="3"/>
  <c r="I396" i="3"/>
  <c r="W396" i="3" s="1"/>
  <c r="J396" i="3"/>
  <c r="M396" i="3"/>
  <c r="N396" i="3" s="1"/>
  <c r="T397" i="3" l="1"/>
  <c r="L396" i="3"/>
  <c r="U396" i="3" l="1"/>
  <c r="E397" i="3" s="1"/>
  <c r="H397" i="3" s="1"/>
  <c r="AG397" i="3"/>
  <c r="AH397" i="3"/>
  <c r="Y395" i="3"/>
  <c r="D397" i="3" l="1"/>
  <c r="F397" i="3" s="1"/>
  <c r="K397" i="3"/>
  <c r="AE397" i="3" s="1"/>
  <c r="G397" i="3" l="1"/>
  <c r="M397" i="3" s="1"/>
  <c r="N397" i="3" s="1"/>
  <c r="V397" i="3"/>
  <c r="A398" i="3"/>
  <c r="B398" i="3" s="1"/>
  <c r="I397" i="3" l="1"/>
  <c r="W397" i="3" s="1"/>
  <c r="J397" i="3"/>
  <c r="L397" i="3" s="1"/>
  <c r="AD398" i="3"/>
  <c r="AC398" i="3"/>
  <c r="AA398" i="3"/>
  <c r="P398" i="3"/>
  <c r="Q398" i="3" s="1"/>
  <c r="R398" i="3" s="1"/>
  <c r="S398" i="3" s="1"/>
  <c r="Z398" i="3"/>
  <c r="T398" i="3" l="1"/>
  <c r="U397" i="3"/>
  <c r="Y396" i="3"/>
  <c r="E398" i="3" l="1"/>
  <c r="H398" i="3" s="1"/>
  <c r="K398" i="3" s="1"/>
  <c r="AE398" i="3" s="1"/>
  <c r="D398" i="3"/>
  <c r="G398" i="3" s="1"/>
  <c r="AH398" i="3"/>
  <c r="AG398" i="3"/>
  <c r="F398" i="3" l="1"/>
  <c r="V398" i="3"/>
  <c r="A399" i="3"/>
  <c r="B399" i="3" s="1"/>
  <c r="I398" i="3"/>
  <c r="J398" i="3"/>
  <c r="M398" i="3"/>
  <c r="N398" i="3" s="1"/>
  <c r="L398" i="3" l="1"/>
  <c r="W398" i="3"/>
  <c r="Z399" i="3"/>
  <c r="P399" i="3"/>
  <c r="Q399" i="3" s="1"/>
  <c r="R399" i="3" s="1"/>
  <c r="S399" i="3" s="1"/>
  <c r="AD399" i="3"/>
  <c r="AA399" i="3"/>
  <c r="AC399" i="3"/>
  <c r="U398" i="3" l="1"/>
  <c r="Y397" i="3"/>
  <c r="T399" i="3"/>
  <c r="AH399" i="3" s="1"/>
  <c r="D399" i="3" l="1"/>
  <c r="G399" i="3" s="1"/>
  <c r="AG399" i="3"/>
  <c r="E399" i="3"/>
  <c r="H399" i="3" s="1"/>
  <c r="F399" i="3" l="1"/>
  <c r="I399" i="3"/>
  <c r="J399" i="3"/>
  <c r="M399" i="3"/>
  <c r="N399" i="3" s="1"/>
  <c r="K399" i="3"/>
  <c r="AE399" i="3" s="1"/>
  <c r="V399" i="3" l="1"/>
  <c r="W399" i="3" s="1"/>
  <c r="A400" i="3"/>
  <c r="B400" i="3" s="1"/>
  <c r="L399" i="3"/>
  <c r="U399" i="3" l="1"/>
  <c r="Y398" i="3"/>
  <c r="AD400" i="3"/>
  <c r="AC400" i="3"/>
  <c r="Z400" i="3"/>
  <c r="P400" i="3"/>
  <c r="Q400" i="3" s="1"/>
  <c r="R400" i="3" s="1"/>
  <c r="S400" i="3" s="1"/>
  <c r="AA400" i="3"/>
  <c r="T400" i="3" l="1"/>
  <c r="AH400" i="3" s="1"/>
  <c r="AG400" i="3" l="1"/>
  <c r="D400" i="3"/>
  <c r="G400" i="3" s="1"/>
  <c r="E400" i="3"/>
  <c r="H400" i="3" s="1"/>
  <c r="K400" i="3" s="1"/>
  <c r="AE400" i="3" s="1"/>
  <c r="F400" i="3" l="1"/>
  <c r="V400" i="3"/>
  <c r="A401" i="3"/>
  <c r="B401" i="3" s="1"/>
  <c r="I400" i="3"/>
  <c r="J400" i="3"/>
  <c r="M400" i="3"/>
  <c r="N400" i="3" s="1"/>
  <c r="W400" i="3" l="1"/>
  <c r="L400" i="3"/>
  <c r="AA401" i="3"/>
  <c r="Z401" i="3"/>
  <c r="AC401" i="3"/>
  <c r="AD401" i="3"/>
  <c r="P401" i="3"/>
  <c r="Q401" i="3" s="1"/>
  <c r="R401" i="3" s="1"/>
  <c r="S401" i="3" s="1"/>
  <c r="U400" i="3" l="1"/>
  <c r="Y399" i="3"/>
  <c r="T401" i="3"/>
  <c r="AG401" i="3" s="1"/>
  <c r="D401" i="3" l="1"/>
  <c r="E401" i="3"/>
  <c r="H401" i="3" s="1"/>
  <c r="K401" i="3" s="1"/>
  <c r="AE401" i="3" s="1"/>
  <c r="AH401" i="3"/>
  <c r="F401" i="3" l="1"/>
  <c r="G401" i="3"/>
  <c r="J401" i="3" s="1"/>
  <c r="V401" i="3"/>
  <c r="A402" i="3"/>
  <c r="B402" i="3" s="1"/>
  <c r="M401" i="3" l="1"/>
  <c r="N401" i="3" s="1"/>
  <c r="I401" i="3"/>
  <c r="W401" i="3" s="1"/>
  <c r="L401" i="3"/>
  <c r="AA402" i="3"/>
  <c r="AC402" i="3"/>
  <c r="Z402" i="3"/>
  <c r="AD402" i="3"/>
  <c r="P402" i="3"/>
  <c r="Q402" i="3" s="1"/>
  <c r="R402" i="3" s="1"/>
  <c r="S402" i="3" s="1"/>
  <c r="U401" i="3" l="1"/>
  <c r="Y400" i="3"/>
  <c r="T402" i="3"/>
  <c r="AG402" i="3" s="1"/>
  <c r="AH402" i="3" l="1"/>
  <c r="E402" i="3"/>
  <c r="H402" i="3" s="1"/>
  <c r="K402" i="3" s="1"/>
  <c r="AE402" i="3" s="1"/>
  <c r="D402" i="3"/>
  <c r="G402" i="3" s="1"/>
  <c r="F402" i="3" l="1"/>
  <c r="I402" i="3"/>
  <c r="J402" i="3"/>
  <c r="M402" i="3"/>
  <c r="N402" i="3" s="1"/>
  <c r="V402" i="3"/>
  <c r="A403" i="3"/>
  <c r="B403" i="3" s="1"/>
  <c r="W402" i="3" l="1"/>
  <c r="L402" i="3"/>
  <c r="AC403" i="3"/>
  <c r="AA403" i="3"/>
  <c r="P403" i="3"/>
  <c r="Q403" i="3" s="1"/>
  <c r="R403" i="3" s="1"/>
  <c r="S403" i="3" s="1"/>
  <c r="Z403" i="3"/>
  <c r="AD403" i="3"/>
  <c r="T403" i="3" l="1"/>
  <c r="AH403" i="3" s="1"/>
  <c r="U402" i="3"/>
  <c r="Y401" i="3"/>
  <c r="AG403" i="3" l="1"/>
  <c r="D403" i="3"/>
  <c r="E403" i="3"/>
  <c r="H403" i="3" s="1"/>
  <c r="F403" i="3" l="1"/>
  <c r="G403" i="3"/>
  <c r="K403" i="3"/>
  <c r="AE403" i="3" s="1"/>
  <c r="V403" i="3" l="1"/>
  <c r="A404" i="3"/>
  <c r="B404" i="3" s="1"/>
  <c r="I403" i="3"/>
  <c r="J403" i="3"/>
  <c r="M403" i="3"/>
  <c r="N403" i="3" s="1"/>
  <c r="W403" i="3" l="1"/>
  <c r="L403" i="3"/>
  <c r="P404" i="3"/>
  <c r="Q404" i="3" s="1"/>
  <c r="R404" i="3" s="1"/>
  <c r="S404" i="3" s="1"/>
  <c r="AA404" i="3"/>
  <c r="Z404" i="3"/>
  <c r="AC404" i="3"/>
  <c r="U403" i="3" l="1"/>
  <c r="Y402" i="3"/>
  <c r="T404" i="3"/>
  <c r="AG404" i="3" s="1"/>
  <c r="E404" i="3" l="1"/>
  <c r="H404" i="3" s="1"/>
  <c r="K404" i="3" s="1"/>
  <c r="AE404" i="3" s="1"/>
  <c r="AH404" i="3"/>
  <c r="D404" i="3"/>
  <c r="G404" i="3" s="1"/>
  <c r="F404" i="3" l="1"/>
  <c r="I404" i="3"/>
  <c r="J404" i="3"/>
  <c r="AD404" i="3" s="1"/>
  <c r="M404" i="3"/>
  <c r="N404" i="3" s="1"/>
  <c r="V404" i="3"/>
  <c r="A405" i="3"/>
  <c r="B405" i="3" s="1"/>
  <c r="W404" i="3" l="1"/>
  <c r="L404" i="3"/>
  <c r="P405" i="3"/>
  <c r="Q405" i="3" s="1"/>
  <c r="R405" i="3" s="1"/>
  <c r="S405" i="3" s="1"/>
  <c r="AC405" i="3"/>
  <c r="Z405" i="3"/>
  <c r="AD405" i="3"/>
  <c r="AA405" i="3"/>
  <c r="U404" i="3" l="1"/>
  <c r="Y403" i="3"/>
  <c r="T405" i="3"/>
  <c r="E405" i="3" l="1"/>
  <c r="H405" i="3" s="1"/>
  <c r="K405" i="3" s="1"/>
  <c r="AE405" i="3" s="1"/>
  <c r="AH405" i="3"/>
  <c r="D405" i="3"/>
  <c r="AG405" i="3"/>
  <c r="F405" i="3" l="1"/>
  <c r="G405" i="3"/>
  <c r="V405" i="3"/>
  <c r="A406" i="3"/>
  <c r="B406" i="3" s="1"/>
  <c r="AD406" i="3" l="1"/>
  <c r="AA406" i="3"/>
  <c r="AC406" i="3"/>
  <c r="Z406" i="3"/>
  <c r="P406" i="3"/>
  <c r="Q406" i="3" s="1"/>
  <c r="R406" i="3" s="1"/>
  <c r="S406" i="3" s="1"/>
  <c r="I405" i="3"/>
  <c r="W405" i="3" s="1"/>
  <c r="J405" i="3"/>
  <c r="M405" i="3"/>
  <c r="N405" i="3" s="1"/>
  <c r="T406" i="3" l="1"/>
  <c r="L405" i="3"/>
  <c r="U405" i="3" l="1"/>
  <c r="E406" i="3" s="1"/>
  <c r="H406" i="3" s="1"/>
  <c r="AH406" i="3"/>
  <c r="AG406" i="3"/>
  <c r="Y404" i="3"/>
  <c r="K406" i="3" l="1"/>
  <c r="AE406" i="3" s="1"/>
  <c r="D406" i="3"/>
  <c r="V406" i="3" l="1"/>
  <c r="A407" i="3"/>
  <c r="B407" i="3" s="1"/>
  <c r="F406" i="3"/>
  <c r="G406" i="3"/>
  <c r="I406" i="3" l="1"/>
  <c r="W406" i="3" s="1"/>
  <c r="J406" i="3"/>
  <c r="M406" i="3"/>
  <c r="N406" i="3" s="1"/>
  <c r="AC407" i="3"/>
  <c r="Z407" i="3"/>
  <c r="P407" i="3"/>
  <c r="Q407" i="3" s="1"/>
  <c r="R407" i="3" s="1"/>
  <c r="S407" i="3" s="1"/>
  <c r="AD407" i="3"/>
  <c r="AA407" i="3"/>
  <c r="L406" i="3" l="1"/>
  <c r="T407" i="3"/>
  <c r="U406" i="3" l="1"/>
  <c r="D407" i="3" s="1"/>
  <c r="AG407" i="3"/>
  <c r="AH407" i="3"/>
  <c r="Y405" i="3"/>
  <c r="G407" i="3" l="1"/>
  <c r="E407" i="3"/>
  <c r="H407" i="3" s="1"/>
  <c r="F407" i="3" l="1"/>
  <c r="I407" i="3"/>
  <c r="J407" i="3"/>
  <c r="M407" i="3"/>
  <c r="N407" i="3" s="1"/>
  <c r="K407" i="3"/>
  <c r="AE407" i="3" s="1"/>
  <c r="V407" i="3" l="1"/>
  <c r="W407" i="3" s="1"/>
  <c r="A408" i="3"/>
  <c r="B408" i="3" s="1"/>
  <c r="L407" i="3"/>
  <c r="U407" i="3" l="1"/>
  <c r="Y406" i="3"/>
  <c r="Z408" i="3"/>
  <c r="AC408" i="3"/>
  <c r="AD408" i="3"/>
  <c r="P408" i="3"/>
  <c r="Q408" i="3" s="1"/>
  <c r="R408" i="3" s="1"/>
  <c r="S408" i="3" s="1"/>
  <c r="AA408" i="3"/>
  <c r="T408" i="3" l="1"/>
  <c r="AH408" i="3" s="1"/>
  <c r="E408" i="3" l="1"/>
  <c r="H408" i="3" s="1"/>
  <c r="K408" i="3" s="1"/>
  <c r="AE408" i="3" s="1"/>
  <c r="D408" i="3"/>
  <c r="G408" i="3" s="1"/>
  <c r="AG408" i="3"/>
  <c r="F408" i="3" l="1"/>
  <c r="I408" i="3"/>
  <c r="J408" i="3"/>
  <c r="M408" i="3"/>
  <c r="N408" i="3" s="1"/>
  <c r="V408" i="3"/>
  <c r="A409" i="3"/>
  <c r="B409" i="3" s="1"/>
  <c r="W408" i="3" l="1"/>
  <c r="L408" i="3"/>
  <c r="AA409" i="3"/>
  <c r="AC409" i="3"/>
  <c r="P409" i="3"/>
  <c r="Q409" i="3" s="1"/>
  <c r="R409" i="3" s="1"/>
  <c r="S409" i="3" s="1"/>
  <c r="AD409" i="3"/>
  <c r="Z409" i="3"/>
  <c r="U408" i="3" l="1"/>
  <c r="Y407" i="3"/>
  <c r="T409" i="3"/>
  <c r="E409" i="3" l="1"/>
  <c r="H409" i="3" s="1"/>
  <c r="K409" i="3" s="1"/>
  <c r="AE409" i="3" s="1"/>
  <c r="AH409" i="3"/>
  <c r="D409" i="3"/>
  <c r="AG409" i="3"/>
  <c r="F409" i="3" l="1"/>
  <c r="G409" i="3"/>
  <c r="V409" i="3"/>
  <c r="A410" i="3"/>
  <c r="B410" i="3" s="1"/>
  <c r="P410" i="3" l="1"/>
  <c r="Q410" i="3" s="1"/>
  <c r="R410" i="3" s="1"/>
  <c r="S410" i="3" s="1"/>
  <c r="AA410" i="3"/>
  <c r="AC410" i="3"/>
  <c r="AD410" i="3"/>
  <c r="Z410" i="3"/>
  <c r="I409" i="3"/>
  <c r="W409" i="3" s="1"/>
  <c r="J409" i="3"/>
  <c r="M409" i="3"/>
  <c r="N409" i="3" s="1"/>
  <c r="T410" i="3" l="1"/>
  <c r="L409" i="3"/>
  <c r="AG410" i="3" l="1"/>
  <c r="U409" i="3"/>
  <c r="D410" i="3" s="1"/>
  <c r="AH410" i="3"/>
  <c r="Y408" i="3"/>
  <c r="E410" i="3" l="1"/>
  <c r="H410" i="3" s="1"/>
  <c r="K410" i="3" s="1"/>
  <c r="AE410" i="3" s="1"/>
  <c r="G410" i="3"/>
  <c r="F410" i="3" l="1"/>
  <c r="I410" i="3"/>
  <c r="J410" i="3"/>
  <c r="M410" i="3"/>
  <c r="N410" i="3" s="1"/>
  <c r="V410" i="3"/>
  <c r="A411" i="3"/>
  <c r="B411" i="3" s="1"/>
  <c r="W410" i="3" l="1"/>
  <c r="L410" i="3"/>
  <c r="AC411" i="3"/>
  <c r="P411" i="3"/>
  <c r="Q411" i="3" s="1"/>
  <c r="R411" i="3" s="1"/>
  <c r="S411" i="3" s="1"/>
  <c r="AA411" i="3"/>
  <c r="Z411" i="3"/>
  <c r="AD411" i="3"/>
  <c r="U410" i="3" l="1"/>
  <c r="Y409" i="3"/>
  <c r="T411" i="3"/>
  <c r="AG411" i="3" s="1"/>
  <c r="E411" i="3" l="1"/>
  <c r="H411" i="3" s="1"/>
  <c r="K411" i="3" s="1"/>
  <c r="AE411" i="3" s="1"/>
  <c r="AH411" i="3"/>
  <c r="D411" i="3"/>
  <c r="F411" i="3" l="1"/>
  <c r="G411" i="3"/>
  <c r="V411" i="3"/>
  <c r="A412" i="3"/>
  <c r="B412" i="3" s="1"/>
  <c r="AA412" i="3" l="1"/>
  <c r="AC412" i="3"/>
  <c r="P412" i="3"/>
  <c r="Q412" i="3" s="1"/>
  <c r="R412" i="3" s="1"/>
  <c r="S412" i="3" s="1"/>
  <c r="Z412" i="3"/>
  <c r="AD412" i="3"/>
  <c r="I411" i="3"/>
  <c r="W411" i="3" s="1"/>
  <c r="J411" i="3"/>
  <c r="M411" i="3"/>
  <c r="N411" i="3" s="1"/>
  <c r="T412" i="3" l="1"/>
  <c r="L411" i="3"/>
  <c r="U411" i="3" l="1"/>
  <c r="D412" i="3" s="1"/>
  <c r="AG412" i="3"/>
  <c r="AH412" i="3"/>
  <c r="Y410" i="3"/>
  <c r="G412" i="3" l="1"/>
  <c r="E412" i="3"/>
  <c r="H412" i="3" s="1"/>
  <c r="F412" i="3" l="1"/>
  <c r="I412" i="3"/>
  <c r="J412" i="3"/>
  <c r="M412" i="3"/>
  <c r="N412" i="3" s="1"/>
  <c r="K412" i="3"/>
  <c r="AE412" i="3" s="1"/>
  <c r="V412" i="3" l="1"/>
  <c r="W412" i="3" s="1"/>
  <c r="A413" i="3"/>
  <c r="B413" i="3" s="1"/>
  <c r="L412" i="3"/>
  <c r="U412" i="3" l="1"/>
  <c r="Y411" i="3"/>
  <c r="Z413" i="3"/>
  <c r="P413" i="3"/>
  <c r="Q413" i="3" s="1"/>
  <c r="R413" i="3" s="1"/>
  <c r="S413" i="3" s="1"/>
  <c r="AA413" i="3"/>
  <c r="AC413" i="3"/>
  <c r="AD413" i="3"/>
  <c r="T413" i="3" l="1"/>
  <c r="D413" i="3" s="1"/>
  <c r="E413" i="3" l="1"/>
  <c r="H413" i="3" s="1"/>
  <c r="K413" i="3" s="1"/>
  <c r="AE413" i="3" s="1"/>
  <c r="AH413" i="3"/>
  <c r="G413" i="3"/>
  <c r="AG413" i="3"/>
  <c r="F413" i="3" l="1"/>
  <c r="I413" i="3"/>
  <c r="J413" i="3"/>
  <c r="M413" i="3"/>
  <c r="N413" i="3" s="1"/>
  <c r="V413" i="3"/>
  <c r="A414" i="3"/>
  <c r="B414" i="3" s="1"/>
  <c r="L413" i="3" l="1"/>
  <c r="P414" i="3"/>
  <c r="Q414" i="3" s="1"/>
  <c r="R414" i="3" s="1"/>
  <c r="S414" i="3" s="1"/>
  <c r="Z414" i="3"/>
  <c r="AA414" i="3"/>
  <c r="AC414" i="3"/>
  <c r="W413" i="3"/>
  <c r="U413" i="3" l="1"/>
  <c r="Y412" i="3"/>
  <c r="T414" i="3"/>
  <c r="D414" i="3" l="1"/>
  <c r="G414" i="3" s="1"/>
  <c r="E414" i="3"/>
  <c r="H414" i="3" s="1"/>
  <c r="K414" i="3" s="1"/>
  <c r="AE414" i="3" s="1"/>
  <c r="AG414" i="3"/>
  <c r="AH414" i="3"/>
  <c r="F414" i="3" l="1"/>
  <c r="I414" i="3"/>
  <c r="J414" i="3"/>
  <c r="AD414" i="3" s="1"/>
  <c r="M414" i="3"/>
  <c r="N414" i="3" s="1"/>
  <c r="V414" i="3"/>
  <c r="A415" i="3"/>
  <c r="B415" i="3" s="1"/>
  <c r="W414" i="3" l="1"/>
  <c r="L414" i="3"/>
  <c r="P415" i="3"/>
  <c r="Q415" i="3" s="1"/>
  <c r="R415" i="3" s="1"/>
  <c r="S415" i="3" s="1"/>
  <c r="AA415" i="3"/>
  <c r="Z415" i="3"/>
  <c r="AC415" i="3"/>
  <c r="U414" i="3" l="1"/>
  <c r="Y413" i="3"/>
  <c r="T415" i="3"/>
  <c r="D415" i="3" l="1"/>
  <c r="G415" i="3" s="1"/>
  <c r="AG415" i="3"/>
  <c r="AH415" i="3"/>
  <c r="E415" i="3"/>
  <c r="H415" i="3" s="1"/>
  <c r="F415" i="3" l="1"/>
  <c r="K415" i="3"/>
  <c r="AE415" i="3" s="1"/>
  <c r="I415" i="3"/>
  <c r="J415" i="3"/>
  <c r="AD415" i="3" s="1"/>
  <c r="M415" i="3"/>
  <c r="N415" i="3" s="1"/>
  <c r="L415" i="3" l="1"/>
  <c r="V415" i="3"/>
  <c r="W415" i="3" s="1"/>
  <c r="A416" i="3"/>
  <c r="B416" i="3" s="1"/>
  <c r="Z416" i="3" l="1"/>
  <c r="AA416" i="3"/>
  <c r="P416" i="3"/>
  <c r="Q416" i="3" s="1"/>
  <c r="R416" i="3" s="1"/>
  <c r="S416" i="3" s="1"/>
  <c r="AC416" i="3"/>
  <c r="U415" i="3"/>
  <c r="Y414" i="3"/>
  <c r="T416" i="3" l="1"/>
  <c r="AG416" i="3" s="1"/>
  <c r="D416" i="3" l="1"/>
  <c r="G416" i="3" s="1"/>
  <c r="E416" i="3"/>
  <c r="H416" i="3" s="1"/>
  <c r="K416" i="3" s="1"/>
  <c r="AE416" i="3" s="1"/>
  <c r="AH416" i="3"/>
  <c r="F416" i="3" l="1"/>
  <c r="V416" i="3"/>
  <c r="A417" i="3"/>
  <c r="B417" i="3" s="1"/>
  <c r="I416" i="3"/>
  <c r="J416" i="3"/>
  <c r="AD416" i="3" s="1"/>
  <c r="M416" i="3"/>
  <c r="N416" i="3" s="1"/>
  <c r="W416" i="3" l="1"/>
  <c r="L416" i="3"/>
  <c r="Z417" i="3"/>
  <c r="AC417" i="3"/>
  <c r="AA417" i="3"/>
  <c r="P417" i="3"/>
  <c r="Q417" i="3" s="1"/>
  <c r="R417" i="3" s="1"/>
  <c r="S417" i="3" s="1"/>
  <c r="U416" i="3" l="1"/>
  <c r="Y415" i="3"/>
  <c r="T417" i="3"/>
  <c r="D417" i="3" l="1"/>
  <c r="G417" i="3" s="1"/>
  <c r="AH417" i="3"/>
  <c r="E417" i="3"/>
  <c r="H417" i="3" s="1"/>
  <c r="K417" i="3" s="1"/>
  <c r="AE417" i="3" s="1"/>
  <c r="AG417" i="3"/>
  <c r="F417" i="3" l="1"/>
  <c r="V417" i="3"/>
  <c r="A418" i="3"/>
  <c r="B418" i="3" s="1"/>
  <c r="I417" i="3"/>
  <c r="J417" i="3"/>
  <c r="AD417" i="3" s="1"/>
  <c r="M417" i="3"/>
  <c r="N417" i="3" s="1"/>
  <c r="W417" i="3" l="1"/>
  <c r="L417" i="3"/>
  <c r="Z418" i="3"/>
  <c r="AA418" i="3"/>
  <c r="AC418" i="3"/>
  <c r="P418" i="3"/>
  <c r="Q418" i="3" s="1"/>
  <c r="R418" i="3" s="1"/>
  <c r="S418" i="3" s="1"/>
  <c r="T418" i="3" l="1"/>
  <c r="U417" i="3"/>
  <c r="Y416" i="3"/>
  <c r="D418" i="3" l="1"/>
  <c r="G418" i="3" s="1"/>
  <c r="E418" i="3"/>
  <c r="H418" i="3" s="1"/>
  <c r="AG418" i="3"/>
  <c r="AH418" i="3"/>
  <c r="F418" i="3" l="1"/>
  <c r="I418" i="3"/>
  <c r="J418" i="3"/>
  <c r="AD418" i="3" s="1"/>
  <c r="M418" i="3"/>
  <c r="N418" i="3" s="1"/>
  <c r="K418" i="3"/>
  <c r="AE418" i="3" s="1"/>
  <c r="V418" i="3" l="1"/>
  <c r="W418" i="3" s="1"/>
  <c r="A419" i="3"/>
  <c r="B419" i="3" s="1"/>
  <c r="L418" i="3"/>
  <c r="U418" i="3" l="1"/>
  <c r="Y417" i="3"/>
  <c r="AA419" i="3"/>
  <c r="P419" i="3"/>
  <c r="Q419" i="3" s="1"/>
  <c r="R419" i="3" s="1"/>
  <c r="S419" i="3" s="1"/>
  <c r="Z419" i="3"/>
  <c r="AC419" i="3"/>
  <c r="T419" i="3" l="1"/>
  <c r="AG419" i="3" s="1"/>
  <c r="AH419" i="3" l="1"/>
  <c r="E419" i="3"/>
  <c r="H419" i="3" s="1"/>
  <c r="K419" i="3" s="1"/>
  <c r="AE419" i="3" s="1"/>
  <c r="D419" i="3"/>
  <c r="F419" i="3" l="1"/>
  <c r="G419" i="3"/>
  <c r="J419" i="3" s="1"/>
  <c r="AD419" i="3" s="1"/>
  <c r="V419" i="3"/>
  <c r="A420" i="3"/>
  <c r="B420" i="3" s="1"/>
  <c r="I419" i="3" l="1"/>
  <c r="W419" i="3" s="1"/>
  <c r="M419" i="3"/>
  <c r="N419" i="3" s="1"/>
  <c r="L419" i="3"/>
  <c r="AC420" i="3"/>
  <c r="AA420" i="3"/>
  <c r="Z420" i="3"/>
  <c r="P420" i="3"/>
  <c r="Q420" i="3" s="1"/>
  <c r="R420" i="3" s="1"/>
  <c r="S420" i="3" s="1"/>
  <c r="T420" i="3" l="1"/>
  <c r="AH420" i="3" s="1"/>
  <c r="U419" i="3"/>
  <c r="Y418" i="3"/>
  <c r="E420" i="3" l="1"/>
  <c r="H420" i="3" s="1"/>
  <c r="K420" i="3" s="1"/>
  <c r="AE420" i="3" s="1"/>
  <c r="D420" i="3"/>
  <c r="AG420" i="3"/>
  <c r="V420" i="3" l="1"/>
  <c r="A421" i="3"/>
  <c r="B421" i="3" s="1"/>
  <c r="F420" i="3"/>
  <c r="G420" i="3"/>
  <c r="I420" i="3" l="1"/>
  <c r="W420" i="3" s="1"/>
  <c r="J420" i="3"/>
  <c r="AD420" i="3" s="1"/>
  <c r="M420" i="3"/>
  <c r="N420" i="3" s="1"/>
  <c r="Z421" i="3"/>
  <c r="P421" i="3"/>
  <c r="Q421" i="3" s="1"/>
  <c r="R421" i="3" s="1"/>
  <c r="S421" i="3" s="1"/>
  <c r="AC421" i="3"/>
  <c r="AA421" i="3"/>
  <c r="T421" i="3" l="1"/>
  <c r="L420" i="3"/>
  <c r="U420" i="3" l="1"/>
  <c r="D421" i="3" s="1"/>
  <c r="AH421" i="3"/>
  <c r="AG421" i="3"/>
  <c r="Y419" i="3"/>
  <c r="E421" i="3" l="1"/>
  <c r="H421" i="3" s="1"/>
  <c r="K421" i="3" s="1"/>
  <c r="AE421" i="3" s="1"/>
  <c r="G421" i="3"/>
  <c r="F421" i="3" l="1"/>
  <c r="V421" i="3"/>
  <c r="A422" i="3"/>
  <c r="B422" i="3" s="1"/>
  <c r="I421" i="3"/>
  <c r="J421" i="3"/>
  <c r="AD421" i="3" s="1"/>
  <c r="M421" i="3"/>
  <c r="N421" i="3" s="1"/>
  <c r="W421" i="3" l="1"/>
  <c r="L421" i="3"/>
  <c r="Z422" i="3"/>
  <c r="P422" i="3"/>
  <c r="Q422" i="3" s="1"/>
  <c r="R422" i="3" s="1"/>
  <c r="S422" i="3" s="1"/>
  <c r="AC422" i="3"/>
  <c r="AA422" i="3"/>
  <c r="U421" i="3" l="1"/>
  <c r="Y420" i="3"/>
  <c r="T422" i="3"/>
  <c r="D422" i="3" l="1"/>
  <c r="G422" i="3" s="1"/>
  <c r="AG422" i="3"/>
  <c r="E422" i="3"/>
  <c r="H422" i="3" s="1"/>
  <c r="K422" i="3" s="1"/>
  <c r="AE422" i="3" s="1"/>
  <c r="AH422" i="3"/>
  <c r="F422" i="3" l="1"/>
  <c r="V422" i="3"/>
  <c r="A423" i="3"/>
  <c r="B423" i="3" s="1"/>
  <c r="I422" i="3"/>
  <c r="J422" i="3"/>
  <c r="AD422" i="3" s="1"/>
  <c r="M422" i="3"/>
  <c r="N422" i="3" s="1"/>
  <c r="L422" i="3" l="1"/>
  <c r="W422" i="3"/>
  <c r="P423" i="3"/>
  <c r="Q423" i="3" s="1"/>
  <c r="R423" i="3" s="1"/>
  <c r="S423" i="3" s="1"/>
  <c r="Z423" i="3"/>
  <c r="AC423" i="3"/>
  <c r="AA423" i="3"/>
  <c r="U422" i="3" l="1"/>
  <c r="Y421" i="3"/>
  <c r="T423" i="3"/>
  <c r="D423" i="3" l="1"/>
  <c r="G423" i="3" s="1"/>
  <c r="AH423" i="3"/>
  <c r="E423" i="3"/>
  <c r="H423" i="3" s="1"/>
  <c r="K423" i="3" s="1"/>
  <c r="AE423" i="3" s="1"/>
  <c r="AG423" i="3"/>
  <c r="F423" i="3" l="1"/>
  <c r="V423" i="3"/>
  <c r="A424" i="3"/>
  <c r="B424" i="3" s="1"/>
  <c r="I423" i="3"/>
  <c r="J423" i="3"/>
  <c r="AD423" i="3" s="1"/>
  <c r="M423" i="3"/>
  <c r="N423" i="3" s="1"/>
  <c r="W423" i="3" l="1"/>
  <c r="L423" i="3"/>
  <c r="AA424" i="3"/>
  <c r="P424" i="3"/>
  <c r="Q424" i="3" s="1"/>
  <c r="R424" i="3" s="1"/>
  <c r="S424" i="3" s="1"/>
  <c r="Z424" i="3"/>
  <c r="AC424" i="3"/>
  <c r="T424" i="3" l="1"/>
  <c r="U423" i="3"/>
  <c r="Y422" i="3"/>
  <c r="D424" i="3" l="1"/>
  <c r="G424" i="3" s="1"/>
  <c r="E424" i="3"/>
  <c r="H424" i="3" s="1"/>
  <c r="K424" i="3" s="1"/>
  <c r="AE424" i="3" s="1"/>
  <c r="AG424" i="3"/>
  <c r="AH424" i="3"/>
  <c r="F424" i="3" l="1"/>
  <c r="V424" i="3"/>
  <c r="A425" i="3"/>
  <c r="B425" i="3" s="1"/>
  <c r="I424" i="3"/>
  <c r="J424" i="3"/>
  <c r="AD424" i="3" s="1"/>
  <c r="M424" i="3"/>
  <c r="N424" i="3" s="1"/>
  <c r="W424" i="3" l="1"/>
  <c r="L424" i="3"/>
  <c r="Z425" i="3"/>
  <c r="AA425" i="3"/>
  <c r="P425" i="3"/>
  <c r="Q425" i="3" s="1"/>
  <c r="R425" i="3" s="1"/>
  <c r="S425" i="3" s="1"/>
  <c r="AC425" i="3"/>
  <c r="AD425" i="3"/>
  <c r="U424" i="3" l="1"/>
  <c r="Y423" i="3"/>
  <c r="T425" i="3"/>
  <c r="E425" i="3" l="1"/>
  <c r="H425" i="3" s="1"/>
  <c r="K425" i="3" s="1"/>
  <c r="AE425" i="3" s="1"/>
  <c r="D425" i="3"/>
  <c r="G425" i="3" s="1"/>
  <c r="AH425" i="3"/>
  <c r="AG425" i="3"/>
  <c r="F425" i="3" l="1"/>
  <c r="I425" i="3"/>
  <c r="J425" i="3"/>
  <c r="M425" i="3"/>
  <c r="N425" i="3" s="1"/>
  <c r="V425" i="3"/>
  <c r="A426" i="3"/>
  <c r="B426" i="3" s="1"/>
  <c r="L425" i="3" l="1"/>
  <c r="W425" i="3"/>
  <c r="P426" i="3"/>
  <c r="Q426" i="3" s="1"/>
  <c r="R426" i="3" s="1"/>
  <c r="S426" i="3" s="1"/>
  <c r="AA426" i="3"/>
  <c r="AD426" i="3"/>
  <c r="Z426" i="3"/>
  <c r="AC426" i="3"/>
  <c r="U425" i="3" l="1"/>
  <c r="Y424" i="3"/>
  <c r="T426" i="3"/>
  <c r="AH426" i="3" s="1"/>
  <c r="E426" i="3" l="1"/>
  <c r="H426" i="3" s="1"/>
  <c r="D426" i="3"/>
  <c r="AG426" i="3"/>
  <c r="K426" i="3" l="1"/>
  <c r="AE426" i="3" s="1"/>
  <c r="F426" i="3"/>
  <c r="G426" i="3"/>
  <c r="V426" i="3" l="1"/>
  <c r="A427" i="3"/>
  <c r="B427" i="3" s="1"/>
  <c r="I426" i="3"/>
  <c r="J426" i="3"/>
  <c r="M426" i="3"/>
  <c r="N426" i="3" s="1"/>
  <c r="W426" i="3" l="1"/>
  <c r="L426" i="3"/>
  <c r="P427" i="3"/>
  <c r="Q427" i="3" s="1"/>
  <c r="R427" i="3" s="1"/>
  <c r="S427" i="3" s="1"/>
  <c r="AC427" i="3"/>
  <c r="AD427" i="3"/>
  <c r="Z427" i="3"/>
  <c r="AA427" i="3"/>
  <c r="U426" i="3" l="1"/>
  <c r="Y425" i="3"/>
  <c r="T427" i="3"/>
  <c r="AG427" i="3" s="1"/>
  <c r="D427" i="3" l="1"/>
  <c r="G427" i="3" s="1"/>
  <c r="E427" i="3"/>
  <c r="H427" i="3" s="1"/>
  <c r="K427" i="3" s="1"/>
  <c r="AE427" i="3" s="1"/>
  <c r="AH427" i="3"/>
  <c r="F427" i="3" l="1"/>
  <c r="I427" i="3"/>
  <c r="J427" i="3"/>
  <c r="M427" i="3"/>
  <c r="N427" i="3" s="1"/>
  <c r="V427" i="3"/>
  <c r="A428" i="3"/>
  <c r="B428" i="3" s="1"/>
  <c r="W427" i="3" l="1"/>
  <c r="L427" i="3"/>
  <c r="P428" i="3"/>
  <c r="Q428" i="3" s="1"/>
  <c r="R428" i="3" s="1"/>
  <c r="S428" i="3" s="1"/>
  <c r="AC428" i="3"/>
  <c r="Z428" i="3"/>
  <c r="AA428" i="3"/>
  <c r="AD428" i="3"/>
  <c r="U427" i="3" l="1"/>
  <c r="Y426" i="3"/>
  <c r="T428" i="3"/>
  <c r="AG428" i="3" s="1"/>
  <c r="E428" i="3" l="1"/>
  <c r="H428" i="3" s="1"/>
  <c r="AH428" i="3"/>
  <c r="D428" i="3"/>
  <c r="K428" i="3" l="1"/>
  <c r="AE428" i="3" s="1"/>
  <c r="F428" i="3"/>
  <c r="G428" i="3"/>
  <c r="I428" i="3" l="1"/>
  <c r="J428" i="3"/>
  <c r="M428" i="3"/>
  <c r="N428" i="3" s="1"/>
  <c r="V428" i="3"/>
  <c r="A429" i="3"/>
  <c r="B429" i="3" s="1"/>
  <c r="W428" i="3" l="1"/>
  <c r="AD429" i="3"/>
  <c r="Z429" i="3"/>
  <c r="AC429" i="3"/>
  <c r="P429" i="3"/>
  <c r="Q429" i="3" s="1"/>
  <c r="R429" i="3" s="1"/>
  <c r="S429" i="3" s="1"/>
  <c r="AA429" i="3"/>
  <c r="L428" i="3"/>
  <c r="U428" i="3" l="1"/>
  <c r="Y427" i="3"/>
  <c r="T429" i="3"/>
  <c r="D429" i="3" l="1"/>
  <c r="G429" i="3" s="1"/>
  <c r="E429" i="3"/>
  <c r="H429" i="3" s="1"/>
  <c r="K429" i="3" s="1"/>
  <c r="AE429" i="3" s="1"/>
  <c r="AG429" i="3"/>
  <c r="AH429" i="3"/>
  <c r="F429" i="3" l="1"/>
  <c r="I429" i="3"/>
  <c r="J429" i="3"/>
  <c r="M429" i="3"/>
  <c r="N429" i="3" s="1"/>
  <c r="V429" i="3"/>
  <c r="A430" i="3"/>
  <c r="B430" i="3" s="1"/>
  <c r="L429" i="3" l="1"/>
  <c r="W429" i="3"/>
  <c r="AA430" i="3"/>
  <c r="Z430" i="3"/>
  <c r="P430" i="3"/>
  <c r="Q430" i="3" s="1"/>
  <c r="R430" i="3" s="1"/>
  <c r="S430" i="3" s="1"/>
  <c r="AC430" i="3"/>
  <c r="AD430" i="3"/>
  <c r="U429" i="3" l="1"/>
  <c r="Y428" i="3"/>
  <c r="T430" i="3"/>
  <c r="D430" i="3" l="1"/>
  <c r="G430" i="3" s="1"/>
  <c r="AH430" i="3"/>
  <c r="E430" i="3"/>
  <c r="H430" i="3" s="1"/>
  <c r="AG430" i="3"/>
  <c r="F430" i="3" l="1"/>
  <c r="I430" i="3"/>
  <c r="J430" i="3"/>
  <c r="M430" i="3"/>
  <c r="N430" i="3" s="1"/>
  <c r="K430" i="3"/>
  <c r="AE430" i="3" s="1"/>
  <c r="V430" i="3" l="1"/>
  <c r="W430" i="3" s="1"/>
  <c r="A431" i="3"/>
  <c r="B431" i="3" s="1"/>
  <c r="L430" i="3"/>
  <c r="U430" i="3" l="1"/>
  <c r="Y429" i="3"/>
  <c r="AC431" i="3"/>
  <c r="Z431" i="3"/>
  <c r="P431" i="3"/>
  <c r="Q431" i="3" s="1"/>
  <c r="R431" i="3" s="1"/>
  <c r="S431" i="3" s="1"/>
  <c r="AA431" i="3"/>
  <c r="AD431" i="3"/>
  <c r="T431" i="3" l="1"/>
  <c r="AH431" i="3" s="1"/>
  <c r="E431" i="3" l="1"/>
  <c r="H431" i="3" s="1"/>
  <c r="AG431" i="3"/>
  <c r="D431" i="3"/>
  <c r="K431" i="3" l="1"/>
  <c r="AE431" i="3" s="1"/>
  <c r="F431" i="3"/>
  <c r="G431" i="3"/>
  <c r="V431" i="3" l="1"/>
  <c r="A432" i="3"/>
  <c r="B432" i="3" s="1"/>
  <c r="I431" i="3"/>
  <c r="J431" i="3"/>
  <c r="M431" i="3"/>
  <c r="N431" i="3" s="1"/>
  <c r="W431" i="3" l="1"/>
  <c r="L431" i="3"/>
  <c r="AA432" i="3"/>
  <c r="P432" i="3"/>
  <c r="Q432" i="3" s="1"/>
  <c r="R432" i="3" s="1"/>
  <c r="S432" i="3" s="1"/>
  <c r="AC432" i="3"/>
  <c r="Z432" i="3"/>
  <c r="AD432" i="3"/>
  <c r="T432" i="3" l="1"/>
  <c r="AH432" i="3" s="1"/>
  <c r="U431" i="3"/>
  <c r="Y430" i="3"/>
  <c r="AG432" i="3" l="1"/>
  <c r="E432" i="3"/>
  <c r="H432" i="3" s="1"/>
  <c r="D432" i="3"/>
  <c r="K432" i="3" l="1"/>
  <c r="AE432" i="3" s="1"/>
  <c r="F432" i="3"/>
  <c r="G432" i="3"/>
  <c r="I432" i="3" l="1"/>
  <c r="J432" i="3"/>
  <c r="M432" i="3"/>
  <c r="N432" i="3" s="1"/>
  <c r="V432" i="3"/>
  <c r="A433" i="3"/>
  <c r="B433" i="3" s="1"/>
  <c r="W432" i="3" l="1"/>
  <c r="L432" i="3"/>
  <c r="P433" i="3"/>
  <c r="Q433" i="3" s="1"/>
  <c r="R433" i="3" s="1"/>
  <c r="S433" i="3" s="1"/>
  <c r="AC433" i="3"/>
  <c r="Z433" i="3"/>
  <c r="AA433" i="3"/>
  <c r="AD433" i="3"/>
  <c r="U432" i="3" l="1"/>
  <c r="Y431" i="3"/>
  <c r="T433" i="3"/>
  <c r="E433" i="3" l="1"/>
  <c r="H433" i="3" s="1"/>
  <c r="K433" i="3" s="1"/>
  <c r="AE433" i="3" s="1"/>
  <c r="D433" i="3"/>
  <c r="AG433" i="3"/>
  <c r="AH433" i="3"/>
  <c r="F433" i="3" l="1"/>
  <c r="G433" i="3"/>
  <c r="M433" i="3" s="1"/>
  <c r="N433" i="3" s="1"/>
  <c r="V433" i="3"/>
  <c r="A434" i="3"/>
  <c r="B434" i="3" s="1"/>
  <c r="I433" i="3" l="1"/>
  <c r="W433" i="3" s="1"/>
  <c r="J433" i="3"/>
  <c r="L433" i="3" s="1"/>
  <c r="P434" i="3"/>
  <c r="Q434" i="3" s="1"/>
  <c r="R434" i="3" s="1"/>
  <c r="S434" i="3" s="1"/>
  <c r="Z434" i="3"/>
  <c r="AA434" i="3"/>
  <c r="AC434" i="3"/>
  <c r="U433" i="3" l="1"/>
  <c r="Y432" i="3"/>
  <c r="T434" i="3"/>
  <c r="AH434" i="3" s="1"/>
  <c r="E434" i="3" l="1"/>
  <c r="H434" i="3" s="1"/>
  <c r="K434" i="3" s="1"/>
  <c r="AE434" i="3" s="1"/>
  <c r="AG434" i="3"/>
  <c r="D434" i="3"/>
  <c r="F434" i="3" l="1"/>
  <c r="G434" i="3"/>
  <c r="M434" i="3" s="1"/>
  <c r="N434" i="3" s="1"/>
  <c r="V434" i="3"/>
  <c r="A435" i="3"/>
  <c r="B435" i="3" s="1"/>
  <c r="I434" i="3" l="1"/>
  <c r="W434" i="3" s="1"/>
  <c r="J434" i="3"/>
  <c r="P435" i="3"/>
  <c r="Q435" i="3" s="1"/>
  <c r="R435" i="3" s="1"/>
  <c r="S435" i="3" s="1"/>
  <c r="AA435" i="3"/>
  <c r="AD435" i="3"/>
  <c r="AC435" i="3"/>
  <c r="Z435" i="3"/>
  <c r="L434" i="3" l="1"/>
  <c r="Y433" i="3" s="1"/>
  <c r="AD434" i="3"/>
  <c r="T435" i="3"/>
  <c r="U434" i="3" l="1"/>
  <c r="E435" i="3" s="1"/>
  <c r="H435" i="3" s="1"/>
  <c r="AG435" i="3"/>
  <c r="AH435" i="3"/>
  <c r="D435" i="3" l="1"/>
  <c r="G435" i="3" s="1"/>
  <c r="I435" i="3" s="1"/>
  <c r="K435" i="3"/>
  <c r="AE435" i="3" s="1"/>
  <c r="J435" i="3" l="1"/>
  <c r="L435" i="3" s="1"/>
  <c r="M435" i="3"/>
  <c r="N435" i="3" s="1"/>
  <c r="F435" i="3"/>
  <c r="V435" i="3"/>
  <c r="W435" i="3" s="1"/>
  <c r="A436" i="3"/>
  <c r="B436" i="3" s="1"/>
  <c r="AC436" i="3" l="1"/>
  <c r="Z436" i="3"/>
  <c r="P436" i="3"/>
  <c r="Q436" i="3" s="1"/>
  <c r="R436" i="3" s="1"/>
  <c r="S436" i="3" s="1"/>
  <c r="AA436" i="3"/>
  <c r="AD436" i="3"/>
  <c r="U435" i="3"/>
  <c r="Y434" i="3"/>
  <c r="T436" i="3" l="1"/>
  <c r="E436" i="3" l="1"/>
  <c r="H436" i="3" s="1"/>
  <c r="D436" i="3"/>
  <c r="AH436" i="3"/>
  <c r="AG436" i="3"/>
  <c r="F436" i="3" l="1"/>
  <c r="G436" i="3"/>
  <c r="K436" i="3"/>
  <c r="AE436" i="3" s="1"/>
  <c r="I436" i="3" l="1"/>
  <c r="J436" i="3"/>
  <c r="M436" i="3"/>
  <c r="N436" i="3" s="1"/>
  <c r="V436" i="3"/>
  <c r="A437" i="3"/>
  <c r="B437" i="3" s="1"/>
  <c r="W436" i="3" l="1"/>
  <c r="L436" i="3"/>
  <c r="AC437" i="3"/>
  <c r="AA437" i="3"/>
  <c r="P437" i="3"/>
  <c r="Q437" i="3" s="1"/>
  <c r="R437" i="3" s="1"/>
  <c r="S437" i="3" s="1"/>
  <c r="AD437" i="3"/>
  <c r="Z437" i="3"/>
  <c r="U436" i="3" l="1"/>
  <c r="Y435" i="3"/>
  <c r="T437" i="3"/>
  <c r="AH437" i="3" s="1"/>
  <c r="D437" i="3" l="1"/>
  <c r="G437" i="3" s="1"/>
  <c r="E437" i="3"/>
  <c r="H437" i="3" s="1"/>
  <c r="K437" i="3" s="1"/>
  <c r="AE437" i="3" s="1"/>
  <c r="AG437" i="3"/>
  <c r="F437" i="3" l="1"/>
  <c r="I437" i="3"/>
  <c r="J437" i="3"/>
  <c r="M437" i="3"/>
  <c r="N437" i="3" s="1"/>
  <c r="V437" i="3"/>
  <c r="A438" i="3"/>
  <c r="B438" i="3" s="1"/>
  <c r="W437" i="3" l="1"/>
  <c r="L437" i="3"/>
  <c r="Z438" i="3"/>
  <c r="P438" i="3"/>
  <c r="Q438" i="3" s="1"/>
  <c r="R438" i="3" s="1"/>
  <c r="S438" i="3" s="1"/>
  <c r="AC438" i="3"/>
  <c r="AD438" i="3"/>
  <c r="AA438" i="3"/>
  <c r="U437" i="3" l="1"/>
  <c r="Y436" i="3"/>
  <c r="T438" i="3"/>
  <c r="E438" i="3" l="1"/>
  <c r="H438" i="3" s="1"/>
  <c r="K438" i="3" s="1"/>
  <c r="AE438" i="3" s="1"/>
  <c r="D438" i="3"/>
  <c r="AH438" i="3"/>
  <c r="AG438" i="3"/>
  <c r="V438" i="3" l="1"/>
  <c r="A439" i="3"/>
  <c r="B439" i="3" s="1"/>
  <c r="F438" i="3"/>
  <c r="G438" i="3"/>
  <c r="I438" i="3" l="1"/>
  <c r="W438" i="3" s="1"/>
  <c r="J438" i="3"/>
  <c r="M438" i="3"/>
  <c r="N438" i="3" s="1"/>
  <c r="Z439" i="3"/>
  <c r="P439" i="3"/>
  <c r="Q439" i="3" s="1"/>
  <c r="R439" i="3" s="1"/>
  <c r="S439" i="3" s="1"/>
  <c r="AD439" i="3"/>
  <c r="AC439" i="3"/>
  <c r="AA439" i="3"/>
  <c r="T439" i="3" l="1"/>
  <c r="L438" i="3"/>
  <c r="AG439" i="3" l="1"/>
  <c r="AH439" i="3"/>
  <c r="U438" i="3"/>
  <c r="E439" i="3" s="1"/>
  <c r="H439" i="3" s="1"/>
  <c r="Y437" i="3"/>
  <c r="D439" i="3" l="1"/>
  <c r="G439" i="3" s="1"/>
  <c r="K439" i="3"/>
  <c r="AE439" i="3" s="1"/>
  <c r="F439" i="3" l="1"/>
  <c r="V439" i="3"/>
  <c r="A440" i="3"/>
  <c r="B440" i="3" s="1"/>
  <c r="I439" i="3"/>
  <c r="J439" i="3"/>
  <c r="M439" i="3"/>
  <c r="N439" i="3" s="1"/>
  <c r="W439" i="3" l="1"/>
  <c r="L439" i="3"/>
  <c r="Z440" i="3"/>
  <c r="AC440" i="3"/>
  <c r="P440" i="3"/>
  <c r="Q440" i="3" s="1"/>
  <c r="R440" i="3" s="1"/>
  <c r="S440" i="3" s="1"/>
  <c r="AA440" i="3"/>
  <c r="AD440" i="3"/>
  <c r="T440" i="3" l="1"/>
  <c r="AH440" i="3" s="1"/>
  <c r="U439" i="3"/>
  <c r="Y438" i="3"/>
  <c r="AG440" i="3" l="1"/>
  <c r="D440" i="3"/>
  <c r="E440" i="3"/>
  <c r="H440" i="3" s="1"/>
  <c r="K440" i="3" l="1"/>
  <c r="AE440" i="3" s="1"/>
  <c r="F440" i="3"/>
  <c r="G440" i="3"/>
  <c r="I440" i="3" l="1"/>
  <c r="J440" i="3"/>
  <c r="M440" i="3"/>
  <c r="N440" i="3" s="1"/>
  <c r="V440" i="3"/>
  <c r="A441" i="3"/>
  <c r="B441" i="3" s="1"/>
  <c r="W440" i="3" l="1"/>
  <c r="L440" i="3"/>
  <c r="P441" i="3"/>
  <c r="Q441" i="3" s="1"/>
  <c r="R441" i="3" s="1"/>
  <c r="S441" i="3" s="1"/>
  <c r="AD441" i="3"/>
  <c r="AC441" i="3"/>
  <c r="Z441" i="3"/>
  <c r="AA441" i="3"/>
  <c r="T441" i="3" l="1"/>
  <c r="AH441" i="3" s="1"/>
  <c r="U440" i="3"/>
  <c r="Y439" i="3"/>
  <c r="E441" i="3" l="1"/>
  <c r="H441" i="3" s="1"/>
  <c r="K441" i="3" s="1"/>
  <c r="AE441" i="3" s="1"/>
  <c r="AG441" i="3"/>
  <c r="D441" i="3"/>
  <c r="V441" i="3" l="1"/>
  <c r="A442" i="3"/>
  <c r="B442" i="3" s="1"/>
  <c r="F441" i="3"/>
  <c r="G441" i="3"/>
  <c r="I441" i="3" l="1"/>
  <c r="W441" i="3" s="1"/>
  <c r="J441" i="3"/>
  <c r="M441" i="3"/>
  <c r="N441" i="3" s="1"/>
  <c r="AC442" i="3"/>
  <c r="AD442" i="3"/>
  <c r="AA442" i="3"/>
  <c r="P442" i="3"/>
  <c r="Q442" i="3" s="1"/>
  <c r="R442" i="3" s="1"/>
  <c r="S442" i="3" s="1"/>
  <c r="Z442" i="3"/>
  <c r="T442" i="3" l="1"/>
  <c r="L441" i="3"/>
  <c r="U441" i="3" l="1"/>
  <c r="D442" i="3" s="1"/>
  <c r="AH442" i="3"/>
  <c r="AG442" i="3"/>
  <c r="Y440" i="3"/>
  <c r="G442" i="3" l="1"/>
  <c r="E442" i="3"/>
  <c r="H442" i="3" s="1"/>
  <c r="I442" i="3" l="1"/>
  <c r="J442" i="3"/>
  <c r="M442" i="3"/>
  <c r="N442" i="3" s="1"/>
  <c r="F442" i="3"/>
  <c r="K442" i="3"/>
  <c r="AE442" i="3" s="1"/>
  <c r="V442" i="3" l="1"/>
  <c r="W442" i="3" s="1"/>
  <c r="A443" i="3"/>
  <c r="B443" i="3" s="1"/>
  <c r="L442" i="3"/>
  <c r="U442" i="3" l="1"/>
  <c r="Y441" i="3"/>
  <c r="Z443" i="3"/>
  <c r="P443" i="3"/>
  <c r="Q443" i="3" s="1"/>
  <c r="R443" i="3" s="1"/>
  <c r="S443" i="3" s="1"/>
  <c r="AD443" i="3"/>
  <c r="AC443" i="3"/>
  <c r="AA443" i="3"/>
  <c r="T443" i="3" l="1"/>
  <c r="D443" i="3" s="1"/>
  <c r="E443" i="3" l="1"/>
  <c r="H443" i="3" s="1"/>
  <c r="K443" i="3" s="1"/>
  <c r="AE443" i="3" s="1"/>
  <c r="G443" i="3"/>
  <c r="AG443" i="3"/>
  <c r="AH443" i="3"/>
  <c r="F443" i="3" l="1"/>
  <c r="V443" i="3"/>
  <c r="A444" i="3"/>
  <c r="B444" i="3" s="1"/>
  <c r="I443" i="3"/>
  <c r="J443" i="3"/>
  <c r="M443" i="3"/>
  <c r="N443" i="3" s="1"/>
  <c r="W443" i="3" l="1"/>
  <c r="L443" i="3"/>
  <c r="Z444" i="3"/>
  <c r="P444" i="3"/>
  <c r="Q444" i="3" s="1"/>
  <c r="R444" i="3" s="1"/>
  <c r="S444" i="3" s="1"/>
  <c r="AA444" i="3"/>
  <c r="AC444" i="3"/>
  <c r="U443" i="3" l="1"/>
  <c r="Y442" i="3"/>
  <c r="T444" i="3"/>
  <c r="AG444" i="3" s="1"/>
  <c r="AH444" i="3" l="1"/>
  <c r="D444" i="3"/>
  <c r="E444" i="3"/>
  <c r="H444" i="3" s="1"/>
  <c r="F444" i="3" l="1"/>
  <c r="G444" i="3"/>
  <c r="K444" i="3"/>
  <c r="AE444" i="3" s="1"/>
  <c r="I444" i="3" l="1"/>
  <c r="J444" i="3"/>
  <c r="AD444" i="3" s="1"/>
  <c r="M444" i="3"/>
  <c r="N444" i="3" s="1"/>
  <c r="V444" i="3"/>
  <c r="A445" i="3"/>
  <c r="B445" i="3" s="1"/>
  <c r="W444" i="3" l="1"/>
  <c r="L444" i="3"/>
  <c r="AA445" i="3"/>
  <c r="P445" i="3"/>
  <c r="Q445" i="3" s="1"/>
  <c r="R445" i="3" s="1"/>
  <c r="S445" i="3" s="1"/>
  <c r="Z445" i="3"/>
  <c r="AD445" i="3"/>
  <c r="AC445" i="3"/>
  <c r="T445" i="3" l="1"/>
  <c r="U444" i="3"/>
  <c r="Y443" i="3"/>
  <c r="D445" i="3" l="1"/>
  <c r="G445" i="3" s="1"/>
  <c r="AG445" i="3"/>
  <c r="E445" i="3"/>
  <c r="H445" i="3" s="1"/>
  <c r="AH445" i="3"/>
  <c r="K445" i="3" l="1"/>
  <c r="AE445" i="3" s="1"/>
  <c r="I445" i="3"/>
  <c r="J445" i="3"/>
  <c r="M445" i="3"/>
  <c r="N445" i="3" s="1"/>
  <c r="F445" i="3"/>
  <c r="L445" i="3" l="1"/>
  <c r="V445" i="3"/>
  <c r="W445" i="3" s="1"/>
  <c r="A446" i="3"/>
  <c r="B446" i="3" s="1"/>
  <c r="AD446" i="3" l="1"/>
  <c r="AC446" i="3"/>
  <c r="P446" i="3"/>
  <c r="Q446" i="3" s="1"/>
  <c r="R446" i="3" s="1"/>
  <c r="S446" i="3" s="1"/>
  <c r="Z446" i="3"/>
  <c r="AA446" i="3"/>
  <c r="U445" i="3"/>
  <c r="Y444" i="3"/>
  <c r="T446" i="3" l="1"/>
  <c r="D446" i="3" s="1"/>
  <c r="AG446" i="3" l="1"/>
  <c r="G446" i="3"/>
  <c r="E446" i="3"/>
  <c r="H446" i="3" s="1"/>
  <c r="AH446" i="3"/>
  <c r="K446" i="3" l="1"/>
  <c r="AE446" i="3" s="1"/>
  <c r="F446" i="3"/>
  <c r="I446" i="3"/>
  <c r="J446" i="3"/>
  <c r="M446" i="3"/>
  <c r="N446" i="3" s="1"/>
  <c r="L446" i="3" l="1"/>
  <c r="V446" i="3"/>
  <c r="W446" i="3" s="1"/>
  <c r="A447" i="3"/>
  <c r="B447" i="3" s="1"/>
  <c r="Z447" i="3" l="1"/>
  <c r="P447" i="3"/>
  <c r="Q447" i="3" s="1"/>
  <c r="R447" i="3" s="1"/>
  <c r="S447" i="3" s="1"/>
  <c r="AC447" i="3"/>
  <c r="AA447" i="3"/>
  <c r="AD447" i="3"/>
  <c r="U446" i="3"/>
  <c r="Y445" i="3"/>
  <c r="T447" i="3" l="1"/>
  <c r="AG447" i="3" s="1"/>
  <c r="D447" i="3" l="1"/>
  <c r="G447" i="3" s="1"/>
  <c r="AH447" i="3"/>
  <c r="E447" i="3"/>
  <c r="H447" i="3" s="1"/>
  <c r="K447" i="3" s="1"/>
  <c r="AE447" i="3" s="1"/>
  <c r="F447" i="3" l="1"/>
  <c r="I447" i="3"/>
  <c r="J447" i="3"/>
  <c r="M447" i="3"/>
  <c r="N447" i="3" s="1"/>
  <c r="V447" i="3"/>
  <c r="A448" i="3"/>
  <c r="B448" i="3" s="1"/>
  <c r="W447" i="3" l="1"/>
  <c r="L447" i="3"/>
  <c r="AD448" i="3"/>
  <c r="Z448" i="3"/>
  <c r="AA448" i="3"/>
  <c r="P448" i="3"/>
  <c r="Q448" i="3" s="1"/>
  <c r="R448" i="3" s="1"/>
  <c r="S448" i="3" s="1"/>
  <c r="AC448" i="3"/>
  <c r="T448" i="3" l="1"/>
  <c r="AG448" i="3" s="1"/>
  <c r="U447" i="3"/>
  <c r="Y446" i="3"/>
  <c r="D448" i="3" l="1"/>
  <c r="G448" i="3" s="1"/>
  <c r="E448" i="3"/>
  <c r="H448" i="3" s="1"/>
  <c r="AH448" i="3"/>
  <c r="F448" i="3" l="1"/>
  <c r="I448" i="3"/>
  <c r="J448" i="3"/>
  <c r="M448" i="3"/>
  <c r="N448" i="3" s="1"/>
  <c r="K448" i="3"/>
  <c r="AE448" i="3" s="1"/>
  <c r="V448" i="3" l="1"/>
  <c r="W448" i="3" s="1"/>
  <c r="A449" i="3"/>
  <c r="B449" i="3" s="1"/>
  <c r="L448" i="3"/>
  <c r="U448" i="3" l="1"/>
  <c r="Y447" i="3"/>
  <c r="P449" i="3"/>
  <c r="Q449" i="3" s="1"/>
  <c r="R449" i="3" s="1"/>
  <c r="S449" i="3" s="1"/>
  <c r="AD449" i="3"/>
  <c r="AA449" i="3"/>
  <c r="Z449" i="3"/>
  <c r="AC449" i="3"/>
  <c r="T449" i="3" l="1"/>
  <c r="D449" i="3" s="1"/>
  <c r="G449" i="3" l="1"/>
  <c r="AG449" i="3"/>
  <c r="AH449" i="3"/>
  <c r="E449" i="3"/>
  <c r="H449" i="3" s="1"/>
  <c r="K449" i="3" l="1"/>
  <c r="AE449" i="3" s="1"/>
  <c r="F449" i="3"/>
  <c r="I449" i="3"/>
  <c r="J449" i="3"/>
  <c r="M449" i="3"/>
  <c r="N449" i="3" s="1"/>
  <c r="L449" i="3" l="1"/>
  <c r="V449" i="3"/>
  <c r="W449" i="3" s="1"/>
  <c r="A450" i="3"/>
  <c r="B450" i="3" s="1"/>
  <c r="P450" i="3" l="1"/>
  <c r="Q450" i="3" s="1"/>
  <c r="R450" i="3" s="1"/>
  <c r="S450" i="3" s="1"/>
  <c r="AD450" i="3"/>
  <c r="Z450" i="3"/>
  <c r="AC450" i="3"/>
  <c r="AA450" i="3"/>
  <c r="U449" i="3"/>
  <c r="Y448" i="3"/>
  <c r="T450" i="3" l="1"/>
  <c r="D450" i="3" s="1"/>
  <c r="AH450" i="3" l="1"/>
  <c r="G450" i="3"/>
  <c r="E450" i="3"/>
  <c r="H450" i="3" s="1"/>
  <c r="AG450" i="3"/>
  <c r="F450" i="3" l="1"/>
  <c r="I450" i="3"/>
  <c r="J450" i="3"/>
  <c r="M450" i="3"/>
  <c r="N450" i="3" s="1"/>
  <c r="K450" i="3"/>
  <c r="AE450" i="3" s="1"/>
  <c r="V450" i="3" l="1"/>
  <c r="W450" i="3" s="1"/>
  <c r="A451" i="3"/>
  <c r="B451" i="3" s="1"/>
  <c r="L450" i="3"/>
  <c r="U450" i="3" l="1"/>
  <c r="Y449" i="3"/>
  <c r="P451" i="3"/>
  <c r="Q451" i="3" s="1"/>
  <c r="R451" i="3" s="1"/>
  <c r="S451" i="3" s="1"/>
  <c r="Z451" i="3"/>
  <c r="AD451" i="3"/>
  <c r="AA451" i="3"/>
  <c r="AC451" i="3"/>
  <c r="T451" i="3" l="1"/>
  <c r="AG451" i="3" s="1"/>
  <c r="E451" i="3" l="1"/>
  <c r="H451" i="3" s="1"/>
  <c r="K451" i="3" s="1"/>
  <c r="AE451" i="3" s="1"/>
  <c r="AH451" i="3"/>
  <c r="D451" i="3"/>
  <c r="V451" i="3" l="1"/>
  <c r="A452" i="3"/>
  <c r="B452" i="3" s="1"/>
  <c r="F451" i="3"/>
  <c r="G451" i="3"/>
  <c r="I451" i="3" l="1"/>
  <c r="W451" i="3" s="1"/>
  <c r="J451" i="3"/>
  <c r="M451" i="3"/>
  <c r="N451" i="3" s="1"/>
  <c r="AA452" i="3"/>
  <c r="P452" i="3"/>
  <c r="Q452" i="3" s="1"/>
  <c r="R452" i="3" s="1"/>
  <c r="S452" i="3" s="1"/>
  <c r="AC452" i="3"/>
  <c r="Z452" i="3"/>
  <c r="AD452" i="3"/>
  <c r="T452" i="3" l="1"/>
  <c r="L451" i="3"/>
  <c r="U451" i="3" l="1"/>
  <c r="D452" i="3" s="1"/>
  <c r="AH452" i="3"/>
  <c r="AG452" i="3"/>
  <c r="Y450" i="3"/>
  <c r="E452" i="3" l="1"/>
  <c r="H452" i="3" s="1"/>
  <c r="K452" i="3" s="1"/>
  <c r="AE452" i="3" s="1"/>
  <c r="G452" i="3"/>
  <c r="F452" i="3" l="1"/>
  <c r="I452" i="3"/>
  <c r="J452" i="3"/>
  <c r="M452" i="3"/>
  <c r="N452" i="3" s="1"/>
  <c r="V452" i="3"/>
  <c r="A453" i="3"/>
  <c r="B453" i="3" s="1"/>
  <c r="W452" i="3" l="1"/>
  <c r="L452" i="3"/>
  <c r="AA453" i="3"/>
  <c r="P453" i="3"/>
  <c r="Q453" i="3" s="1"/>
  <c r="R453" i="3" s="1"/>
  <c r="S453" i="3" s="1"/>
  <c r="AC453" i="3"/>
  <c r="AD453" i="3"/>
  <c r="Z453" i="3"/>
  <c r="U452" i="3" l="1"/>
  <c r="Y451" i="3"/>
  <c r="T453" i="3"/>
  <c r="AH453" i="3" s="1"/>
  <c r="AG453" i="3" l="1"/>
  <c r="E453" i="3"/>
  <c r="H453" i="3" s="1"/>
  <c r="D453" i="3"/>
  <c r="K453" i="3" l="1"/>
  <c r="AE453" i="3" s="1"/>
  <c r="F453" i="3"/>
  <c r="G453" i="3"/>
  <c r="I453" i="3" l="1"/>
  <c r="J453" i="3"/>
  <c r="M453" i="3"/>
  <c r="N453" i="3" s="1"/>
  <c r="V453" i="3"/>
  <c r="A454" i="3"/>
  <c r="B454" i="3" s="1"/>
  <c r="W453" i="3" l="1"/>
  <c r="AA454" i="3"/>
  <c r="AC454" i="3"/>
  <c r="Z454" i="3"/>
  <c r="P454" i="3"/>
  <c r="Q454" i="3" s="1"/>
  <c r="R454" i="3" s="1"/>
  <c r="S454" i="3" s="1"/>
  <c r="L453" i="3"/>
  <c r="U453" i="3" l="1"/>
  <c r="Y452" i="3"/>
  <c r="T454" i="3"/>
  <c r="E454" i="3" l="1"/>
  <c r="H454" i="3" s="1"/>
  <c r="K454" i="3" s="1"/>
  <c r="AE454" i="3" s="1"/>
  <c r="AH454" i="3"/>
  <c r="AG454" i="3"/>
  <c r="D454" i="3"/>
  <c r="F454" i="3" l="1"/>
  <c r="G454" i="3"/>
  <c r="V454" i="3"/>
  <c r="A455" i="3"/>
  <c r="B455" i="3" s="1"/>
  <c r="AC455" i="3" l="1"/>
  <c r="AD455" i="3"/>
  <c r="AA455" i="3"/>
  <c r="Z455" i="3"/>
  <c r="P455" i="3"/>
  <c r="Q455" i="3" s="1"/>
  <c r="R455" i="3" s="1"/>
  <c r="S455" i="3" s="1"/>
  <c r="I454" i="3"/>
  <c r="W454" i="3" s="1"/>
  <c r="J454" i="3"/>
  <c r="AD454" i="3" s="1"/>
  <c r="M454" i="3"/>
  <c r="N454" i="3" s="1"/>
  <c r="L454" i="3" l="1"/>
  <c r="T455" i="3"/>
  <c r="AH455" i="3" l="1"/>
  <c r="U454" i="3"/>
  <c r="D455" i="3" s="1"/>
  <c r="AG455" i="3"/>
  <c r="Y453" i="3"/>
  <c r="E455" i="3" l="1"/>
  <c r="H455" i="3" s="1"/>
  <c r="K455" i="3" s="1"/>
  <c r="AE455" i="3" s="1"/>
  <c r="G455" i="3"/>
  <c r="F455" i="3" l="1"/>
  <c r="I455" i="3"/>
  <c r="J455" i="3"/>
  <c r="M455" i="3"/>
  <c r="N455" i="3" s="1"/>
  <c r="V455" i="3"/>
  <c r="A456" i="3"/>
  <c r="B456" i="3" s="1"/>
  <c r="W455" i="3" l="1"/>
  <c r="L455" i="3"/>
  <c r="AC456" i="3"/>
  <c r="P456" i="3"/>
  <c r="Q456" i="3" s="1"/>
  <c r="R456" i="3" s="1"/>
  <c r="S456" i="3" s="1"/>
  <c r="AD456" i="3"/>
  <c r="Z456" i="3"/>
  <c r="AA456" i="3"/>
  <c r="U455" i="3" l="1"/>
  <c r="Y454" i="3"/>
  <c r="T456" i="3"/>
  <c r="AG456" i="3" s="1"/>
  <c r="D456" i="3" l="1"/>
  <c r="G456" i="3" s="1"/>
  <c r="AH456" i="3"/>
  <c r="E456" i="3"/>
  <c r="H456" i="3" s="1"/>
  <c r="I456" i="3" l="1"/>
  <c r="J456" i="3"/>
  <c r="M456" i="3"/>
  <c r="N456" i="3" s="1"/>
  <c r="K456" i="3"/>
  <c r="AE456" i="3" s="1"/>
  <c r="F456" i="3"/>
  <c r="V456" i="3" l="1"/>
  <c r="W456" i="3" s="1"/>
  <c r="A457" i="3"/>
  <c r="B457" i="3" s="1"/>
  <c r="L456" i="3"/>
  <c r="Z457" i="3" l="1"/>
  <c r="AC457" i="3"/>
  <c r="P457" i="3"/>
  <c r="Q457" i="3" s="1"/>
  <c r="R457" i="3" s="1"/>
  <c r="S457" i="3" s="1"/>
  <c r="AD457" i="3"/>
  <c r="AA457" i="3"/>
  <c r="U456" i="3"/>
  <c r="Y455" i="3"/>
  <c r="T457" i="3" l="1"/>
  <c r="D457" i="3" l="1"/>
  <c r="AH457" i="3"/>
  <c r="E457" i="3"/>
  <c r="H457" i="3" s="1"/>
  <c r="AG457" i="3"/>
  <c r="F457" i="3" l="1"/>
  <c r="G457" i="3"/>
  <c r="K457" i="3"/>
  <c r="AE457" i="3" s="1"/>
  <c r="I457" i="3" l="1"/>
  <c r="J457" i="3"/>
  <c r="M457" i="3"/>
  <c r="N457" i="3" s="1"/>
  <c r="V457" i="3"/>
  <c r="A458" i="3"/>
  <c r="B458" i="3" s="1"/>
  <c r="L457" i="3" l="1"/>
  <c r="W457" i="3"/>
  <c r="P458" i="3"/>
  <c r="Q458" i="3" s="1"/>
  <c r="R458" i="3" s="1"/>
  <c r="S458" i="3" s="1"/>
  <c r="AC458" i="3"/>
  <c r="Z458" i="3"/>
  <c r="AD458" i="3"/>
  <c r="AA458" i="3"/>
  <c r="U457" i="3" l="1"/>
  <c r="Y456" i="3"/>
  <c r="T458" i="3"/>
  <c r="AH458" i="3" s="1"/>
  <c r="AG458" i="3" l="1"/>
  <c r="E458" i="3"/>
  <c r="H458" i="3" s="1"/>
  <c r="D458" i="3"/>
  <c r="K458" i="3" l="1"/>
  <c r="AE458" i="3" s="1"/>
  <c r="F458" i="3"/>
  <c r="G458" i="3"/>
  <c r="V458" i="3" l="1"/>
  <c r="A459" i="3"/>
  <c r="B459" i="3" s="1"/>
  <c r="I458" i="3"/>
  <c r="J458" i="3"/>
  <c r="M458" i="3"/>
  <c r="N458" i="3" s="1"/>
  <c r="W458" i="3" l="1"/>
  <c r="L458" i="3"/>
  <c r="Z459" i="3"/>
  <c r="P459" i="3"/>
  <c r="Q459" i="3" s="1"/>
  <c r="R459" i="3" s="1"/>
  <c r="S459" i="3" s="1"/>
  <c r="AA459" i="3"/>
  <c r="AD459" i="3"/>
  <c r="AC459" i="3"/>
  <c r="T459" i="3" l="1"/>
  <c r="AH459" i="3" s="1"/>
  <c r="U458" i="3"/>
  <c r="Y457" i="3"/>
  <c r="AG459" i="3" l="1"/>
  <c r="D459" i="3"/>
  <c r="E459" i="3"/>
  <c r="H459" i="3" s="1"/>
  <c r="K459" i="3" l="1"/>
  <c r="AE459" i="3" s="1"/>
  <c r="F459" i="3"/>
  <c r="G459" i="3"/>
  <c r="I459" i="3" l="1"/>
  <c r="J459" i="3"/>
  <c r="M459" i="3"/>
  <c r="N459" i="3" s="1"/>
  <c r="V459" i="3"/>
  <c r="A460" i="3"/>
  <c r="B460" i="3" s="1"/>
  <c r="W459" i="3" l="1"/>
  <c r="L459" i="3"/>
  <c r="P460" i="3"/>
  <c r="Q460" i="3" s="1"/>
  <c r="R460" i="3" s="1"/>
  <c r="S460" i="3" s="1"/>
  <c r="AD460" i="3"/>
  <c r="Z460" i="3"/>
  <c r="AA460" i="3"/>
  <c r="AC460" i="3"/>
  <c r="U459" i="3" l="1"/>
  <c r="Y458" i="3"/>
  <c r="T460" i="3"/>
  <c r="D460" i="3" l="1"/>
  <c r="G460" i="3" s="1"/>
  <c r="AH460" i="3"/>
  <c r="E460" i="3"/>
  <c r="H460" i="3" s="1"/>
  <c r="AG460" i="3"/>
  <c r="F460" i="3" l="1"/>
  <c r="I460" i="3"/>
  <c r="J460" i="3"/>
  <c r="M460" i="3"/>
  <c r="N460" i="3" s="1"/>
  <c r="K460" i="3"/>
  <c r="AE460" i="3" s="1"/>
  <c r="V460" i="3" l="1"/>
  <c r="W460" i="3" s="1"/>
  <c r="A461" i="3"/>
  <c r="B461" i="3" s="1"/>
  <c r="L460" i="3"/>
  <c r="U460" i="3" l="1"/>
  <c r="Y459" i="3"/>
  <c r="AC461" i="3"/>
  <c r="Z461" i="3"/>
  <c r="P461" i="3"/>
  <c r="Q461" i="3" s="1"/>
  <c r="R461" i="3" s="1"/>
  <c r="S461" i="3" s="1"/>
  <c r="AA461" i="3"/>
  <c r="AD461" i="3"/>
  <c r="T461" i="3" l="1"/>
  <c r="D461" i="3" s="1"/>
  <c r="AG461" i="3" l="1"/>
  <c r="G461" i="3"/>
  <c r="AH461" i="3"/>
  <c r="E461" i="3"/>
  <c r="H461" i="3" s="1"/>
  <c r="F461" i="3" l="1"/>
  <c r="I461" i="3"/>
  <c r="J461" i="3"/>
  <c r="M461" i="3"/>
  <c r="N461" i="3" s="1"/>
  <c r="K461" i="3"/>
  <c r="AE461" i="3" s="1"/>
  <c r="V461" i="3" l="1"/>
  <c r="W461" i="3" s="1"/>
  <c r="A462" i="3"/>
  <c r="B462" i="3" s="1"/>
  <c r="L461" i="3"/>
  <c r="U461" i="3" l="1"/>
  <c r="Y460" i="3"/>
  <c r="Z462" i="3"/>
  <c r="P462" i="3"/>
  <c r="Q462" i="3" s="1"/>
  <c r="R462" i="3" s="1"/>
  <c r="S462" i="3" s="1"/>
  <c r="AD462" i="3"/>
  <c r="AA462" i="3"/>
  <c r="AC462" i="3"/>
  <c r="T462" i="3" l="1"/>
  <c r="E462" i="3" s="1"/>
  <c r="H462" i="3" s="1"/>
  <c r="AG462" i="3" l="1"/>
  <c r="AH462" i="3"/>
  <c r="D462" i="3"/>
  <c r="G462" i="3" s="1"/>
  <c r="K462" i="3"/>
  <c r="AE462" i="3" s="1"/>
  <c r="F462" i="3" l="1"/>
  <c r="V462" i="3"/>
  <c r="A463" i="3"/>
  <c r="B463" i="3" s="1"/>
  <c r="I462" i="3"/>
  <c r="J462" i="3"/>
  <c r="M462" i="3"/>
  <c r="N462" i="3" s="1"/>
  <c r="W462" i="3" l="1"/>
  <c r="L462" i="3"/>
  <c r="P463" i="3"/>
  <c r="Q463" i="3" s="1"/>
  <c r="R463" i="3" s="1"/>
  <c r="S463" i="3" s="1"/>
  <c r="AC463" i="3"/>
  <c r="Z463" i="3"/>
  <c r="AA463" i="3"/>
  <c r="AD463" i="3"/>
  <c r="U462" i="3" l="1"/>
  <c r="Y461" i="3"/>
  <c r="T463" i="3"/>
  <c r="AH463" i="3" s="1"/>
  <c r="AG463" i="3" l="1"/>
  <c r="D463" i="3"/>
  <c r="E463" i="3"/>
  <c r="H463" i="3" s="1"/>
  <c r="F463" i="3" l="1"/>
  <c r="G463" i="3"/>
  <c r="K463" i="3"/>
  <c r="AE463" i="3" s="1"/>
  <c r="V463" i="3" l="1"/>
  <c r="A464" i="3"/>
  <c r="B464" i="3" s="1"/>
  <c r="I463" i="3"/>
  <c r="J463" i="3"/>
  <c r="M463" i="3"/>
  <c r="N463" i="3" s="1"/>
  <c r="W463" i="3" l="1"/>
  <c r="L463" i="3"/>
  <c r="Z464" i="3"/>
  <c r="AC464" i="3"/>
  <c r="P464" i="3"/>
  <c r="Q464" i="3" s="1"/>
  <c r="R464" i="3" s="1"/>
  <c r="S464" i="3" s="1"/>
  <c r="AA464" i="3"/>
  <c r="T464" i="3" l="1"/>
  <c r="AG464" i="3" s="1"/>
  <c r="U463" i="3"/>
  <c r="Y462" i="3"/>
  <c r="AH464" i="3" l="1"/>
  <c r="D464" i="3"/>
  <c r="E464" i="3"/>
  <c r="H464" i="3" s="1"/>
  <c r="K464" i="3" l="1"/>
  <c r="AE464" i="3" s="1"/>
  <c r="F464" i="3"/>
  <c r="G464" i="3"/>
  <c r="I464" i="3" l="1"/>
  <c r="J464" i="3"/>
  <c r="AD464" i="3" s="1"/>
  <c r="M464" i="3"/>
  <c r="N464" i="3" s="1"/>
  <c r="V464" i="3"/>
  <c r="A465" i="3"/>
  <c r="B465" i="3" s="1"/>
  <c r="W464" i="3" l="1"/>
  <c r="L464" i="3"/>
  <c r="Z465" i="3"/>
  <c r="P465" i="3"/>
  <c r="Q465" i="3" s="1"/>
  <c r="R465" i="3" s="1"/>
  <c r="S465" i="3" s="1"/>
  <c r="AC465" i="3"/>
  <c r="AA465" i="3"/>
  <c r="AD465" i="3"/>
  <c r="T465" i="3" l="1"/>
  <c r="AH465" i="3" s="1"/>
  <c r="U464" i="3"/>
  <c r="Y463" i="3"/>
  <c r="D465" i="3" l="1"/>
  <c r="G465" i="3" s="1"/>
  <c r="E465" i="3"/>
  <c r="H465" i="3" s="1"/>
  <c r="AG465" i="3"/>
  <c r="F465" i="3" l="1"/>
  <c r="I465" i="3"/>
  <c r="J465" i="3"/>
  <c r="M465" i="3"/>
  <c r="N465" i="3" s="1"/>
  <c r="K465" i="3"/>
  <c r="AE465" i="3" s="1"/>
  <c r="V465" i="3" l="1"/>
  <c r="W465" i="3" s="1"/>
  <c r="A466" i="3"/>
  <c r="B466" i="3" s="1"/>
  <c r="L465" i="3"/>
  <c r="U465" i="3" l="1"/>
  <c r="Y464" i="3"/>
  <c r="AA466" i="3"/>
  <c r="AD466" i="3"/>
  <c r="AC466" i="3"/>
  <c r="Z466" i="3"/>
  <c r="P466" i="3"/>
  <c r="Q466" i="3" s="1"/>
  <c r="R466" i="3" s="1"/>
  <c r="S466" i="3" s="1"/>
  <c r="T466" i="3" l="1"/>
  <c r="AH466" i="3" s="1"/>
  <c r="AG466" i="3" l="1"/>
  <c r="E466" i="3"/>
  <c r="H466" i="3" s="1"/>
  <c r="K466" i="3" s="1"/>
  <c r="AE466" i="3" s="1"/>
  <c r="D466" i="3"/>
  <c r="G466" i="3" s="1"/>
  <c r="F466" i="3" l="1"/>
  <c r="I466" i="3"/>
  <c r="J466" i="3"/>
  <c r="M466" i="3"/>
  <c r="N466" i="3" s="1"/>
  <c r="V466" i="3"/>
  <c r="A467" i="3"/>
  <c r="B467" i="3" s="1"/>
  <c r="W466" i="3" l="1"/>
  <c r="L466" i="3"/>
  <c r="P467" i="3"/>
  <c r="Q467" i="3" s="1"/>
  <c r="R467" i="3" s="1"/>
  <c r="S467" i="3" s="1"/>
  <c r="AA467" i="3"/>
  <c r="Z467" i="3"/>
  <c r="AC467" i="3"/>
  <c r="AD467" i="3"/>
  <c r="U466" i="3" l="1"/>
  <c r="Y465" i="3"/>
  <c r="T467" i="3"/>
  <c r="E467" i="3" l="1"/>
  <c r="H467" i="3" s="1"/>
  <c r="K467" i="3" s="1"/>
  <c r="AE467" i="3" s="1"/>
  <c r="AG467" i="3"/>
  <c r="D467" i="3"/>
  <c r="AH467" i="3"/>
  <c r="F467" i="3" l="1"/>
  <c r="G467" i="3"/>
  <c r="V467" i="3"/>
  <c r="A468" i="3"/>
  <c r="B468" i="3" s="1"/>
  <c r="AC468" i="3" l="1"/>
  <c r="Z468" i="3"/>
  <c r="P468" i="3"/>
  <c r="Q468" i="3" s="1"/>
  <c r="R468" i="3" s="1"/>
  <c r="S468" i="3" s="1"/>
  <c r="AA468" i="3"/>
  <c r="AD468" i="3"/>
  <c r="I467" i="3"/>
  <c r="W467" i="3" s="1"/>
  <c r="J467" i="3"/>
  <c r="M467" i="3"/>
  <c r="N467" i="3" s="1"/>
  <c r="L467" i="3" l="1"/>
  <c r="T468" i="3"/>
  <c r="U467" i="3" l="1"/>
  <c r="D468" i="3" s="1"/>
  <c r="AH468" i="3"/>
  <c r="AG468" i="3"/>
  <c r="Y466" i="3"/>
  <c r="E468" i="3" l="1"/>
  <c r="H468" i="3" s="1"/>
  <c r="K468" i="3" s="1"/>
  <c r="AE468" i="3" s="1"/>
  <c r="G468" i="3"/>
  <c r="F468" i="3" l="1"/>
  <c r="I468" i="3"/>
  <c r="J468" i="3"/>
  <c r="M468" i="3"/>
  <c r="N468" i="3" s="1"/>
  <c r="V468" i="3"/>
  <c r="A469" i="3"/>
  <c r="B469" i="3" s="1"/>
  <c r="W468" i="3" l="1"/>
  <c r="L468" i="3"/>
  <c r="AD469" i="3"/>
  <c r="AA469" i="3"/>
  <c r="P469" i="3"/>
  <c r="Q469" i="3" s="1"/>
  <c r="R469" i="3" s="1"/>
  <c r="S469" i="3" s="1"/>
  <c r="Z469" i="3"/>
  <c r="AC469" i="3"/>
  <c r="U468" i="3" l="1"/>
  <c r="Y467" i="3"/>
  <c r="T469" i="3"/>
  <c r="AG469" i="3" s="1"/>
  <c r="D469" i="3" l="1"/>
  <c r="G469" i="3" s="1"/>
  <c r="AH469" i="3"/>
  <c r="E469" i="3"/>
  <c r="H469" i="3" s="1"/>
  <c r="K469" i="3" s="1"/>
  <c r="AE469" i="3" s="1"/>
  <c r="F469" i="3" l="1"/>
  <c r="I469" i="3"/>
  <c r="J469" i="3"/>
  <c r="M469" i="3"/>
  <c r="N469" i="3" s="1"/>
  <c r="V469" i="3"/>
  <c r="A470" i="3"/>
  <c r="B470" i="3" s="1"/>
  <c r="W469" i="3" l="1"/>
  <c r="L469" i="3"/>
  <c r="AC470" i="3"/>
  <c r="P470" i="3"/>
  <c r="Q470" i="3" s="1"/>
  <c r="R470" i="3" s="1"/>
  <c r="S470" i="3" s="1"/>
  <c r="AA470" i="3"/>
  <c r="Z470" i="3"/>
  <c r="AD470" i="3"/>
  <c r="U469" i="3" l="1"/>
  <c r="Y468" i="3"/>
  <c r="T470" i="3"/>
  <c r="D470" i="3" l="1"/>
  <c r="G470" i="3" s="1"/>
  <c r="AH470" i="3"/>
  <c r="AG470" i="3"/>
  <c r="E470" i="3"/>
  <c r="H470" i="3" s="1"/>
  <c r="K470" i="3" l="1"/>
  <c r="AE470" i="3" s="1"/>
  <c r="F470" i="3"/>
  <c r="I470" i="3"/>
  <c r="J470" i="3"/>
  <c r="M470" i="3"/>
  <c r="N470" i="3" s="1"/>
  <c r="V470" i="3" l="1"/>
  <c r="W470" i="3" s="1"/>
  <c r="A471" i="3"/>
  <c r="B471" i="3" s="1"/>
  <c r="L470" i="3"/>
  <c r="U470" i="3" l="1"/>
  <c r="Y469" i="3"/>
  <c r="Z471" i="3"/>
  <c r="AA471" i="3"/>
  <c r="AD471" i="3"/>
  <c r="AC471" i="3"/>
  <c r="P471" i="3"/>
  <c r="Q471" i="3" s="1"/>
  <c r="R471" i="3" s="1"/>
  <c r="S471" i="3" s="1"/>
  <c r="T471" i="3" l="1"/>
  <c r="AH471" i="3" s="1"/>
  <c r="AG471" i="3" l="1"/>
  <c r="E471" i="3"/>
  <c r="H471" i="3" s="1"/>
  <c r="D471" i="3"/>
  <c r="F471" i="3" l="1"/>
  <c r="G471" i="3"/>
  <c r="K471" i="3"/>
  <c r="AE471" i="3" s="1"/>
  <c r="V471" i="3" l="1"/>
  <c r="A472" i="3"/>
  <c r="B472" i="3" s="1"/>
  <c r="I471" i="3"/>
  <c r="J471" i="3"/>
  <c r="M471" i="3"/>
  <c r="N471" i="3" s="1"/>
  <c r="W471" i="3" l="1"/>
  <c r="L471" i="3"/>
  <c r="Z472" i="3"/>
  <c r="AA472" i="3"/>
  <c r="P472" i="3"/>
  <c r="Q472" i="3" s="1"/>
  <c r="R472" i="3" s="1"/>
  <c r="S472" i="3" s="1"/>
  <c r="AD472" i="3"/>
  <c r="AC472" i="3"/>
  <c r="U471" i="3" l="1"/>
  <c r="Y470" i="3"/>
  <c r="T472" i="3"/>
  <c r="E472" i="3" l="1"/>
  <c r="H472" i="3" s="1"/>
  <c r="K472" i="3" s="1"/>
  <c r="AE472" i="3" s="1"/>
  <c r="AG472" i="3"/>
  <c r="AH472" i="3"/>
  <c r="D472" i="3"/>
  <c r="V472" i="3" l="1"/>
  <c r="A473" i="3"/>
  <c r="B473" i="3" s="1"/>
  <c r="F472" i="3"/>
  <c r="G472" i="3"/>
  <c r="I472" i="3" l="1"/>
  <c r="W472" i="3" s="1"/>
  <c r="J472" i="3"/>
  <c r="M472" i="3"/>
  <c r="N472" i="3" s="1"/>
  <c r="AC473" i="3"/>
  <c r="P473" i="3"/>
  <c r="Q473" i="3" s="1"/>
  <c r="R473" i="3" s="1"/>
  <c r="S473" i="3" s="1"/>
  <c r="AD473" i="3"/>
  <c r="Z473" i="3"/>
  <c r="AA473" i="3"/>
  <c r="L472" i="3" l="1"/>
  <c r="T473" i="3"/>
  <c r="U472" i="3" l="1"/>
  <c r="D473" i="3" s="1"/>
  <c r="AH473" i="3"/>
  <c r="AG473" i="3"/>
  <c r="Y471" i="3"/>
  <c r="G473" i="3" l="1"/>
  <c r="E473" i="3"/>
  <c r="H473" i="3" s="1"/>
  <c r="F473" i="3" l="1"/>
  <c r="I473" i="3"/>
  <c r="J473" i="3"/>
  <c r="M473" i="3"/>
  <c r="N473" i="3" s="1"/>
  <c r="K473" i="3"/>
  <c r="AE473" i="3" s="1"/>
  <c r="V473" i="3" l="1"/>
  <c r="W473" i="3" s="1"/>
  <c r="A474" i="3"/>
  <c r="B474" i="3" s="1"/>
  <c r="L473" i="3"/>
  <c r="U473" i="3" l="1"/>
  <c r="Y472" i="3"/>
  <c r="P474" i="3"/>
  <c r="Q474" i="3" s="1"/>
  <c r="R474" i="3" s="1"/>
  <c r="S474" i="3" s="1"/>
  <c r="Z474" i="3"/>
  <c r="AA474" i="3"/>
  <c r="AC474" i="3"/>
  <c r="T474" i="3" l="1"/>
  <c r="D474" i="3" s="1"/>
  <c r="AG474" i="3" l="1"/>
  <c r="AH474" i="3"/>
  <c r="G474" i="3"/>
  <c r="E474" i="3"/>
  <c r="H474" i="3" s="1"/>
  <c r="I474" i="3" l="1"/>
  <c r="J474" i="3"/>
  <c r="AD474" i="3" s="1"/>
  <c r="M474" i="3"/>
  <c r="N474" i="3" s="1"/>
  <c r="F474" i="3"/>
  <c r="K474" i="3"/>
  <c r="AE474" i="3" s="1"/>
  <c r="V474" i="3" l="1"/>
  <c r="W474" i="3" s="1"/>
  <c r="A475" i="3"/>
  <c r="B475" i="3" s="1"/>
  <c r="L474" i="3"/>
  <c r="U474" i="3" l="1"/>
  <c r="Y473" i="3"/>
  <c r="AC475" i="3"/>
  <c r="Z475" i="3"/>
  <c r="P475" i="3"/>
  <c r="Q475" i="3" s="1"/>
  <c r="R475" i="3" s="1"/>
  <c r="S475" i="3" s="1"/>
  <c r="AD475" i="3"/>
  <c r="AA475" i="3"/>
  <c r="T475" i="3" l="1"/>
  <c r="AG475" i="3" s="1"/>
  <c r="AH475" i="3" l="1"/>
  <c r="E475" i="3"/>
  <c r="H475" i="3" s="1"/>
  <c r="K475" i="3" s="1"/>
  <c r="AE475" i="3" s="1"/>
  <c r="D475" i="3"/>
  <c r="F475" i="3" l="1"/>
  <c r="G475" i="3"/>
  <c r="M475" i="3" s="1"/>
  <c r="N475" i="3" s="1"/>
  <c r="V475" i="3"/>
  <c r="A476" i="3"/>
  <c r="B476" i="3" s="1"/>
  <c r="I475" i="3" l="1"/>
  <c r="W475" i="3" s="1"/>
  <c r="J475" i="3"/>
  <c r="L475" i="3" s="1"/>
  <c r="P476" i="3"/>
  <c r="Q476" i="3" s="1"/>
  <c r="R476" i="3" s="1"/>
  <c r="S476" i="3" s="1"/>
  <c r="AA476" i="3"/>
  <c r="AD476" i="3"/>
  <c r="Z476" i="3"/>
  <c r="AC476" i="3"/>
  <c r="U475" i="3" l="1"/>
  <c r="Y474" i="3"/>
  <c r="T476" i="3"/>
  <c r="AG476" i="3" s="1"/>
  <c r="D476" i="3" l="1"/>
  <c r="G476" i="3" s="1"/>
  <c r="E476" i="3"/>
  <c r="H476" i="3" s="1"/>
  <c r="K476" i="3" s="1"/>
  <c r="AE476" i="3" s="1"/>
  <c r="AH476" i="3"/>
  <c r="F476" i="3" l="1"/>
  <c r="V476" i="3"/>
  <c r="A477" i="3"/>
  <c r="B477" i="3" s="1"/>
  <c r="I476" i="3"/>
  <c r="J476" i="3"/>
  <c r="M476" i="3"/>
  <c r="N476" i="3" s="1"/>
  <c r="W476" i="3" l="1"/>
  <c r="L476" i="3"/>
  <c r="AA477" i="3"/>
  <c r="P477" i="3"/>
  <c r="Q477" i="3" s="1"/>
  <c r="R477" i="3" s="1"/>
  <c r="S477" i="3" s="1"/>
  <c r="AD477" i="3"/>
  <c r="AC477" i="3"/>
  <c r="Z477" i="3"/>
  <c r="U476" i="3" l="1"/>
  <c r="Y475" i="3"/>
  <c r="T477" i="3"/>
  <c r="D477" i="3" l="1"/>
  <c r="G477" i="3" s="1"/>
  <c r="AG477" i="3"/>
  <c r="E477" i="3"/>
  <c r="H477" i="3" s="1"/>
  <c r="K477" i="3" s="1"/>
  <c r="AE477" i="3" s="1"/>
  <c r="AH477" i="3"/>
  <c r="F477" i="3" l="1"/>
  <c r="V477" i="3"/>
  <c r="A478" i="3"/>
  <c r="B478" i="3" s="1"/>
  <c r="I477" i="3"/>
  <c r="J477" i="3"/>
  <c r="M477" i="3"/>
  <c r="N477" i="3" s="1"/>
  <c r="W477" i="3" l="1"/>
  <c r="L477" i="3"/>
  <c r="AA478" i="3"/>
  <c r="AD478" i="3"/>
  <c r="P478" i="3"/>
  <c r="Q478" i="3" s="1"/>
  <c r="R478" i="3" s="1"/>
  <c r="S478" i="3" s="1"/>
  <c r="AC478" i="3"/>
  <c r="Z478" i="3"/>
  <c r="T478" i="3" l="1"/>
  <c r="U477" i="3"/>
  <c r="Y476" i="3"/>
  <c r="E478" i="3" l="1"/>
  <c r="H478" i="3" s="1"/>
  <c r="K478" i="3" s="1"/>
  <c r="AE478" i="3" s="1"/>
  <c r="AG478" i="3"/>
  <c r="AH478" i="3"/>
  <c r="D478" i="3"/>
  <c r="F478" i="3" l="1"/>
  <c r="G478" i="3"/>
  <c r="V478" i="3"/>
  <c r="A479" i="3"/>
  <c r="B479" i="3" s="1"/>
  <c r="I478" i="3" l="1"/>
  <c r="W478" i="3" s="1"/>
  <c r="J478" i="3"/>
  <c r="M478" i="3"/>
  <c r="N478" i="3" s="1"/>
  <c r="P479" i="3"/>
  <c r="Q479" i="3" s="1"/>
  <c r="R479" i="3" s="1"/>
  <c r="S479" i="3" s="1"/>
  <c r="AD479" i="3"/>
  <c r="AC479" i="3"/>
  <c r="AA479" i="3"/>
  <c r="Z479" i="3"/>
  <c r="T479" i="3" l="1"/>
  <c r="L478" i="3"/>
  <c r="U478" i="3" l="1"/>
  <c r="E479" i="3" s="1"/>
  <c r="H479" i="3" s="1"/>
  <c r="AH479" i="3"/>
  <c r="AG479" i="3"/>
  <c r="Y477" i="3"/>
  <c r="D479" i="3" l="1"/>
  <c r="G479" i="3" s="1"/>
  <c r="K479" i="3"/>
  <c r="AE479" i="3" s="1"/>
  <c r="F479" i="3" l="1"/>
  <c r="I479" i="3"/>
  <c r="J479" i="3"/>
  <c r="M479" i="3"/>
  <c r="N479" i="3" s="1"/>
  <c r="V479" i="3"/>
  <c r="A480" i="3"/>
  <c r="B480" i="3" s="1"/>
  <c r="W479" i="3" l="1"/>
  <c r="AA480" i="3"/>
  <c r="P480" i="3"/>
  <c r="Q480" i="3" s="1"/>
  <c r="R480" i="3" s="1"/>
  <c r="S480" i="3" s="1"/>
  <c r="AD480" i="3"/>
  <c r="AC480" i="3"/>
  <c r="Z480" i="3"/>
  <c r="L479" i="3"/>
  <c r="U479" i="3" l="1"/>
  <c r="Y478" i="3"/>
  <c r="T480" i="3"/>
  <c r="E480" i="3" l="1"/>
  <c r="H480" i="3" s="1"/>
  <c r="K480" i="3" s="1"/>
  <c r="AE480" i="3" s="1"/>
  <c r="AH480" i="3"/>
  <c r="AG480" i="3"/>
  <c r="D480" i="3"/>
  <c r="V480" i="3" l="1"/>
  <c r="A481" i="3"/>
  <c r="B481" i="3" s="1"/>
  <c r="F480" i="3"/>
  <c r="G480" i="3"/>
  <c r="I480" i="3" l="1"/>
  <c r="W480" i="3" s="1"/>
  <c r="J480" i="3"/>
  <c r="M480" i="3"/>
  <c r="N480" i="3" s="1"/>
  <c r="P481" i="3"/>
  <c r="Q481" i="3" s="1"/>
  <c r="R481" i="3" s="1"/>
  <c r="S481" i="3" s="1"/>
  <c r="AC481" i="3"/>
  <c r="AA481" i="3"/>
  <c r="AD481" i="3"/>
  <c r="Z481" i="3"/>
  <c r="T481" i="3" l="1"/>
  <c r="L480" i="3"/>
  <c r="U480" i="3" l="1"/>
  <c r="D481" i="3" s="1"/>
  <c r="AG481" i="3"/>
  <c r="AH481" i="3"/>
  <c r="Y479" i="3"/>
  <c r="G481" i="3" l="1"/>
  <c r="E481" i="3"/>
  <c r="H481" i="3" s="1"/>
  <c r="K481" i="3" l="1"/>
  <c r="AE481" i="3" s="1"/>
  <c r="I481" i="3"/>
  <c r="J481" i="3"/>
  <c r="M481" i="3"/>
  <c r="N481" i="3" s="1"/>
  <c r="F481" i="3"/>
  <c r="V481" i="3" l="1"/>
  <c r="W481" i="3" s="1"/>
  <c r="A482" i="3"/>
  <c r="B482" i="3" s="1"/>
  <c r="L481" i="3"/>
  <c r="U481" i="3" l="1"/>
  <c r="Y480" i="3"/>
  <c r="AC482" i="3"/>
  <c r="AA482" i="3"/>
  <c r="P482" i="3"/>
  <c r="Q482" i="3" s="1"/>
  <c r="R482" i="3" s="1"/>
  <c r="S482" i="3" s="1"/>
  <c r="AD482" i="3"/>
  <c r="Z482" i="3"/>
  <c r="T482" i="3" l="1"/>
  <c r="D482" i="3" s="1"/>
  <c r="AG482" i="3" l="1"/>
  <c r="G482" i="3"/>
  <c r="AH482" i="3"/>
  <c r="E482" i="3"/>
  <c r="H482" i="3" s="1"/>
  <c r="F482" i="3" l="1"/>
  <c r="I482" i="3"/>
  <c r="J482" i="3"/>
  <c r="M482" i="3"/>
  <c r="N482" i="3" s="1"/>
  <c r="K482" i="3"/>
  <c r="AE482" i="3" s="1"/>
  <c r="V482" i="3" l="1"/>
  <c r="W482" i="3" s="1"/>
  <c r="A483" i="3"/>
  <c r="B483" i="3" s="1"/>
  <c r="L482" i="3"/>
  <c r="U482" i="3" l="1"/>
  <c r="Y481" i="3"/>
  <c r="P483" i="3"/>
  <c r="Q483" i="3" s="1"/>
  <c r="R483" i="3" s="1"/>
  <c r="S483" i="3" s="1"/>
  <c r="Z483" i="3"/>
  <c r="AC483" i="3"/>
  <c r="AD483" i="3"/>
  <c r="AA483" i="3"/>
  <c r="T483" i="3" l="1"/>
  <c r="E483" i="3" s="1"/>
  <c r="H483" i="3" s="1"/>
  <c r="AG483" i="3" l="1"/>
  <c r="AH483" i="3"/>
  <c r="D483" i="3"/>
  <c r="G483" i="3" s="1"/>
  <c r="K483" i="3"/>
  <c r="AE483" i="3" s="1"/>
  <c r="F483" i="3" l="1"/>
  <c r="I483" i="3"/>
  <c r="J483" i="3"/>
  <c r="M483" i="3"/>
  <c r="N483" i="3" s="1"/>
  <c r="V483" i="3"/>
  <c r="A484" i="3"/>
  <c r="B484" i="3" s="1"/>
  <c r="W483" i="3" l="1"/>
  <c r="L483" i="3"/>
  <c r="AC484" i="3"/>
  <c r="Z484" i="3"/>
  <c r="AA484" i="3"/>
  <c r="P484" i="3"/>
  <c r="Q484" i="3" s="1"/>
  <c r="R484" i="3" s="1"/>
  <c r="S484" i="3" s="1"/>
  <c r="T484" i="3" l="1"/>
  <c r="U483" i="3"/>
  <c r="Y482" i="3"/>
  <c r="E484" i="3" l="1"/>
  <c r="H484" i="3" s="1"/>
  <c r="K484" i="3" s="1"/>
  <c r="AE484" i="3" s="1"/>
  <c r="D484" i="3"/>
  <c r="G484" i="3" s="1"/>
  <c r="AG484" i="3"/>
  <c r="AH484" i="3"/>
  <c r="F484" i="3" l="1"/>
  <c r="V484" i="3"/>
  <c r="A485" i="3"/>
  <c r="B485" i="3" s="1"/>
  <c r="I484" i="3"/>
  <c r="J484" i="3"/>
  <c r="AD484" i="3" s="1"/>
  <c r="M484" i="3"/>
  <c r="N484" i="3" s="1"/>
  <c r="W484" i="3" l="1"/>
  <c r="L484" i="3"/>
  <c r="P485" i="3"/>
  <c r="Q485" i="3" s="1"/>
  <c r="R485" i="3" s="1"/>
  <c r="S485" i="3" s="1"/>
  <c r="AD485" i="3"/>
  <c r="AA485" i="3"/>
  <c r="AC485" i="3"/>
  <c r="Z485" i="3"/>
  <c r="U484" i="3" l="1"/>
  <c r="Y483" i="3"/>
  <c r="T485" i="3"/>
  <c r="D485" i="3" l="1"/>
  <c r="G485" i="3" s="1"/>
  <c r="AG485" i="3"/>
  <c r="AH485" i="3"/>
  <c r="E485" i="3"/>
  <c r="H485" i="3" s="1"/>
  <c r="K485" i="3" s="1"/>
  <c r="AE485" i="3" s="1"/>
  <c r="F485" i="3" l="1"/>
  <c r="I485" i="3"/>
  <c r="J485" i="3"/>
  <c r="M485" i="3"/>
  <c r="N485" i="3" s="1"/>
  <c r="V485" i="3"/>
  <c r="A486" i="3"/>
  <c r="B486" i="3" s="1"/>
  <c r="W485" i="3" l="1"/>
  <c r="L485" i="3"/>
  <c r="AA486" i="3"/>
  <c r="P486" i="3"/>
  <c r="Q486" i="3" s="1"/>
  <c r="R486" i="3" s="1"/>
  <c r="S486" i="3" s="1"/>
  <c r="AC486" i="3"/>
  <c r="AD486" i="3"/>
  <c r="Z486" i="3"/>
  <c r="T486" i="3" l="1"/>
  <c r="AH486" i="3" s="1"/>
  <c r="U485" i="3"/>
  <c r="Y484" i="3"/>
  <c r="D486" i="3" l="1"/>
  <c r="G486" i="3" s="1"/>
  <c r="AG486" i="3"/>
  <c r="E486" i="3"/>
  <c r="H486" i="3" s="1"/>
  <c r="K486" i="3" s="1"/>
  <c r="AE486" i="3" s="1"/>
  <c r="F486" i="3" l="1"/>
  <c r="V486" i="3"/>
  <c r="A487" i="3"/>
  <c r="B487" i="3" s="1"/>
  <c r="I486" i="3"/>
  <c r="J486" i="3"/>
  <c r="M486" i="3"/>
  <c r="N486" i="3" s="1"/>
  <c r="W486" i="3" l="1"/>
  <c r="L486" i="3"/>
  <c r="AA487" i="3"/>
  <c r="AD487" i="3"/>
  <c r="P487" i="3"/>
  <c r="Q487" i="3" s="1"/>
  <c r="R487" i="3" s="1"/>
  <c r="S487" i="3" s="1"/>
  <c r="AC487" i="3"/>
  <c r="Z487" i="3"/>
  <c r="T487" i="3" l="1"/>
  <c r="U486" i="3"/>
  <c r="Y485" i="3"/>
  <c r="E487" i="3" l="1"/>
  <c r="H487" i="3" s="1"/>
  <c r="K487" i="3" s="1"/>
  <c r="AE487" i="3" s="1"/>
  <c r="D487" i="3"/>
  <c r="AH487" i="3"/>
  <c r="AG487" i="3"/>
  <c r="V487" i="3" l="1"/>
  <c r="A488" i="3"/>
  <c r="B488" i="3" s="1"/>
  <c r="F487" i="3"/>
  <c r="G487" i="3"/>
  <c r="I487" i="3" l="1"/>
  <c r="W487" i="3" s="1"/>
  <c r="J487" i="3"/>
  <c r="M487" i="3"/>
  <c r="N487" i="3" s="1"/>
  <c r="AA488" i="3"/>
  <c r="AD488" i="3"/>
  <c r="Z488" i="3"/>
  <c r="P488" i="3"/>
  <c r="Q488" i="3" s="1"/>
  <c r="R488" i="3" s="1"/>
  <c r="S488" i="3" s="1"/>
  <c r="AC488" i="3"/>
  <c r="L487" i="3" l="1"/>
  <c r="T488" i="3"/>
  <c r="U487" i="3" l="1"/>
  <c r="D488" i="3" s="1"/>
  <c r="AG488" i="3"/>
  <c r="AH488" i="3"/>
  <c r="Y486" i="3"/>
  <c r="E488" i="3" l="1"/>
  <c r="H488" i="3" s="1"/>
  <c r="K488" i="3" s="1"/>
  <c r="AE488" i="3" s="1"/>
  <c r="G488" i="3"/>
  <c r="F488" i="3" l="1"/>
  <c r="I488" i="3"/>
  <c r="J488" i="3"/>
  <c r="M488" i="3"/>
  <c r="N488" i="3" s="1"/>
  <c r="V488" i="3"/>
  <c r="A489" i="3"/>
  <c r="B489" i="3" s="1"/>
  <c r="W488" i="3" l="1"/>
  <c r="L488" i="3"/>
  <c r="P489" i="3"/>
  <c r="Q489" i="3" s="1"/>
  <c r="R489" i="3" s="1"/>
  <c r="S489" i="3" s="1"/>
  <c r="AC489" i="3"/>
  <c r="AA489" i="3"/>
  <c r="AD489" i="3"/>
  <c r="Z489" i="3"/>
  <c r="U488" i="3" l="1"/>
  <c r="Y487" i="3"/>
  <c r="T489" i="3"/>
  <c r="AH489" i="3" s="1"/>
  <c r="AG489" i="3" l="1"/>
  <c r="D489" i="3"/>
  <c r="E489" i="3"/>
  <c r="H489" i="3" s="1"/>
  <c r="K489" i="3" s="1"/>
  <c r="AE489" i="3" s="1"/>
  <c r="F489" i="3" l="1"/>
  <c r="G489" i="3"/>
  <c r="M489" i="3" s="1"/>
  <c r="N489" i="3" s="1"/>
  <c r="V489" i="3"/>
  <c r="A490" i="3"/>
  <c r="B490" i="3" s="1"/>
  <c r="I489" i="3" l="1"/>
  <c r="W489" i="3" s="1"/>
  <c r="J489" i="3"/>
  <c r="L489" i="3" s="1"/>
  <c r="Z490" i="3"/>
  <c r="AC490" i="3"/>
  <c r="P490" i="3"/>
  <c r="Q490" i="3" s="1"/>
  <c r="R490" i="3" s="1"/>
  <c r="S490" i="3" s="1"/>
  <c r="AD490" i="3"/>
  <c r="AA490" i="3"/>
  <c r="T490" i="3" l="1"/>
  <c r="AH490" i="3" s="1"/>
  <c r="U489" i="3"/>
  <c r="Y488" i="3"/>
  <c r="E490" i="3" l="1"/>
  <c r="H490" i="3" s="1"/>
  <c r="K490" i="3" s="1"/>
  <c r="AE490" i="3" s="1"/>
  <c r="D490" i="3"/>
  <c r="AG490" i="3"/>
  <c r="V490" i="3" l="1"/>
  <c r="A491" i="3"/>
  <c r="B491" i="3" s="1"/>
  <c r="F490" i="3"/>
  <c r="G490" i="3"/>
  <c r="I490" i="3" l="1"/>
  <c r="W490" i="3" s="1"/>
  <c r="J490" i="3"/>
  <c r="M490" i="3"/>
  <c r="N490" i="3" s="1"/>
  <c r="P491" i="3"/>
  <c r="Q491" i="3" s="1"/>
  <c r="R491" i="3" s="1"/>
  <c r="S491" i="3" s="1"/>
  <c r="Z491" i="3"/>
  <c r="AD491" i="3"/>
  <c r="AC491" i="3"/>
  <c r="AA491" i="3"/>
  <c r="T491" i="3" l="1"/>
  <c r="L490" i="3"/>
  <c r="AH491" i="3" l="1"/>
  <c r="U490" i="3"/>
  <c r="D491" i="3" s="1"/>
  <c r="AG491" i="3"/>
  <c r="Y489" i="3"/>
  <c r="E491" i="3" l="1"/>
  <c r="H491" i="3" s="1"/>
  <c r="K491" i="3" s="1"/>
  <c r="AE491" i="3" s="1"/>
  <c r="G491" i="3"/>
  <c r="F491" i="3" l="1"/>
  <c r="I491" i="3"/>
  <c r="J491" i="3"/>
  <c r="M491" i="3"/>
  <c r="N491" i="3" s="1"/>
  <c r="V491" i="3"/>
  <c r="A492" i="3"/>
  <c r="B492" i="3" s="1"/>
  <c r="W491" i="3" l="1"/>
  <c r="L491" i="3"/>
  <c r="AC492" i="3"/>
  <c r="AA492" i="3"/>
  <c r="P492" i="3"/>
  <c r="Q492" i="3" s="1"/>
  <c r="R492" i="3" s="1"/>
  <c r="S492" i="3" s="1"/>
  <c r="Z492" i="3"/>
  <c r="AD492" i="3"/>
  <c r="T492" i="3" l="1"/>
  <c r="U491" i="3"/>
  <c r="Y490" i="3"/>
  <c r="D492" i="3" l="1"/>
  <c r="G492" i="3" s="1"/>
  <c r="AH492" i="3"/>
  <c r="AG492" i="3"/>
  <c r="E492" i="3"/>
  <c r="H492" i="3" s="1"/>
  <c r="F492" i="3" l="1"/>
  <c r="I492" i="3"/>
  <c r="J492" i="3"/>
  <c r="M492" i="3"/>
  <c r="N492" i="3" s="1"/>
  <c r="K492" i="3"/>
  <c r="AE492" i="3" s="1"/>
  <c r="L492" i="3" l="1"/>
  <c r="V492" i="3"/>
  <c r="W492" i="3" s="1"/>
  <c r="A493" i="3"/>
  <c r="B493" i="3" s="1"/>
  <c r="U492" i="3" l="1"/>
  <c r="Y491" i="3"/>
  <c r="P493" i="3"/>
  <c r="Q493" i="3" s="1"/>
  <c r="R493" i="3" s="1"/>
  <c r="S493" i="3" s="1"/>
  <c r="AC493" i="3"/>
  <c r="AA493" i="3"/>
  <c r="Z493" i="3"/>
  <c r="AD493" i="3"/>
  <c r="T493" i="3" l="1"/>
  <c r="AH493" i="3" s="1"/>
  <c r="AG493" i="3" l="1"/>
  <c r="E493" i="3"/>
  <c r="H493" i="3" s="1"/>
  <c r="K493" i="3" s="1"/>
  <c r="AE493" i="3" s="1"/>
  <c r="D493" i="3"/>
  <c r="F493" i="3" l="1"/>
  <c r="G493" i="3"/>
  <c r="J493" i="3" s="1"/>
  <c r="V493" i="3"/>
  <c r="A494" i="3"/>
  <c r="B494" i="3" s="1"/>
  <c r="M493" i="3" l="1"/>
  <c r="N493" i="3" s="1"/>
  <c r="I493" i="3"/>
  <c r="W493" i="3" s="1"/>
  <c r="L493" i="3"/>
  <c r="P494" i="3"/>
  <c r="Q494" i="3" s="1"/>
  <c r="R494" i="3" s="1"/>
  <c r="S494" i="3" s="1"/>
  <c r="AC494" i="3"/>
  <c r="Z494" i="3"/>
  <c r="AA494" i="3"/>
  <c r="T494" i="3" l="1"/>
  <c r="AH494" i="3" s="1"/>
  <c r="U493" i="3"/>
  <c r="Y492" i="3"/>
  <c r="E494" i="3" l="1"/>
  <c r="H494" i="3" s="1"/>
  <c r="K494" i="3" s="1"/>
  <c r="AE494" i="3" s="1"/>
  <c r="D494" i="3"/>
  <c r="AG494" i="3"/>
  <c r="F494" i="3" l="1"/>
  <c r="G494" i="3"/>
  <c r="V494" i="3"/>
  <c r="A495" i="3"/>
  <c r="B495" i="3" s="1"/>
  <c r="Z495" i="3" l="1"/>
  <c r="P495" i="3"/>
  <c r="Q495" i="3" s="1"/>
  <c r="R495" i="3" s="1"/>
  <c r="S495" i="3" s="1"/>
  <c r="AA495" i="3"/>
  <c r="AD495" i="3"/>
  <c r="AC495" i="3"/>
  <c r="I494" i="3"/>
  <c r="W494" i="3" s="1"/>
  <c r="J494" i="3"/>
  <c r="AD494" i="3" s="1"/>
  <c r="M494" i="3"/>
  <c r="N494" i="3" s="1"/>
  <c r="L494" i="3" l="1"/>
  <c r="T495" i="3"/>
  <c r="AG495" i="3" l="1"/>
  <c r="U494" i="3"/>
  <c r="D495" i="3" s="1"/>
  <c r="AH495" i="3"/>
  <c r="Y493" i="3"/>
  <c r="E495" i="3" l="1"/>
  <c r="H495" i="3" s="1"/>
  <c r="K495" i="3" s="1"/>
  <c r="AE495" i="3" s="1"/>
  <c r="G495" i="3"/>
  <c r="F495" i="3" l="1"/>
  <c r="V495" i="3"/>
  <c r="A496" i="3"/>
  <c r="B496" i="3" s="1"/>
  <c r="I495" i="3"/>
  <c r="J495" i="3"/>
  <c r="M495" i="3"/>
  <c r="N495" i="3" s="1"/>
  <c r="W495" i="3" l="1"/>
  <c r="L495" i="3"/>
  <c r="AD496" i="3"/>
  <c r="AA496" i="3"/>
  <c r="P496" i="3"/>
  <c r="Q496" i="3" s="1"/>
  <c r="R496" i="3" s="1"/>
  <c r="S496" i="3" s="1"/>
  <c r="Z496" i="3"/>
  <c r="AC496" i="3"/>
  <c r="U495" i="3" l="1"/>
  <c r="Y494" i="3"/>
  <c r="T496" i="3"/>
  <c r="AH496" i="3" s="1"/>
  <c r="D496" i="3" l="1"/>
  <c r="G496" i="3" s="1"/>
  <c r="AG496" i="3"/>
  <c r="E496" i="3"/>
  <c r="H496" i="3" s="1"/>
  <c r="K496" i="3" s="1"/>
  <c r="AE496" i="3" s="1"/>
  <c r="F496" i="3" l="1"/>
  <c r="V496" i="3"/>
  <c r="A497" i="3"/>
  <c r="B497" i="3" s="1"/>
  <c r="I496" i="3"/>
  <c r="J496" i="3"/>
  <c r="M496" i="3"/>
  <c r="N496" i="3" s="1"/>
  <c r="W496" i="3" l="1"/>
  <c r="L496" i="3"/>
  <c r="P497" i="3"/>
  <c r="Q497" i="3" s="1"/>
  <c r="R497" i="3" s="1"/>
  <c r="S497" i="3" s="1"/>
  <c r="AC497" i="3"/>
  <c r="AA497" i="3"/>
  <c r="AD497" i="3"/>
  <c r="Z497" i="3"/>
  <c r="U496" i="3" l="1"/>
  <c r="Y495" i="3"/>
  <c r="T497" i="3"/>
  <c r="AG497" i="3" s="1"/>
  <c r="E497" i="3" l="1"/>
  <c r="H497" i="3" s="1"/>
  <c r="D497" i="3"/>
  <c r="AH497" i="3"/>
  <c r="F497" i="3" l="1"/>
  <c r="G497" i="3"/>
  <c r="K497" i="3"/>
  <c r="AE497" i="3" s="1"/>
  <c r="I497" i="3" l="1"/>
  <c r="J497" i="3"/>
  <c r="M497" i="3"/>
  <c r="N497" i="3" s="1"/>
  <c r="V497" i="3"/>
  <c r="A498" i="3"/>
  <c r="B498" i="3" s="1"/>
  <c r="W497" i="3" l="1"/>
  <c r="L497" i="3"/>
  <c r="Z498" i="3"/>
  <c r="AC498" i="3"/>
  <c r="AD498" i="3"/>
  <c r="AA498" i="3"/>
  <c r="P498" i="3"/>
  <c r="Q498" i="3" s="1"/>
  <c r="R498" i="3" s="1"/>
  <c r="S498" i="3" s="1"/>
  <c r="U497" i="3" l="1"/>
  <c r="Y496" i="3"/>
  <c r="T498" i="3"/>
  <c r="AH498" i="3" s="1"/>
  <c r="AG498" i="3" l="1"/>
  <c r="D498" i="3"/>
  <c r="E498" i="3"/>
  <c r="H498" i="3" s="1"/>
  <c r="F498" i="3" l="1"/>
  <c r="G498" i="3"/>
  <c r="K498" i="3"/>
  <c r="AE498" i="3" s="1"/>
  <c r="I498" i="3" l="1"/>
  <c r="J498" i="3"/>
  <c r="M498" i="3"/>
  <c r="N498" i="3" s="1"/>
  <c r="V498" i="3"/>
  <c r="A499" i="3"/>
  <c r="B499" i="3" s="1"/>
  <c r="W498" i="3" l="1"/>
  <c r="L498" i="3"/>
  <c r="AC499" i="3"/>
  <c r="P499" i="3"/>
  <c r="Q499" i="3" s="1"/>
  <c r="R499" i="3" s="1"/>
  <c r="S499" i="3" s="1"/>
  <c r="AD499" i="3"/>
  <c r="AA499" i="3"/>
  <c r="Z499" i="3"/>
  <c r="T499" i="3" l="1"/>
  <c r="U498" i="3"/>
  <c r="Y497" i="3"/>
  <c r="D499" i="3" l="1"/>
  <c r="G499" i="3" s="1"/>
  <c r="AH499" i="3"/>
  <c r="E499" i="3"/>
  <c r="H499" i="3" s="1"/>
  <c r="AG499" i="3"/>
  <c r="F499" i="3" l="1"/>
  <c r="I499" i="3"/>
  <c r="J499" i="3"/>
  <c r="M499" i="3"/>
  <c r="N499" i="3" s="1"/>
  <c r="K499" i="3"/>
  <c r="AE499" i="3" s="1"/>
  <c r="V499" i="3" l="1"/>
  <c r="W499" i="3" s="1"/>
  <c r="A500" i="3"/>
  <c r="B500" i="3" s="1"/>
  <c r="L499" i="3"/>
  <c r="U499" i="3" l="1"/>
  <c r="Y498" i="3"/>
  <c r="AD500" i="3"/>
  <c r="AA500" i="3"/>
  <c r="AC500" i="3"/>
  <c r="P500" i="3"/>
  <c r="Q500" i="3" s="1"/>
  <c r="R500" i="3" s="1"/>
  <c r="S500" i="3" s="1"/>
  <c r="Z500" i="3"/>
  <c r="T500" i="3" l="1"/>
  <c r="AH500" i="3" s="1"/>
  <c r="D500" i="3" l="1"/>
  <c r="AG500" i="3"/>
  <c r="E500" i="3"/>
  <c r="H500" i="3" s="1"/>
  <c r="F500" i="3" l="1"/>
  <c r="G500" i="3"/>
  <c r="K500" i="3"/>
  <c r="AE500" i="3" s="1"/>
  <c r="I500" i="3" l="1"/>
  <c r="J500" i="3"/>
  <c r="M500" i="3"/>
  <c r="N500" i="3" s="1"/>
  <c r="V500" i="3"/>
  <c r="A501" i="3"/>
  <c r="B501" i="3" s="1"/>
  <c r="W500" i="3" l="1"/>
  <c r="L500" i="3"/>
  <c r="P501" i="3"/>
  <c r="Q501" i="3" s="1"/>
  <c r="R501" i="3" s="1"/>
  <c r="S501" i="3" s="1"/>
  <c r="AC501" i="3"/>
  <c r="AD501" i="3"/>
  <c r="Z501" i="3"/>
  <c r="AA501" i="3"/>
  <c r="U500" i="3" l="1"/>
  <c r="Y499" i="3"/>
  <c r="T501" i="3"/>
  <c r="D501" i="3" l="1"/>
  <c r="G501" i="3" s="1"/>
  <c r="E501" i="3"/>
  <c r="H501" i="3" s="1"/>
  <c r="K501" i="3" s="1"/>
  <c r="AE501" i="3" s="1"/>
  <c r="AG501" i="3"/>
  <c r="AH501" i="3"/>
  <c r="F501" i="3" l="1"/>
  <c r="I501" i="3"/>
  <c r="J501" i="3"/>
  <c r="M501" i="3"/>
  <c r="N501" i="3" s="1"/>
  <c r="V501" i="3"/>
  <c r="A502" i="3"/>
  <c r="B502" i="3" s="1"/>
  <c r="L501" i="3" l="1"/>
  <c r="W501" i="3"/>
  <c r="Z502" i="3"/>
  <c r="AA502" i="3"/>
  <c r="AC502" i="3"/>
  <c r="AD502" i="3"/>
  <c r="P502" i="3"/>
  <c r="Q502" i="3" s="1"/>
  <c r="R502" i="3" s="1"/>
  <c r="S502" i="3" s="1"/>
  <c r="U501" i="3" l="1"/>
  <c r="Y500" i="3"/>
  <c r="T502" i="3"/>
  <c r="E502" i="3" l="1"/>
  <c r="H502" i="3" s="1"/>
  <c r="K502" i="3" s="1"/>
  <c r="AE502" i="3" s="1"/>
  <c r="AG502" i="3"/>
  <c r="D502" i="3"/>
  <c r="AH502" i="3"/>
  <c r="F502" i="3" l="1"/>
  <c r="G502" i="3"/>
  <c r="V502" i="3"/>
  <c r="A503" i="3"/>
  <c r="B503" i="3" s="1"/>
  <c r="I502" i="3" l="1"/>
  <c r="W502" i="3" s="1"/>
  <c r="J502" i="3"/>
  <c r="M502" i="3"/>
  <c r="N502" i="3" s="1"/>
  <c r="AA503" i="3"/>
  <c r="P503" i="3"/>
  <c r="Q503" i="3" s="1"/>
  <c r="R503" i="3" s="1"/>
  <c r="S503" i="3" s="1"/>
  <c r="AD503" i="3"/>
  <c r="AC503" i="3"/>
  <c r="Z503" i="3"/>
  <c r="T503" i="3" l="1"/>
  <c r="L502" i="3"/>
  <c r="AG503" i="3" l="1"/>
  <c r="AH503" i="3"/>
  <c r="U502" i="3"/>
  <c r="E503" i="3" s="1"/>
  <c r="H503" i="3" s="1"/>
  <c r="Y501" i="3"/>
  <c r="D503" i="3" l="1"/>
  <c r="G503" i="3" s="1"/>
  <c r="K503" i="3"/>
  <c r="AE503" i="3" s="1"/>
  <c r="F503" i="3" l="1"/>
  <c r="V503" i="3"/>
  <c r="A504" i="3"/>
  <c r="B504" i="3" s="1"/>
  <c r="I503" i="3"/>
  <c r="J503" i="3"/>
  <c r="M503" i="3"/>
  <c r="N503" i="3" s="1"/>
  <c r="W503" i="3" l="1"/>
  <c r="L503" i="3"/>
  <c r="P504" i="3"/>
  <c r="Q504" i="3" s="1"/>
  <c r="R504" i="3" s="1"/>
  <c r="S504" i="3" s="1"/>
  <c r="Z504" i="3"/>
  <c r="AA504" i="3"/>
  <c r="AC504" i="3"/>
  <c r="U503" i="3" l="1"/>
  <c r="Y502" i="3"/>
  <c r="T504" i="3"/>
  <c r="AG504" i="3" s="1"/>
  <c r="E504" i="3" l="1"/>
  <c r="H504" i="3" s="1"/>
  <c r="K504" i="3" s="1"/>
  <c r="AE504" i="3" s="1"/>
  <c r="D504" i="3"/>
  <c r="AH504" i="3"/>
  <c r="F504" i="3" l="1"/>
  <c r="G504" i="3"/>
  <c r="I504" i="3" s="1"/>
  <c r="V504" i="3"/>
  <c r="A505" i="3"/>
  <c r="B505" i="3" s="1"/>
  <c r="J504" i="3" l="1"/>
  <c r="W504" i="3"/>
  <c r="M504" i="3"/>
  <c r="N504" i="3" s="1"/>
  <c r="P505" i="3"/>
  <c r="Q505" i="3" s="1"/>
  <c r="R505" i="3" s="1"/>
  <c r="S505" i="3" s="1"/>
  <c r="AC505" i="3"/>
  <c r="Z505" i="3"/>
  <c r="AD505" i="3"/>
  <c r="AA505" i="3"/>
  <c r="L504" i="3" l="1"/>
  <c r="Y503" i="3" s="1"/>
  <c r="AD504" i="3"/>
  <c r="T505" i="3"/>
  <c r="AH505" i="3" l="1"/>
  <c r="U504" i="3"/>
  <c r="D505" i="3" s="1"/>
  <c r="G505" i="3" s="1"/>
  <c r="AG505" i="3"/>
  <c r="E505" i="3" l="1"/>
  <c r="H505" i="3" s="1"/>
  <c r="K505" i="3" s="1"/>
  <c r="AE505" i="3" s="1"/>
  <c r="J505" i="3"/>
  <c r="I505" i="3" l="1"/>
  <c r="F505" i="3"/>
  <c r="V505" i="3"/>
  <c r="M505" i="3"/>
  <c r="N505" i="3" s="1"/>
  <c r="A506" i="3"/>
  <c r="B506" i="3" s="1"/>
  <c r="P506" i="3" s="1"/>
  <c r="Q506" i="3" s="1"/>
  <c r="R506" i="3" s="1"/>
  <c r="S506" i="3" s="1"/>
  <c r="L505" i="3"/>
  <c r="W505" i="3" l="1"/>
  <c r="AA506" i="3"/>
  <c r="AD506" i="3"/>
  <c r="AC506" i="3"/>
  <c r="Z506" i="3"/>
  <c r="U505" i="3"/>
  <c r="Y504" i="3"/>
  <c r="T506" i="3"/>
  <c r="AG506" i="3" l="1"/>
  <c r="D506" i="3"/>
  <c r="G506" i="3" s="1"/>
  <c r="AH506" i="3"/>
  <c r="E506" i="3"/>
  <c r="H506" i="3" s="1"/>
  <c r="K506" i="3" s="1"/>
  <c r="AE506" i="3" s="1"/>
  <c r="F506" i="3" l="1"/>
  <c r="I506" i="3"/>
  <c r="J506" i="3"/>
  <c r="M506" i="3"/>
  <c r="N506" i="3" s="1"/>
  <c r="V506" i="3"/>
  <c r="A507" i="3"/>
  <c r="B507" i="3" s="1"/>
  <c r="W506" i="3" l="1"/>
  <c r="L506" i="3"/>
  <c r="AD507" i="3"/>
  <c r="AC507" i="3"/>
  <c r="P507" i="3"/>
  <c r="Q507" i="3" s="1"/>
  <c r="R507" i="3" s="1"/>
  <c r="S507" i="3" s="1"/>
  <c r="AA507" i="3"/>
  <c r="Z507" i="3"/>
  <c r="U506" i="3" l="1"/>
  <c r="Y505" i="3"/>
  <c r="T507" i="3"/>
  <c r="AH507" i="3" s="1"/>
  <c r="AG507" i="3" l="1"/>
  <c r="E507" i="3"/>
  <c r="H507" i="3" s="1"/>
  <c r="D507" i="3"/>
  <c r="K507" i="3" l="1"/>
  <c r="AE507" i="3" s="1"/>
  <c r="F507" i="3"/>
  <c r="G507" i="3"/>
  <c r="I507" i="3" l="1"/>
  <c r="J507" i="3"/>
  <c r="M507" i="3"/>
  <c r="N507" i="3" s="1"/>
  <c r="V507" i="3"/>
  <c r="A508" i="3"/>
  <c r="B508" i="3" s="1"/>
  <c r="W507" i="3" l="1"/>
  <c r="L507" i="3"/>
  <c r="P508" i="3"/>
  <c r="Q508" i="3" s="1"/>
  <c r="R508" i="3" s="1"/>
  <c r="S508" i="3" s="1"/>
  <c r="AD508" i="3"/>
  <c r="AA508" i="3"/>
  <c r="Z508" i="3"/>
  <c r="AC508" i="3"/>
  <c r="U507" i="3" l="1"/>
  <c r="Y506" i="3"/>
  <c r="T508" i="3"/>
  <c r="E508" i="3" l="1"/>
  <c r="H508" i="3" s="1"/>
  <c r="K508" i="3" s="1"/>
  <c r="AE508" i="3" s="1"/>
  <c r="AH508" i="3"/>
  <c r="D508" i="3"/>
  <c r="AG508" i="3"/>
  <c r="F508" i="3" l="1"/>
  <c r="G508" i="3"/>
  <c r="V508" i="3"/>
  <c r="A509" i="3"/>
  <c r="B509" i="3" s="1"/>
  <c r="AD509" i="3" l="1"/>
  <c r="AC509" i="3"/>
  <c r="Z509" i="3"/>
  <c r="AA509" i="3"/>
  <c r="P509" i="3"/>
  <c r="Q509" i="3" s="1"/>
  <c r="R509" i="3" s="1"/>
  <c r="S509" i="3" s="1"/>
  <c r="I508" i="3"/>
  <c r="W508" i="3" s="1"/>
  <c r="J508" i="3"/>
  <c r="M508" i="3"/>
  <c r="N508" i="3" s="1"/>
  <c r="L508" i="3" l="1"/>
  <c r="T509" i="3"/>
  <c r="AG509" i="3" l="1"/>
  <c r="AH509" i="3"/>
  <c r="U508" i="3"/>
  <c r="D509" i="3" s="1"/>
  <c r="Y507" i="3"/>
  <c r="G509" i="3" l="1"/>
  <c r="E509" i="3"/>
  <c r="H509" i="3" s="1"/>
  <c r="F509" i="3" l="1"/>
  <c r="I509" i="3"/>
  <c r="J509" i="3"/>
  <c r="M509" i="3"/>
  <c r="N509" i="3" s="1"/>
  <c r="K509" i="3"/>
  <c r="AE509" i="3" s="1"/>
  <c r="V509" i="3" l="1"/>
  <c r="W509" i="3" s="1"/>
  <c r="A510" i="3"/>
  <c r="B510" i="3" s="1"/>
  <c r="L509" i="3"/>
  <c r="U509" i="3" l="1"/>
  <c r="Y508" i="3"/>
  <c r="AC510" i="3"/>
  <c r="Z510" i="3"/>
  <c r="AA510" i="3"/>
  <c r="AD510" i="3"/>
  <c r="P510" i="3"/>
  <c r="Q510" i="3" s="1"/>
  <c r="R510" i="3" s="1"/>
  <c r="S510" i="3" s="1"/>
  <c r="T510" i="3" l="1"/>
  <c r="AH510" i="3" l="1"/>
  <c r="E510" i="3"/>
  <c r="H510" i="3" s="1"/>
  <c r="D510" i="3"/>
  <c r="AG510" i="3"/>
  <c r="F510" i="3" l="1"/>
  <c r="G510" i="3"/>
  <c r="K510" i="3"/>
  <c r="AE510" i="3" s="1"/>
  <c r="V510" i="3" l="1"/>
  <c r="A511" i="3"/>
  <c r="B511" i="3" s="1"/>
  <c r="I510" i="3"/>
  <c r="J510" i="3"/>
  <c r="M510" i="3"/>
  <c r="N510" i="3" s="1"/>
  <c r="L510" i="3" l="1"/>
  <c r="AA511" i="3"/>
  <c r="AC511" i="3"/>
  <c r="P511" i="3"/>
  <c r="Q511" i="3" s="1"/>
  <c r="R511" i="3" s="1"/>
  <c r="S511" i="3" s="1"/>
  <c r="Z511" i="3"/>
  <c r="AD511" i="3"/>
  <c r="W510" i="3"/>
  <c r="U510" i="3" l="1"/>
  <c r="Y509" i="3"/>
  <c r="T511" i="3"/>
  <c r="AG511" i="3" s="1"/>
  <c r="AH511" i="3" l="1"/>
  <c r="D511" i="3"/>
  <c r="E511" i="3"/>
  <c r="H511" i="3" s="1"/>
  <c r="F511" i="3" l="1"/>
  <c r="G511" i="3"/>
  <c r="K511" i="3"/>
  <c r="AE511" i="3" s="1"/>
  <c r="V511" i="3" l="1"/>
  <c r="A512" i="3"/>
  <c r="B512" i="3" s="1"/>
  <c r="I511" i="3"/>
  <c r="J511" i="3"/>
  <c r="M511" i="3"/>
  <c r="N511" i="3" s="1"/>
  <c r="W511" i="3" l="1"/>
  <c r="L511" i="3"/>
  <c r="AC512" i="3"/>
  <c r="Z512" i="3"/>
  <c r="AA512" i="3"/>
  <c r="P512" i="3"/>
  <c r="Q512" i="3" s="1"/>
  <c r="R512" i="3" s="1"/>
  <c r="S512" i="3" s="1"/>
  <c r="AD512" i="3"/>
  <c r="T512" i="3" l="1"/>
  <c r="U511" i="3"/>
  <c r="Y510" i="3"/>
  <c r="D512" i="3" l="1"/>
  <c r="G512" i="3" s="1"/>
  <c r="AH512" i="3"/>
  <c r="E512" i="3"/>
  <c r="H512" i="3" s="1"/>
  <c r="K512" i="3" s="1"/>
  <c r="AE512" i="3" s="1"/>
  <c r="AG512" i="3"/>
  <c r="F512" i="3" l="1"/>
  <c r="I512" i="3"/>
  <c r="J512" i="3"/>
  <c r="M512" i="3"/>
  <c r="N512" i="3" s="1"/>
  <c r="V512" i="3"/>
  <c r="A513" i="3"/>
  <c r="B513" i="3" s="1"/>
  <c r="W512" i="3" l="1"/>
  <c r="L512" i="3"/>
  <c r="AA513" i="3"/>
  <c r="P513" i="3"/>
  <c r="Q513" i="3" s="1"/>
  <c r="R513" i="3" s="1"/>
  <c r="S513" i="3" s="1"/>
  <c r="AC513" i="3"/>
  <c r="AD513" i="3"/>
  <c r="Z513" i="3"/>
  <c r="T513" i="3" l="1"/>
  <c r="AG513" i="3" s="1"/>
  <c r="U512" i="3"/>
  <c r="Y511" i="3"/>
  <c r="AH513" i="3" l="1"/>
  <c r="E513" i="3"/>
  <c r="H513" i="3" s="1"/>
  <c r="D513" i="3"/>
  <c r="F513" i="3" l="1"/>
  <c r="G513" i="3"/>
  <c r="K513" i="3"/>
  <c r="AE513" i="3" s="1"/>
  <c r="V513" i="3" l="1"/>
  <c r="A514" i="3"/>
  <c r="B514" i="3" s="1"/>
  <c r="I513" i="3"/>
  <c r="J513" i="3"/>
  <c r="M513" i="3"/>
  <c r="N513" i="3" s="1"/>
  <c r="L513" i="3" l="1"/>
  <c r="Z514" i="3"/>
  <c r="AA514" i="3"/>
  <c r="AC514" i="3"/>
  <c r="P514" i="3"/>
  <c r="Q514" i="3" s="1"/>
  <c r="R514" i="3" s="1"/>
  <c r="S514" i="3" s="1"/>
  <c r="W513" i="3"/>
  <c r="T514" i="3" l="1"/>
  <c r="AH514" i="3" s="1"/>
  <c r="U513" i="3"/>
  <c r="Y512" i="3"/>
  <c r="AG514" i="3" l="1"/>
  <c r="E514" i="3"/>
  <c r="H514" i="3" s="1"/>
  <c r="D514" i="3"/>
  <c r="K514" i="3" l="1"/>
  <c r="AE514" i="3" s="1"/>
  <c r="F514" i="3"/>
  <c r="G514" i="3"/>
  <c r="V514" i="3" l="1"/>
  <c r="A515" i="3"/>
  <c r="B515" i="3" s="1"/>
  <c r="I514" i="3"/>
  <c r="J514" i="3"/>
  <c r="AD514" i="3" s="1"/>
  <c r="M514" i="3"/>
  <c r="N514" i="3" s="1"/>
  <c r="W514" i="3" l="1"/>
  <c r="L514" i="3"/>
  <c r="AD515" i="3"/>
  <c r="P515" i="3"/>
  <c r="Q515" i="3" s="1"/>
  <c r="R515" i="3" s="1"/>
  <c r="S515" i="3" s="1"/>
  <c r="AC515" i="3"/>
  <c r="Z515" i="3"/>
  <c r="AA515" i="3"/>
  <c r="U514" i="3" l="1"/>
  <c r="Y513" i="3"/>
  <c r="T515" i="3"/>
  <c r="D515" i="3" l="1"/>
  <c r="G515" i="3" s="1"/>
  <c r="AG515" i="3"/>
  <c r="AH515" i="3"/>
  <c r="E515" i="3"/>
  <c r="H515" i="3" s="1"/>
  <c r="K515" i="3" l="1"/>
  <c r="AE515" i="3" s="1"/>
  <c r="I515" i="3"/>
  <c r="J515" i="3"/>
  <c r="M515" i="3"/>
  <c r="N515" i="3" s="1"/>
  <c r="F515" i="3"/>
  <c r="L515" i="3" l="1"/>
  <c r="V515" i="3"/>
  <c r="W515" i="3" s="1"/>
  <c r="A516" i="3"/>
  <c r="B516" i="3" s="1"/>
  <c r="U515" i="3" l="1"/>
  <c r="Y514" i="3"/>
  <c r="AA516" i="3"/>
  <c r="Z516" i="3"/>
  <c r="AC516" i="3"/>
  <c r="P516" i="3"/>
  <c r="Q516" i="3" s="1"/>
  <c r="R516" i="3" s="1"/>
  <c r="S516" i="3" s="1"/>
  <c r="AD516" i="3"/>
  <c r="T516" i="3" l="1"/>
  <c r="AG516" i="3" s="1"/>
  <c r="D516" i="3" l="1"/>
  <c r="AH516" i="3"/>
  <c r="E516" i="3"/>
  <c r="H516" i="3" s="1"/>
  <c r="F516" i="3" l="1"/>
  <c r="G516" i="3"/>
  <c r="K516" i="3"/>
  <c r="AE516" i="3" s="1"/>
  <c r="I516" i="3" l="1"/>
  <c r="J516" i="3"/>
  <c r="M516" i="3"/>
  <c r="N516" i="3" s="1"/>
  <c r="V516" i="3"/>
  <c r="A517" i="3"/>
  <c r="B517" i="3" s="1"/>
  <c r="W516" i="3" l="1"/>
  <c r="L516" i="3"/>
  <c r="AD517" i="3"/>
  <c r="AC517" i="3"/>
  <c r="P517" i="3"/>
  <c r="Q517" i="3" s="1"/>
  <c r="R517" i="3" s="1"/>
  <c r="S517" i="3" s="1"/>
  <c r="AA517" i="3"/>
  <c r="Z517" i="3"/>
  <c r="U516" i="3" l="1"/>
  <c r="Y515" i="3"/>
  <c r="T517" i="3"/>
  <c r="AG517" i="3" s="1"/>
  <c r="D517" i="3" l="1"/>
  <c r="G517" i="3" s="1"/>
  <c r="AH517" i="3"/>
  <c r="E517" i="3"/>
  <c r="H517" i="3" s="1"/>
  <c r="K517" i="3" s="1"/>
  <c r="AE517" i="3" s="1"/>
  <c r="F517" i="3" l="1"/>
  <c r="I517" i="3"/>
  <c r="J517" i="3"/>
  <c r="M517" i="3"/>
  <c r="N517" i="3" s="1"/>
  <c r="V517" i="3"/>
  <c r="A518" i="3"/>
  <c r="B518" i="3" s="1"/>
  <c r="W517" i="3" l="1"/>
  <c r="L517" i="3"/>
  <c r="AD518" i="3"/>
  <c r="AA518" i="3"/>
  <c r="AC518" i="3"/>
  <c r="Z518" i="3"/>
  <c r="P518" i="3"/>
  <c r="Q518" i="3" s="1"/>
  <c r="R518" i="3" s="1"/>
  <c r="S518" i="3" s="1"/>
  <c r="U517" i="3" l="1"/>
  <c r="Y516" i="3"/>
  <c r="T518" i="3"/>
  <c r="D518" i="3" l="1"/>
  <c r="G518" i="3" s="1"/>
  <c r="E518" i="3"/>
  <c r="H518" i="3" s="1"/>
  <c r="AH518" i="3"/>
  <c r="AG518" i="3"/>
  <c r="F518" i="3" l="1"/>
  <c r="I518" i="3"/>
  <c r="J518" i="3"/>
  <c r="M518" i="3"/>
  <c r="N518" i="3" s="1"/>
  <c r="K518" i="3"/>
  <c r="AE518" i="3" s="1"/>
  <c r="V518" i="3" l="1"/>
  <c r="W518" i="3" s="1"/>
  <c r="A519" i="3"/>
  <c r="B519" i="3" s="1"/>
  <c r="L518" i="3"/>
  <c r="U518" i="3" l="1"/>
  <c r="Y517" i="3"/>
  <c r="AD519" i="3"/>
  <c r="AA519" i="3"/>
  <c r="Z519" i="3"/>
  <c r="AC519" i="3"/>
  <c r="P519" i="3"/>
  <c r="Q519" i="3" s="1"/>
  <c r="R519" i="3" s="1"/>
  <c r="S519" i="3" s="1"/>
  <c r="T519" i="3" l="1"/>
  <c r="D519" i="3" s="1"/>
  <c r="AG519" i="3" l="1"/>
  <c r="G519" i="3"/>
  <c r="AH519" i="3"/>
  <c r="E519" i="3"/>
  <c r="H519" i="3" s="1"/>
  <c r="F519" i="3" l="1"/>
  <c r="I519" i="3"/>
  <c r="J519" i="3"/>
  <c r="M519" i="3"/>
  <c r="N519" i="3" s="1"/>
  <c r="K519" i="3"/>
  <c r="AE519" i="3" s="1"/>
  <c r="V519" i="3" l="1"/>
  <c r="W519" i="3" s="1"/>
  <c r="A520" i="3"/>
  <c r="B520" i="3" s="1"/>
  <c r="L519" i="3"/>
  <c r="U519" i="3" l="1"/>
  <c r="Y518" i="3"/>
  <c r="AA520" i="3"/>
  <c r="AC520" i="3"/>
  <c r="Z520" i="3"/>
  <c r="AD520" i="3"/>
  <c r="P520" i="3"/>
  <c r="Q520" i="3" s="1"/>
  <c r="R520" i="3" s="1"/>
  <c r="S520" i="3" s="1"/>
  <c r="T520" i="3" l="1"/>
  <c r="D520" i="3" s="1"/>
  <c r="AG520" i="3" l="1"/>
  <c r="E520" i="3"/>
  <c r="H520" i="3" s="1"/>
  <c r="K520" i="3" s="1"/>
  <c r="AE520" i="3" s="1"/>
  <c r="AH520" i="3"/>
  <c r="G520" i="3"/>
  <c r="F520" i="3" l="1"/>
  <c r="I520" i="3"/>
  <c r="J520" i="3"/>
  <c r="M520" i="3"/>
  <c r="N520" i="3" s="1"/>
  <c r="V520" i="3"/>
  <c r="A521" i="3"/>
  <c r="B521" i="3" s="1"/>
  <c r="W520" i="3" l="1"/>
  <c r="L520" i="3"/>
  <c r="P521" i="3"/>
  <c r="Q521" i="3" s="1"/>
  <c r="R521" i="3" s="1"/>
  <c r="S521" i="3" s="1"/>
  <c r="AC521" i="3"/>
  <c r="AA521" i="3"/>
  <c r="AD521" i="3"/>
  <c r="Z521" i="3"/>
  <c r="U520" i="3" l="1"/>
  <c r="Y519" i="3"/>
  <c r="T521" i="3"/>
  <c r="AH521" i="3" s="1"/>
  <c r="AG521" i="3" l="1"/>
  <c r="D521" i="3"/>
  <c r="E521" i="3"/>
  <c r="H521" i="3" s="1"/>
  <c r="K521" i="3" s="1"/>
  <c r="AE521" i="3" s="1"/>
  <c r="F521" i="3" l="1"/>
  <c r="G521" i="3"/>
  <c r="I521" i="3" s="1"/>
  <c r="V521" i="3"/>
  <c r="A522" i="3"/>
  <c r="B522" i="3" s="1"/>
  <c r="M521" i="3" l="1"/>
  <c r="N521" i="3" s="1"/>
  <c r="J521" i="3"/>
  <c r="L521" i="3" s="1"/>
  <c r="W521" i="3"/>
  <c r="AC522" i="3"/>
  <c r="P522" i="3"/>
  <c r="Q522" i="3" s="1"/>
  <c r="R522" i="3" s="1"/>
  <c r="S522" i="3" s="1"/>
  <c r="AA522" i="3"/>
  <c r="AD522" i="3"/>
  <c r="Z522" i="3"/>
  <c r="U521" i="3" l="1"/>
  <c r="Y520" i="3"/>
  <c r="T522" i="3"/>
  <c r="AG522" i="3" s="1"/>
  <c r="AH522" i="3" l="1"/>
  <c r="E522" i="3"/>
  <c r="H522" i="3" s="1"/>
  <c r="D522" i="3"/>
  <c r="K522" i="3" l="1"/>
  <c r="AE522" i="3" s="1"/>
  <c r="F522" i="3"/>
  <c r="G522" i="3"/>
  <c r="I522" i="3" l="1"/>
  <c r="J522" i="3"/>
  <c r="M522" i="3"/>
  <c r="N522" i="3" s="1"/>
  <c r="V522" i="3"/>
  <c r="A523" i="3"/>
  <c r="B523" i="3" s="1"/>
  <c r="W522" i="3" l="1"/>
  <c r="L522" i="3"/>
  <c r="AC523" i="3"/>
  <c r="Z523" i="3"/>
  <c r="AD523" i="3"/>
  <c r="AA523" i="3"/>
  <c r="P523" i="3"/>
  <c r="Q523" i="3" s="1"/>
  <c r="R523" i="3" s="1"/>
  <c r="S523" i="3" s="1"/>
  <c r="U522" i="3" l="1"/>
  <c r="Y521" i="3"/>
  <c r="T523" i="3"/>
  <c r="AG523" i="3" s="1"/>
  <c r="AH523" i="3" l="1"/>
  <c r="D523" i="3"/>
  <c r="G523" i="3" s="1"/>
  <c r="E523" i="3"/>
  <c r="H523" i="3" s="1"/>
  <c r="F523" i="3" l="1"/>
  <c r="I523" i="3"/>
  <c r="J523" i="3"/>
  <c r="M523" i="3"/>
  <c r="N523" i="3" s="1"/>
  <c r="K523" i="3"/>
  <c r="AE523" i="3" s="1"/>
  <c r="V523" i="3" l="1"/>
  <c r="W523" i="3" s="1"/>
  <c r="A524" i="3"/>
  <c r="B524" i="3" s="1"/>
  <c r="L523" i="3"/>
  <c r="U523" i="3" l="1"/>
  <c r="Y522" i="3"/>
  <c r="Z524" i="3"/>
  <c r="P524" i="3"/>
  <c r="Q524" i="3" s="1"/>
  <c r="R524" i="3" s="1"/>
  <c r="S524" i="3" s="1"/>
  <c r="AC524" i="3"/>
  <c r="AA524" i="3"/>
  <c r="T524" i="3" l="1"/>
  <c r="E524" i="3" s="1"/>
  <c r="H524" i="3" s="1"/>
  <c r="D524" i="3" l="1"/>
  <c r="G524" i="3" s="1"/>
  <c r="K524" i="3"/>
  <c r="AE524" i="3" s="1"/>
  <c r="AH524" i="3"/>
  <c r="AG524" i="3"/>
  <c r="F524" i="3" l="1"/>
  <c r="I524" i="3"/>
  <c r="J524" i="3"/>
  <c r="AD524" i="3" s="1"/>
  <c r="M524" i="3"/>
  <c r="N524" i="3" s="1"/>
  <c r="V524" i="3"/>
  <c r="A525" i="3"/>
  <c r="B525" i="3" s="1"/>
  <c r="W524" i="3" l="1"/>
  <c r="L524" i="3"/>
  <c r="AA525" i="3"/>
  <c r="AC525" i="3"/>
  <c r="AD525" i="3"/>
  <c r="Z525" i="3"/>
  <c r="P525" i="3"/>
  <c r="Q525" i="3" s="1"/>
  <c r="R525" i="3" s="1"/>
  <c r="S525" i="3" s="1"/>
  <c r="T525" i="3" l="1"/>
  <c r="AH525" i="3" s="1"/>
  <c r="U524" i="3"/>
  <c r="Y523" i="3"/>
  <c r="AG525" i="3" l="1"/>
  <c r="D525" i="3"/>
  <c r="E525" i="3"/>
  <c r="H525" i="3" s="1"/>
  <c r="F525" i="3" l="1"/>
  <c r="G525" i="3"/>
  <c r="K525" i="3"/>
  <c r="AE525" i="3" s="1"/>
  <c r="I525" i="3" l="1"/>
  <c r="J525" i="3"/>
  <c r="M525" i="3"/>
  <c r="N525" i="3" s="1"/>
  <c r="V525" i="3"/>
  <c r="A526" i="3"/>
  <c r="B526" i="3" s="1"/>
  <c r="L525" i="3" l="1"/>
  <c r="W525" i="3"/>
  <c r="AA526" i="3"/>
  <c r="P526" i="3"/>
  <c r="Q526" i="3" s="1"/>
  <c r="R526" i="3" s="1"/>
  <c r="S526" i="3" s="1"/>
  <c r="Z526" i="3"/>
  <c r="AD526" i="3"/>
  <c r="AC526" i="3"/>
  <c r="T526" i="3" l="1"/>
  <c r="U525" i="3"/>
  <c r="Y524" i="3"/>
  <c r="D526" i="3" l="1"/>
  <c r="G526" i="3" s="1"/>
  <c r="AH526" i="3"/>
  <c r="E526" i="3"/>
  <c r="H526" i="3" s="1"/>
  <c r="K526" i="3" s="1"/>
  <c r="AE526" i="3" s="1"/>
  <c r="AG526" i="3"/>
  <c r="F526" i="3" l="1"/>
  <c r="V526" i="3"/>
  <c r="A527" i="3"/>
  <c r="B527" i="3" s="1"/>
  <c r="I526" i="3"/>
  <c r="J526" i="3"/>
  <c r="M526" i="3"/>
  <c r="N526" i="3" s="1"/>
  <c r="W526" i="3" l="1"/>
  <c r="L526" i="3"/>
  <c r="AD527" i="3"/>
  <c r="Z527" i="3"/>
  <c r="AC527" i="3"/>
  <c r="P527" i="3"/>
  <c r="Q527" i="3" s="1"/>
  <c r="R527" i="3" s="1"/>
  <c r="S527" i="3" s="1"/>
  <c r="AA527" i="3"/>
  <c r="U526" i="3" l="1"/>
  <c r="Y525" i="3"/>
  <c r="T527" i="3"/>
  <c r="D527" i="3" l="1"/>
  <c r="G527" i="3" s="1"/>
  <c r="E527" i="3"/>
  <c r="H527" i="3" s="1"/>
  <c r="AG527" i="3"/>
  <c r="AH527" i="3"/>
  <c r="F527" i="3" l="1"/>
  <c r="I527" i="3"/>
  <c r="J527" i="3"/>
  <c r="M527" i="3"/>
  <c r="N527" i="3" s="1"/>
  <c r="K527" i="3"/>
  <c r="AE527" i="3" s="1"/>
  <c r="V527" i="3" l="1"/>
  <c r="W527" i="3" s="1"/>
  <c r="A528" i="3"/>
  <c r="B528" i="3" s="1"/>
  <c r="L527" i="3"/>
  <c r="U527" i="3" l="1"/>
  <c r="Y526" i="3"/>
  <c r="Z528" i="3"/>
  <c r="P528" i="3"/>
  <c r="Q528" i="3" s="1"/>
  <c r="R528" i="3" s="1"/>
  <c r="S528" i="3" s="1"/>
  <c r="AC528" i="3"/>
  <c r="AD528" i="3"/>
  <c r="AA528" i="3"/>
  <c r="T528" i="3" l="1"/>
  <c r="AH528" i="3" s="1"/>
  <c r="D528" i="3" l="1"/>
  <c r="E528" i="3"/>
  <c r="H528" i="3" s="1"/>
  <c r="K528" i="3" s="1"/>
  <c r="AE528" i="3" s="1"/>
  <c r="AG528" i="3"/>
  <c r="F528" i="3" l="1"/>
  <c r="G528" i="3"/>
  <c r="M528" i="3" s="1"/>
  <c r="N528" i="3" s="1"/>
  <c r="V528" i="3"/>
  <c r="A529" i="3"/>
  <c r="B529" i="3" s="1"/>
  <c r="I528" i="3" l="1"/>
  <c r="W528" i="3" s="1"/>
  <c r="J528" i="3"/>
  <c r="L528" i="3" s="1"/>
  <c r="Z529" i="3"/>
  <c r="AC529" i="3"/>
  <c r="AD529" i="3"/>
  <c r="P529" i="3"/>
  <c r="Q529" i="3" s="1"/>
  <c r="R529" i="3" s="1"/>
  <c r="S529" i="3" s="1"/>
  <c r="AA529" i="3"/>
  <c r="U528" i="3" l="1"/>
  <c r="Y527" i="3"/>
  <c r="T529" i="3"/>
  <c r="AG529" i="3" s="1"/>
  <c r="D529" i="3" l="1"/>
  <c r="G529" i="3" s="1"/>
  <c r="AH529" i="3"/>
  <c r="E529" i="3"/>
  <c r="H529" i="3" s="1"/>
  <c r="K529" i="3" s="1"/>
  <c r="AE529" i="3" s="1"/>
  <c r="F529" i="3" l="1"/>
  <c r="I529" i="3"/>
  <c r="J529" i="3"/>
  <c r="M529" i="3"/>
  <c r="N529" i="3" s="1"/>
  <c r="V529" i="3"/>
  <c r="A530" i="3"/>
  <c r="B530" i="3" s="1"/>
  <c r="W529" i="3" l="1"/>
  <c r="L529" i="3"/>
  <c r="Z530" i="3"/>
  <c r="AD530" i="3"/>
  <c r="P530" i="3"/>
  <c r="Q530" i="3" s="1"/>
  <c r="R530" i="3" s="1"/>
  <c r="S530" i="3" s="1"/>
  <c r="AC530" i="3"/>
  <c r="AA530" i="3"/>
  <c r="T530" i="3" l="1"/>
  <c r="AG530" i="3" s="1"/>
  <c r="U529" i="3"/>
  <c r="Y528" i="3"/>
  <c r="D530" i="3" l="1"/>
  <c r="G530" i="3" s="1"/>
  <c r="AH530" i="3"/>
  <c r="E530" i="3"/>
  <c r="H530" i="3" s="1"/>
  <c r="F530" i="3" l="1"/>
  <c r="I530" i="3"/>
  <c r="J530" i="3"/>
  <c r="M530" i="3"/>
  <c r="N530" i="3" s="1"/>
  <c r="K530" i="3"/>
  <c r="AE530" i="3" s="1"/>
  <c r="V530" i="3" l="1"/>
  <c r="W530" i="3" s="1"/>
  <c r="A531" i="3"/>
  <c r="B531" i="3" s="1"/>
  <c r="L530" i="3"/>
  <c r="U530" i="3" l="1"/>
  <c r="Y529" i="3"/>
  <c r="Z531" i="3"/>
  <c r="AD531" i="3"/>
  <c r="AC531" i="3"/>
  <c r="AA531" i="3"/>
  <c r="P531" i="3"/>
  <c r="Q531" i="3" s="1"/>
  <c r="R531" i="3" s="1"/>
  <c r="S531" i="3" s="1"/>
  <c r="T531" i="3" l="1"/>
  <c r="AG531" i="3" s="1"/>
  <c r="AH531" i="3" l="1"/>
  <c r="D531" i="3"/>
  <c r="E531" i="3"/>
  <c r="H531" i="3" s="1"/>
  <c r="K531" i="3" l="1"/>
  <c r="AE531" i="3" s="1"/>
  <c r="F531" i="3"/>
  <c r="G531" i="3"/>
  <c r="I531" i="3" l="1"/>
  <c r="J531" i="3"/>
  <c r="M531" i="3"/>
  <c r="N531" i="3" s="1"/>
  <c r="V531" i="3"/>
  <c r="A532" i="3"/>
  <c r="B532" i="3" s="1"/>
  <c r="W531" i="3" l="1"/>
  <c r="L531" i="3"/>
  <c r="AD532" i="3"/>
  <c r="AC532" i="3"/>
  <c r="Z532" i="3"/>
  <c r="P532" i="3"/>
  <c r="Q532" i="3" s="1"/>
  <c r="R532" i="3" s="1"/>
  <c r="S532" i="3" s="1"/>
  <c r="AA532" i="3"/>
  <c r="U531" i="3" l="1"/>
  <c r="Y530" i="3"/>
  <c r="T532" i="3"/>
  <c r="AH532" i="3" s="1"/>
  <c r="D532" i="3" l="1"/>
  <c r="G532" i="3" s="1"/>
  <c r="AG532" i="3"/>
  <c r="E532" i="3"/>
  <c r="H532" i="3" s="1"/>
  <c r="K532" i="3" s="1"/>
  <c r="AE532" i="3" s="1"/>
  <c r="F532" i="3" l="1"/>
  <c r="V532" i="3"/>
  <c r="A533" i="3"/>
  <c r="B533" i="3" s="1"/>
  <c r="I532" i="3"/>
  <c r="J532" i="3"/>
  <c r="M532" i="3"/>
  <c r="N532" i="3" s="1"/>
  <c r="W532" i="3" l="1"/>
  <c r="L532" i="3"/>
  <c r="P533" i="3"/>
  <c r="Q533" i="3" s="1"/>
  <c r="R533" i="3" s="1"/>
  <c r="S533" i="3" s="1"/>
  <c r="AD533" i="3"/>
  <c r="AA533" i="3"/>
  <c r="Z533" i="3"/>
  <c r="AC533" i="3"/>
  <c r="T533" i="3" l="1"/>
  <c r="U532" i="3"/>
  <c r="Y531" i="3"/>
  <c r="E533" i="3" l="1"/>
  <c r="H533" i="3" s="1"/>
  <c r="K533" i="3" s="1"/>
  <c r="AE533" i="3" s="1"/>
  <c r="AH533" i="3"/>
  <c r="AG533" i="3"/>
  <c r="D533" i="3"/>
  <c r="F533" i="3" l="1"/>
  <c r="G533" i="3"/>
  <c r="V533" i="3"/>
  <c r="A534" i="3"/>
  <c r="B534" i="3" s="1"/>
  <c r="Z534" i="3" l="1"/>
  <c r="AC534" i="3"/>
  <c r="AA534" i="3"/>
  <c r="P534" i="3"/>
  <c r="Q534" i="3" s="1"/>
  <c r="R534" i="3" s="1"/>
  <c r="S534" i="3" s="1"/>
  <c r="I533" i="3"/>
  <c r="W533" i="3" s="1"/>
  <c r="J533" i="3"/>
  <c r="M533" i="3"/>
  <c r="N533" i="3" s="1"/>
  <c r="L533" i="3" l="1"/>
  <c r="T534" i="3"/>
  <c r="U533" i="3" l="1"/>
  <c r="D534" i="3" s="1"/>
  <c r="AG534" i="3"/>
  <c r="AH534" i="3"/>
  <c r="Y532" i="3"/>
  <c r="E534" i="3" l="1"/>
  <c r="H534" i="3" s="1"/>
  <c r="K534" i="3" s="1"/>
  <c r="AE534" i="3" s="1"/>
  <c r="G534" i="3"/>
  <c r="F534" i="3" l="1"/>
  <c r="V534" i="3"/>
  <c r="A535" i="3"/>
  <c r="B535" i="3" s="1"/>
  <c r="I534" i="3"/>
  <c r="J534" i="3"/>
  <c r="AD534" i="3" s="1"/>
  <c r="M534" i="3"/>
  <c r="N534" i="3" s="1"/>
  <c r="W534" i="3" l="1"/>
  <c r="L534" i="3"/>
  <c r="AA535" i="3"/>
  <c r="AC535" i="3"/>
  <c r="AD535" i="3"/>
  <c r="Z535" i="3"/>
  <c r="P535" i="3"/>
  <c r="Q535" i="3" s="1"/>
  <c r="R535" i="3" s="1"/>
  <c r="S535" i="3" s="1"/>
  <c r="T535" i="3" l="1"/>
  <c r="U534" i="3"/>
  <c r="Y533" i="3"/>
  <c r="D535" i="3" l="1"/>
  <c r="G535" i="3" s="1"/>
  <c r="E535" i="3"/>
  <c r="H535" i="3" s="1"/>
  <c r="K535" i="3" s="1"/>
  <c r="AE535" i="3" s="1"/>
  <c r="AG535" i="3"/>
  <c r="AH535" i="3"/>
  <c r="F535" i="3" l="1"/>
  <c r="V535" i="3"/>
  <c r="A536" i="3"/>
  <c r="B536" i="3" s="1"/>
  <c r="I535" i="3"/>
  <c r="J535" i="3"/>
  <c r="M535" i="3"/>
  <c r="N535" i="3" s="1"/>
  <c r="W535" i="3" l="1"/>
  <c r="L535" i="3"/>
  <c r="AC536" i="3"/>
  <c r="AA536" i="3"/>
  <c r="Z536" i="3"/>
  <c r="P536" i="3"/>
  <c r="Q536" i="3" s="1"/>
  <c r="R536" i="3" s="1"/>
  <c r="S536" i="3" s="1"/>
  <c r="AD536" i="3"/>
  <c r="U535" i="3" l="1"/>
  <c r="Y534" i="3"/>
  <c r="T536" i="3"/>
  <c r="AH536" i="3" s="1"/>
  <c r="AG536" i="3" l="1"/>
  <c r="E536" i="3"/>
  <c r="H536" i="3" s="1"/>
  <c r="D536" i="3"/>
  <c r="K536" i="3" l="1"/>
  <c r="AE536" i="3" s="1"/>
  <c r="F536" i="3"/>
  <c r="G536" i="3"/>
  <c r="I536" i="3" l="1"/>
  <c r="J536" i="3"/>
  <c r="M536" i="3"/>
  <c r="N536" i="3" s="1"/>
  <c r="V536" i="3"/>
  <c r="A537" i="3"/>
  <c r="B537" i="3" s="1"/>
  <c r="W536" i="3" l="1"/>
  <c r="L536" i="3"/>
  <c r="AC537" i="3"/>
  <c r="P537" i="3"/>
  <c r="Q537" i="3" s="1"/>
  <c r="R537" i="3" s="1"/>
  <c r="S537" i="3" s="1"/>
  <c r="Z537" i="3"/>
  <c r="AD537" i="3"/>
  <c r="AA537" i="3"/>
  <c r="U536" i="3" l="1"/>
  <c r="Y535" i="3"/>
  <c r="T537" i="3"/>
  <c r="AH537" i="3" s="1"/>
  <c r="AG537" i="3" l="1"/>
  <c r="E537" i="3"/>
  <c r="H537" i="3" s="1"/>
  <c r="D537" i="3"/>
  <c r="K537" i="3" l="1"/>
  <c r="AE537" i="3" s="1"/>
  <c r="F537" i="3"/>
  <c r="G537" i="3"/>
  <c r="I537" i="3" l="1"/>
  <c r="J537" i="3"/>
  <c r="M537" i="3"/>
  <c r="N537" i="3" s="1"/>
  <c r="V537" i="3"/>
  <c r="A538" i="3"/>
  <c r="B538" i="3" s="1"/>
  <c r="W537" i="3" l="1"/>
  <c r="L537" i="3"/>
  <c r="AA538" i="3"/>
  <c r="AC538" i="3"/>
  <c r="AD538" i="3"/>
  <c r="Z538" i="3"/>
  <c r="P538" i="3"/>
  <c r="Q538" i="3" s="1"/>
  <c r="R538" i="3" s="1"/>
  <c r="S538" i="3" s="1"/>
  <c r="T538" i="3" l="1"/>
  <c r="U537" i="3"/>
  <c r="Y536" i="3"/>
  <c r="D538" i="3" l="1"/>
  <c r="G538" i="3" s="1"/>
  <c r="AH538" i="3"/>
  <c r="AG538" i="3"/>
  <c r="E538" i="3"/>
  <c r="H538" i="3" s="1"/>
  <c r="F538" i="3" l="1"/>
  <c r="I538" i="3"/>
  <c r="J538" i="3"/>
  <c r="M538" i="3"/>
  <c r="N538" i="3" s="1"/>
  <c r="K538" i="3"/>
  <c r="AE538" i="3" s="1"/>
  <c r="V538" i="3" l="1"/>
  <c r="W538" i="3" s="1"/>
  <c r="A539" i="3"/>
  <c r="B539" i="3" s="1"/>
  <c r="L538" i="3"/>
  <c r="U538" i="3" l="1"/>
  <c r="Y537" i="3"/>
  <c r="Z539" i="3"/>
  <c r="P539" i="3"/>
  <c r="Q539" i="3" s="1"/>
  <c r="R539" i="3" s="1"/>
  <c r="S539" i="3" s="1"/>
  <c r="AD539" i="3"/>
  <c r="AA539" i="3"/>
  <c r="AC539" i="3"/>
  <c r="T539" i="3" l="1"/>
  <c r="AH539" i="3" s="1"/>
  <c r="AG539" i="3" l="1"/>
  <c r="E539" i="3"/>
  <c r="H539" i="3" s="1"/>
  <c r="K539" i="3" s="1"/>
  <c r="AE539" i="3" s="1"/>
  <c r="D539" i="3"/>
  <c r="G539" i="3" s="1"/>
  <c r="F539" i="3" l="1"/>
  <c r="V539" i="3"/>
  <c r="A540" i="3"/>
  <c r="B540" i="3" s="1"/>
  <c r="I539" i="3"/>
  <c r="J539" i="3"/>
  <c r="M539" i="3"/>
  <c r="N539" i="3" s="1"/>
  <c r="W539" i="3" l="1"/>
  <c r="L539" i="3"/>
  <c r="AA540" i="3"/>
  <c r="AC540" i="3"/>
  <c r="Z540" i="3"/>
  <c r="AD540" i="3"/>
  <c r="P540" i="3"/>
  <c r="Q540" i="3" s="1"/>
  <c r="R540" i="3" s="1"/>
  <c r="S540" i="3" s="1"/>
  <c r="U539" i="3" l="1"/>
  <c r="Y538" i="3"/>
  <c r="T540" i="3"/>
  <c r="AG540" i="3" s="1"/>
  <c r="E540" i="3" l="1"/>
  <c r="H540" i="3" s="1"/>
  <c r="D540" i="3"/>
  <c r="AH540" i="3"/>
  <c r="K540" i="3" l="1"/>
  <c r="AE540" i="3" s="1"/>
  <c r="F540" i="3"/>
  <c r="G540" i="3"/>
  <c r="V540" i="3" l="1"/>
  <c r="A541" i="3"/>
  <c r="B541" i="3" s="1"/>
  <c r="I540" i="3"/>
  <c r="J540" i="3"/>
  <c r="M540" i="3"/>
  <c r="N540" i="3" s="1"/>
  <c r="W540" i="3" l="1"/>
  <c r="L540" i="3"/>
  <c r="P541" i="3"/>
  <c r="Q541" i="3" s="1"/>
  <c r="R541" i="3" s="1"/>
  <c r="S541" i="3" s="1"/>
  <c r="AA541" i="3"/>
  <c r="AD541" i="3"/>
  <c r="Z541" i="3"/>
  <c r="AC541" i="3"/>
  <c r="U540" i="3" l="1"/>
  <c r="Y539" i="3"/>
  <c r="T541" i="3"/>
  <c r="AG541" i="3" s="1"/>
  <c r="AH541" i="3" l="1"/>
  <c r="E541" i="3"/>
  <c r="H541" i="3" s="1"/>
  <c r="D541" i="3"/>
  <c r="K541" i="3" l="1"/>
  <c r="AE541" i="3" s="1"/>
  <c r="F541" i="3"/>
  <c r="G541" i="3"/>
  <c r="I541" i="3" l="1"/>
  <c r="J541" i="3"/>
  <c r="M541" i="3"/>
  <c r="N541" i="3" s="1"/>
  <c r="V541" i="3"/>
  <c r="A542" i="3"/>
  <c r="B542" i="3" s="1"/>
  <c r="W541" i="3" l="1"/>
  <c r="L541" i="3"/>
  <c r="AC542" i="3"/>
  <c r="P542" i="3"/>
  <c r="Q542" i="3" s="1"/>
  <c r="R542" i="3" s="1"/>
  <c r="S542" i="3" s="1"/>
  <c r="AA542" i="3"/>
  <c r="Z542" i="3"/>
  <c r="AD542" i="3"/>
  <c r="T542" i="3" l="1"/>
  <c r="AH542" i="3" s="1"/>
  <c r="U541" i="3"/>
  <c r="Y540" i="3"/>
  <c r="E542" i="3" l="1"/>
  <c r="H542" i="3" s="1"/>
  <c r="K542" i="3" s="1"/>
  <c r="AE542" i="3" s="1"/>
  <c r="AG542" i="3"/>
  <c r="D542" i="3"/>
  <c r="F542" i="3" l="1"/>
  <c r="G542" i="3"/>
  <c r="V542" i="3"/>
  <c r="A543" i="3"/>
  <c r="B543" i="3" s="1"/>
  <c r="P543" i="3" l="1"/>
  <c r="Q543" i="3" s="1"/>
  <c r="R543" i="3" s="1"/>
  <c r="S543" i="3" s="1"/>
  <c r="AD543" i="3"/>
  <c r="Z543" i="3"/>
  <c r="AA543" i="3"/>
  <c r="AC543" i="3"/>
  <c r="I542" i="3"/>
  <c r="W542" i="3" s="1"/>
  <c r="J542" i="3"/>
  <c r="M542" i="3"/>
  <c r="N542" i="3" s="1"/>
  <c r="T543" i="3" l="1"/>
  <c r="L542" i="3"/>
  <c r="AH543" i="3" l="1"/>
  <c r="U542" i="3"/>
  <c r="E543" i="3" s="1"/>
  <c r="H543" i="3" s="1"/>
  <c r="AG543" i="3"/>
  <c r="Y541" i="3"/>
  <c r="D543" i="3" l="1"/>
  <c r="G543" i="3" s="1"/>
  <c r="K543" i="3"/>
  <c r="AE543" i="3" s="1"/>
  <c r="F543" i="3" l="1"/>
  <c r="I543" i="3"/>
  <c r="J543" i="3"/>
  <c r="M543" i="3"/>
  <c r="N543" i="3" s="1"/>
  <c r="V543" i="3"/>
  <c r="A544" i="3"/>
  <c r="B544" i="3" s="1"/>
  <c r="W543" i="3" l="1"/>
  <c r="L543" i="3"/>
  <c r="P544" i="3"/>
  <c r="Q544" i="3" s="1"/>
  <c r="R544" i="3" s="1"/>
  <c r="S544" i="3" s="1"/>
  <c r="Z544" i="3"/>
  <c r="AC544" i="3"/>
  <c r="AA544" i="3"/>
  <c r="U543" i="3" l="1"/>
  <c r="Y542" i="3"/>
  <c r="T544" i="3"/>
  <c r="AG544" i="3" s="1"/>
  <c r="E544" i="3" l="1"/>
  <c r="H544" i="3" s="1"/>
  <c r="D544" i="3"/>
  <c r="AH544" i="3"/>
  <c r="K544" i="3" l="1"/>
  <c r="AE544" i="3" s="1"/>
  <c r="F544" i="3"/>
  <c r="G544" i="3"/>
  <c r="I544" i="3" l="1"/>
  <c r="J544" i="3"/>
  <c r="AD544" i="3" s="1"/>
  <c r="M544" i="3"/>
  <c r="N544" i="3" s="1"/>
  <c r="V544" i="3"/>
  <c r="A545" i="3"/>
  <c r="B545" i="3" s="1"/>
  <c r="W544" i="3" l="1"/>
  <c r="L544" i="3"/>
  <c r="Z545" i="3"/>
  <c r="AA545" i="3"/>
  <c r="AD545" i="3"/>
  <c r="AC545" i="3"/>
  <c r="P545" i="3"/>
  <c r="Q545" i="3" s="1"/>
  <c r="R545" i="3" s="1"/>
  <c r="S545" i="3" s="1"/>
  <c r="U544" i="3" l="1"/>
  <c r="Y543" i="3"/>
  <c r="T545" i="3"/>
  <c r="AH545" i="3" s="1"/>
  <c r="E545" i="3" l="1"/>
  <c r="H545" i="3" s="1"/>
  <c r="K545" i="3" s="1"/>
  <c r="AE545" i="3" s="1"/>
  <c r="D545" i="3"/>
  <c r="AG545" i="3"/>
  <c r="V545" i="3" l="1"/>
  <c r="A546" i="3"/>
  <c r="B546" i="3" s="1"/>
  <c r="F545" i="3"/>
  <c r="G545" i="3"/>
  <c r="I545" i="3" l="1"/>
  <c r="W545" i="3" s="1"/>
  <c r="J545" i="3"/>
  <c r="M545" i="3"/>
  <c r="N545" i="3" s="1"/>
  <c r="AC546" i="3"/>
  <c r="P546" i="3"/>
  <c r="Q546" i="3" s="1"/>
  <c r="R546" i="3" s="1"/>
  <c r="S546" i="3" s="1"/>
  <c r="Z546" i="3"/>
  <c r="AA546" i="3"/>
  <c r="AD546" i="3"/>
  <c r="T546" i="3" l="1"/>
  <c r="L545" i="3"/>
  <c r="U545" i="3" l="1"/>
  <c r="D546" i="3" s="1"/>
  <c r="AG546" i="3"/>
  <c r="AH546" i="3"/>
  <c r="Y544" i="3"/>
  <c r="E546" i="3" l="1"/>
  <c r="H546" i="3" s="1"/>
  <c r="K546" i="3" s="1"/>
  <c r="AE546" i="3" s="1"/>
  <c r="G546" i="3"/>
  <c r="F546" i="3" l="1"/>
  <c r="V546" i="3"/>
  <c r="A547" i="3"/>
  <c r="B547" i="3" s="1"/>
  <c r="I546" i="3"/>
  <c r="J546" i="3"/>
  <c r="M546" i="3"/>
  <c r="N546" i="3" s="1"/>
  <c r="W546" i="3" l="1"/>
  <c r="L546" i="3"/>
  <c r="AC547" i="3"/>
  <c r="AD547" i="3"/>
  <c r="P547" i="3"/>
  <c r="Q547" i="3" s="1"/>
  <c r="R547" i="3" s="1"/>
  <c r="S547" i="3" s="1"/>
  <c r="AA547" i="3"/>
  <c r="Z547" i="3"/>
  <c r="U546" i="3" l="1"/>
  <c r="Y545" i="3"/>
  <c r="T547" i="3"/>
  <c r="AG547" i="3" s="1"/>
  <c r="E547" i="3" l="1"/>
  <c r="H547" i="3" s="1"/>
  <c r="K547" i="3" s="1"/>
  <c r="AE547" i="3" s="1"/>
  <c r="D547" i="3"/>
  <c r="G547" i="3" s="1"/>
  <c r="AH547" i="3"/>
  <c r="F547" i="3" l="1"/>
  <c r="I547" i="3"/>
  <c r="J547" i="3"/>
  <c r="M547" i="3"/>
  <c r="N547" i="3" s="1"/>
  <c r="V547" i="3"/>
  <c r="A548" i="3"/>
  <c r="B548" i="3" s="1"/>
  <c r="W547" i="3" l="1"/>
  <c r="L547" i="3"/>
  <c r="Z548" i="3"/>
  <c r="AA548" i="3"/>
  <c r="P548" i="3"/>
  <c r="Q548" i="3" s="1"/>
  <c r="R548" i="3" s="1"/>
  <c r="S548" i="3" s="1"/>
  <c r="AC548" i="3"/>
  <c r="AD548" i="3"/>
  <c r="U547" i="3" l="1"/>
  <c r="Y546" i="3"/>
  <c r="T548" i="3"/>
  <c r="E548" i="3" l="1"/>
  <c r="H548" i="3" s="1"/>
  <c r="K548" i="3" s="1"/>
  <c r="AE548" i="3" s="1"/>
  <c r="D548" i="3"/>
  <c r="AG548" i="3"/>
  <c r="AH548" i="3"/>
  <c r="V548" i="3" l="1"/>
  <c r="A549" i="3"/>
  <c r="B549" i="3" s="1"/>
  <c r="F548" i="3"/>
  <c r="G548" i="3"/>
  <c r="I548" i="3" l="1"/>
  <c r="W548" i="3" s="1"/>
  <c r="J548" i="3"/>
  <c r="M548" i="3"/>
  <c r="N548" i="3" s="1"/>
  <c r="P549" i="3"/>
  <c r="Q549" i="3" s="1"/>
  <c r="R549" i="3" s="1"/>
  <c r="S549" i="3" s="1"/>
  <c r="AC549" i="3"/>
  <c r="AA549" i="3"/>
  <c r="Z549" i="3"/>
  <c r="AD549" i="3"/>
  <c r="T549" i="3" l="1"/>
  <c r="L548" i="3"/>
  <c r="AH549" i="3" l="1"/>
  <c r="U548" i="3"/>
  <c r="E549" i="3" s="1"/>
  <c r="H549" i="3" s="1"/>
  <c r="AG549" i="3"/>
  <c r="Y547" i="3"/>
  <c r="K549" i="3" l="1"/>
  <c r="AE549" i="3" s="1"/>
  <c r="D549" i="3"/>
  <c r="V549" i="3" l="1"/>
  <c r="A550" i="3"/>
  <c r="B550" i="3" s="1"/>
  <c r="F549" i="3"/>
  <c r="G549" i="3"/>
  <c r="I549" i="3" l="1"/>
  <c r="W549" i="3" s="1"/>
  <c r="J549" i="3"/>
  <c r="M549" i="3"/>
  <c r="N549" i="3" s="1"/>
  <c r="P550" i="3"/>
  <c r="Q550" i="3" s="1"/>
  <c r="R550" i="3" s="1"/>
  <c r="S550" i="3" s="1"/>
  <c r="AA550" i="3"/>
  <c r="AC550" i="3"/>
  <c r="Z550" i="3"/>
  <c r="AD550" i="3"/>
  <c r="T550" i="3" l="1"/>
  <c r="L549" i="3"/>
  <c r="U549" i="3" l="1"/>
  <c r="D550" i="3" s="1"/>
  <c r="AH550" i="3"/>
  <c r="AG550" i="3"/>
  <c r="Y548" i="3"/>
  <c r="E550" i="3" l="1"/>
  <c r="H550" i="3" s="1"/>
  <c r="K550" i="3" s="1"/>
  <c r="AE550" i="3" s="1"/>
  <c r="G550" i="3"/>
  <c r="F550" i="3" l="1"/>
  <c r="I550" i="3"/>
  <c r="J550" i="3"/>
  <c r="M550" i="3"/>
  <c r="N550" i="3" s="1"/>
  <c r="V550" i="3"/>
  <c r="A551" i="3"/>
  <c r="B551" i="3" s="1"/>
  <c r="W550" i="3" l="1"/>
  <c r="L550" i="3"/>
  <c r="AD551" i="3"/>
  <c r="P551" i="3"/>
  <c r="Q551" i="3" s="1"/>
  <c r="R551" i="3" s="1"/>
  <c r="S551" i="3" s="1"/>
  <c r="AC551" i="3"/>
  <c r="AA551" i="3"/>
  <c r="Z551" i="3"/>
  <c r="T551" i="3" l="1"/>
  <c r="AG551" i="3" s="1"/>
  <c r="U550" i="3"/>
  <c r="Y549" i="3"/>
  <c r="D551" i="3" l="1"/>
  <c r="G551" i="3" s="1"/>
  <c r="AH551" i="3"/>
  <c r="E551" i="3"/>
  <c r="H551" i="3" s="1"/>
  <c r="F551" i="3" l="1"/>
  <c r="I551" i="3"/>
  <c r="J551" i="3"/>
  <c r="M551" i="3"/>
  <c r="N551" i="3" s="1"/>
  <c r="K551" i="3"/>
  <c r="AE551" i="3" s="1"/>
  <c r="V551" i="3" l="1"/>
  <c r="W551" i="3" s="1"/>
  <c r="A552" i="3"/>
  <c r="B552" i="3" s="1"/>
  <c r="L551" i="3"/>
  <c r="U551" i="3" l="1"/>
  <c r="Y550" i="3"/>
  <c r="AA552" i="3"/>
  <c r="P552" i="3"/>
  <c r="Q552" i="3" s="1"/>
  <c r="R552" i="3" s="1"/>
  <c r="S552" i="3" s="1"/>
  <c r="AC552" i="3"/>
  <c r="Z552" i="3"/>
  <c r="AD552" i="3"/>
  <c r="T552" i="3" l="1"/>
  <c r="D552" i="3" s="1"/>
  <c r="AG552" i="3" l="1"/>
  <c r="AH552" i="3"/>
  <c r="E552" i="3"/>
  <c r="H552" i="3" s="1"/>
  <c r="K552" i="3" s="1"/>
  <c r="AE552" i="3" s="1"/>
  <c r="G552" i="3"/>
  <c r="F552" i="3" l="1"/>
  <c r="I552" i="3"/>
  <c r="J552" i="3"/>
  <c r="M552" i="3"/>
  <c r="N552" i="3" s="1"/>
  <c r="V552" i="3"/>
  <c r="A553" i="3"/>
  <c r="B553" i="3" s="1"/>
  <c r="W552" i="3" l="1"/>
  <c r="L552" i="3"/>
  <c r="P553" i="3"/>
  <c r="Q553" i="3" s="1"/>
  <c r="R553" i="3" s="1"/>
  <c r="S553" i="3" s="1"/>
  <c r="Z553" i="3"/>
  <c r="AC553" i="3"/>
  <c r="AA553" i="3"/>
  <c r="AD553" i="3"/>
  <c r="T553" i="3" l="1"/>
  <c r="U552" i="3"/>
  <c r="Y551" i="3"/>
  <c r="D553" i="3" l="1"/>
  <c r="G553" i="3" s="1"/>
  <c r="AH553" i="3"/>
  <c r="AG553" i="3"/>
  <c r="E553" i="3"/>
  <c r="H553" i="3" s="1"/>
  <c r="K553" i="3" l="1"/>
  <c r="AE553" i="3" s="1"/>
  <c r="F553" i="3"/>
  <c r="I553" i="3"/>
  <c r="J553" i="3"/>
  <c r="M553" i="3"/>
  <c r="N553" i="3" s="1"/>
  <c r="V553" i="3" l="1"/>
  <c r="W553" i="3" s="1"/>
  <c r="A554" i="3"/>
  <c r="B554" i="3" s="1"/>
  <c r="L553" i="3"/>
  <c r="U553" i="3" l="1"/>
  <c r="Y552" i="3"/>
  <c r="AA554" i="3"/>
  <c r="AC554" i="3"/>
  <c r="P554" i="3"/>
  <c r="Q554" i="3" s="1"/>
  <c r="R554" i="3" s="1"/>
  <c r="S554" i="3" s="1"/>
  <c r="Z554" i="3"/>
  <c r="T554" i="3" l="1"/>
  <c r="AH554" i="3" s="1"/>
  <c r="E554" i="3" l="1"/>
  <c r="H554" i="3" s="1"/>
  <c r="K554" i="3" s="1"/>
  <c r="AE554" i="3" s="1"/>
  <c r="AG554" i="3"/>
  <c r="D554" i="3"/>
  <c r="V554" i="3" l="1"/>
  <c r="A555" i="3"/>
  <c r="B555" i="3" s="1"/>
  <c r="F554" i="3"/>
  <c r="G554" i="3"/>
  <c r="I554" i="3" l="1"/>
  <c r="W554" i="3" s="1"/>
  <c r="J554" i="3"/>
  <c r="AD554" i="3" s="1"/>
  <c r="M554" i="3"/>
  <c r="N554" i="3" s="1"/>
  <c r="AA555" i="3"/>
  <c r="Z555" i="3"/>
  <c r="AC555" i="3"/>
  <c r="P555" i="3"/>
  <c r="Q555" i="3" s="1"/>
  <c r="R555" i="3" s="1"/>
  <c r="S555" i="3" s="1"/>
  <c r="AD555" i="3"/>
  <c r="L554" i="3" l="1"/>
  <c r="T555" i="3"/>
  <c r="U554" i="3" l="1"/>
  <c r="E555" i="3" s="1"/>
  <c r="H555" i="3" s="1"/>
  <c r="AG555" i="3"/>
  <c r="AH555" i="3"/>
  <c r="Y553" i="3"/>
  <c r="K555" i="3" l="1"/>
  <c r="AE555" i="3" s="1"/>
  <c r="D555" i="3"/>
  <c r="F555" i="3" l="1"/>
  <c r="G555" i="3"/>
  <c r="V555" i="3"/>
  <c r="A556" i="3"/>
  <c r="B556" i="3" s="1"/>
  <c r="P556" i="3" l="1"/>
  <c r="Q556" i="3" s="1"/>
  <c r="R556" i="3" s="1"/>
  <c r="S556" i="3" s="1"/>
  <c r="AA556" i="3"/>
  <c r="AD556" i="3"/>
  <c r="Z556" i="3"/>
  <c r="AC556" i="3"/>
  <c r="I555" i="3"/>
  <c r="W555" i="3" s="1"/>
  <c r="J555" i="3"/>
  <c r="M555" i="3"/>
  <c r="N555" i="3" s="1"/>
  <c r="T556" i="3" l="1"/>
  <c r="L555" i="3"/>
  <c r="AH556" i="3" l="1"/>
  <c r="U555" i="3"/>
  <c r="D556" i="3" s="1"/>
  <c r="AG556" i="3"/>
  <c r="Y554" i="3"/>
  <c r="E556" i="3" l="1"/>
  <c r="H556" i="3" s="1"/>
  <c r="K556" i="3" s="1"/>
  <c r="AE556" i="3" s="1"/>
  <c r="G556" i="3"/>
  <c r="F556" i="3" l="1"/>
  <c r="I556" i="3"/>
  <c r="J556" i="3"/>
  <c r="M556" i="3"/>
  <c r="N556" i="3" s="1"/>
  <c r="V556" i="3"/>
  <c r="A557" i="3"/>
  <c r="B557" i="3" s="1"/>
  <c r="W556" i="3" l="1"/>
  <c r="L556" i="3"/>
  <c r="AD557" i="3"/>
  <c r="P557" i="3"/>
  <c r="Q557" i="3" s="1"/>
  <c r="R557" i="3" s="1"/>
  <c r="S557" i="3" s="1"/>
  <c r="AA557" i="3"/>
  <c r="AC557" i="3"/>
  <c r="Z557" i="3"/>
  <c r="U556" i="3" l="1"/>
  <c r="Y555" i="3"/>
  <c r="T557" i="3"/>
  <c r="AH557" i="3" s="1"/>
  <c r="D557" i="3" l="1"/>
  <c r="G557" i="3" s="1"/>
  <c r="AG557" i="3"/>
  <c r="E557" i="3"/>
  <c r="H557" i="3" s="1"/>
  <c r="K557" i="3" s="1"/>
  <c r="AE557" i="3" s="1"/>
  <c r="F557" i="3" l="1"/>
  <c r="I557" i="3"/>
  <c r="J557" i="3"/>
  <c r="M557" i="3"/>
  <c r="N557" i="3" s="1"/>
  <c r="V557" i="3"/>
  <c r="A558" i="3"/>
  <c r="B558" i="3" s="1"/>
  <c r="W557" i="3" l="1"/>
  <c r="L557" i="3"/>
  <c r="AA558" i="3"/>
  <c r="AD558" i="3"/>
  <c r="P558" i="3"/>
  <c r="Q558" i="3" s="1"/>
  <c r="R558" i="3" s="1"/>
  <c r="S558" i="3" s="1"/>
  <c r="Z558" i="3"/>
  <c r="AC558" i="3"/>
  <c r="T558" i="3" l="1"/>
  <c r="AG558" i="3" s="1"/>
  <c r="U557" i="3"/>
  <c r="Y556" i="3"/>
  <c r="E558" i="3" l="1"/>
  <c r="H558" i="3" s="1"/>
  <c r="AH558" i="3"/>
  <c r="D558" i="3"/>
  <c r="F558" i="3" l="1"/>
  <c r="G558" i="3"/>
  <c r="K558" i="3"/>
  <c r="AE558" i="3" s="1"/>
  <c r="I558" i="3" l="1"/>
  <c r="J558" i="3"/>
  <c r="M558" i="3"/>
  <c r="N558" i="3" s="1"/>
  <c r="V558" i="3"/>
  <c r="A559" i="3"/>
  <c r="B559" i="3" s="1"/>
  <c r="W558" i="3" l="1"/>
  <c r="L558" i="3"/>
  <c r="AC559" i="3"/>
  <c r="P559" i="3"/>
  <c r="Q559" i="3" s="1"/>
  <c r="R559" i="3" s="1"/>
  <c r="S559" i="3" s="1"/>
  <c r="AA559" i="3"/>
  <c r="Z559" i="3"/>
  <c r="AD559" i="3"/>
  <c r="T559" i="3" l="1"/>
  <c r="U558" i="3"/>
  <c r="Y557" i="3"/>
  <c r="E559" i="3" l="1"/>
  <c r="H559" i="3" s="1"/>
  <c r="K559" i="3" s="1"/>
  <c r="AE559" i="3" s="1"/>
  <c r="AH559" i="3"/>
  <c r="AG559" i="3"/>
  <c r="D559" i="3"/>
  <c r="V559" i="3" l="1"/>
  <c r="A560" i="3"/>
  <c r="B560" i="3" s="1"/>
  <c r="F559" i="3"/>
  <c r="G559" i="3"/>
  <c r="I559" i="3" l="1"/>
  <c r="W559" i="3" s="1"/>
  <c r="J559" i="3"/>
  <c r="M559" i="3"/>
  <c r="N559" i="3" s="1"/>
  <c r="AD560" i="3"/>
  <c r="Z560" i="3"/>
  <c r="AC560" i="3"/>
  <c r="AA560" i="3"/>
  <c r="P560" i="3"/>
  <c r="Q560" i="3" s="1"/>
  <c r="R560" i="3" s="1"/>
  <c r="S560" i="3" s="1"/>
  <c r="T560" i="3" l="1"/>
  <c r="L559" i="3"/>
  <c r="AG560" i="3" l="1"/>
  <c r="U559" i="3"/>
  <c r="D560" i="3" s="1"/>
  <c r="AH560" i="3"/>
  <c r="Y558" i="3"/>
  <c r="E560" i="3" l="1"/>
  <c r="H560" i="3" s="1"/>
  <c r="K560" i="3" s="1"/>
  <c r="AE560" i="3" s="1"/>
  <c r="G560" i="3"/>
  <c r="F560" i="3" l="1"/>
  <c r="V560" i="3"/>
  <c r="A561" i="3"/>
  <c r="B561" i="3" s="1"/>
  <c r="I560" i="3"/>
  <c r="J560" i="3"/>
  <c r="M560" i="3"/>
  <c r="N560" i="3" s="1"/>
  <c r="W560" i="3" l="1"/>
  <c r="L560" i="3"/>
  <c r="AA561" i="3"/>
  <c r="P561" i="3"/>
  <c r="Q561" i="3" s="1"/>
  <c r="R561" i="3" s="1"/>
  <c r="S561" i="3" s="1"/>
  <c r="Z561" i="3"/>
  <c r="AD561" i="3"/>
  <c r="AC561" i="3"/>
  <c r="U560" i="3" l="1"/>
  <c r="Y559" i="3"/>
  <c r="T561" i="3"/>
  <c r="E561" i="3" l="1"/>
  <c r="H561" i="3" s="1"/>
  <c r="K561" i="3" s="1"/>
  <c r="AE561" i="3" s="1"/>
  <c r="D561" i="3"/>
  <c r="AH561" i="3"/>
  <c r="AG561" i="3"/>
  <c r="F561" i="3" l="1"/>
  <c r="G561" i="3"/>
  <c r="M561" i="3" s="1"/>
  <c r="N561" i="3" s="1"/>
  <c r="V561" i="3"/>
  <c r="A562" i="3"/>
  <c r="B562" i="3" s="1"/>
  <c r="I561" i="3" l="1"/>
  <c r="W561" i="3" s="1"/>
  <c r="J561" i="3"/>
  <c r="L561" i="3" s="1"/>
  <c r="Z562" i="3"/>
  <c r="AA562" i="3"/>
  <c r="AD562" i="3"/>
  <c r="P562" i="3"/>
  <c r="Q562" i="3" s="1"/>
  <c r="R562" i="3" s="1"/>
  <c r="S562" i="3" s="1"/>
  <c r="AC562" i="3"/>
  <c r="U561" i="3" l="1"/>
  <c r="Y560" i="3"/>
  <c r="T562" i="3"/>
  <c r="AH562" i="3" s="1"/>
  <c r="AG562" i="3" l="1"/>
  <c r="E562" i="3"/>
  <c r="H562" i="3" s="1"/>
  <c r="K562" i="3" s="1"/>
  <c r="AE562" i="3" s="1"/>
  <c r="D562" i="3"/>
  <c r="F562" i="3" l="1"/>
  <c r="G562" i="3"/>
  <c r="J562" i="3" s="1"/>
  <c r="V562" i="3"/>
  <c r="A563" i="3"/>
  <c r="B563" i="3" s="1"/>
  <c r="M562" i="3" l="1"/>
  <c r="N562" i="3" s="1"/>
  <c r="I562" i="3"/>
  <c r="W562" i="3" s="1"/>
  <c r="L562" i="3"/>
  <c r="Z563" i="3"/>
  <c r="P563" i="3"/>
  <c r="Q563" i="3" s="1"/>
  <c r="R563" i="3" s="1"/>
  <c r="S563" i="3" s="1"/>
  <c r="AC563" i="3"/>
  <c r="AA563" i="3"/>
  <c r="AD563" i="3"/>
  <c r="U562" i="3" l="1"/>
  <c r="Y561" i="3"/>
  <c r="T563" i="3"/>
  <c r="AH563" i="3" s="1"/>
  <c r="AG563" i="3" l="1"/>
  <c r="D563" i="3"/>
  <c r="E563" i="3"/>
  <c r="H563" i="3" s="1"/>
  <c r="K563" i="3" s="1"/>
  <c r="AE563" i="3" s="1"/>
  <c r="F563" i="3" l="1"/>
  <c r="G563" i="3"/>
  <c r="M563" i="3" s="1"/>
  <c r="N563" i="3" s="1"/>
  <c r="V563" i="3"/>
  <c r="A564" i="3"/>
  <c r="B564" i="3" s="1"/>
  <c r="I563" i="3" l="1"/>
  <c r="W563" i="3" s="1"/>
  <c r="J563" i="3"/>
  <c r="L563" i="3" s="1"/>
  <c r="Z564" i="3"/>
  <c r="P564" i="3"/>
  <c r="Q564" i="3" s="1"/>
  <c r="R564" i="3" s="1"/>
  <c r="S564" i="3" s="1"/>
  <c r="AC564" i="3"/>
  <c r="AA564" i="3"/>
  <c r="U563" i="3" l="1"/>
  <c r="Y562" i="3"/>
  <c r="T564" i="3"/>
  <c r="AH564" i="3" s="1"/>
  <c r="D564" i="3" l="1"/>
  <c r="E564" i="3"/>
  <c r="H564" i="3" s="1"/>
  <c r="AG564" i="3"/>
  <c r="K564" i="3" l="1"/>
  <c r="AE564" i="3" s="1"/>
  <c r="F564" i="3"/>
  <c r="G564" i="3"/>
  <c r="V564" i="3" l="1"/>
  <c r="A565" i="3"/>
  <c r="B565" i="3" s="1"/>
  <c r="I564" i="3"/>
  <c r="J564" i="3"/>
  <c r="AD564" i="3" s="1"/>
  <c r="M564" i="3"/>
  <c r="N564" i="3" s="1"/>
  <c r="W564" i="3" l="1"/>
  <c r="L564" i="3"/>
  <c r="Z565" i="3"/>
  <c r="AC565" i="3"/>
  <c r="P565" i="3"/>
  <c r="Q565" i="3" s="1"/>
  <c r="R565" i="3" s="1"/>
  <c r="S565" i="3" s="1"/>
  <c r="AA565" i="3"/>
  <c r="AD565" i="3"/>
  <c r="U564" i="3" l="1"/>
  <c r="Y563" i="3"/>
  <c r="T565" i="3"/>
  <c r="E565" i="3" l="1"/>
  <c r="H565" i="3" s="1"/>
  <c r="K565" i="3" s="1"/>
  <c r="AE565" i="3" s="1"/>
  <c r="D565" i="3"/>
  <c r="AG565" i="3"/>
  <c r="AH565" i="3"/>
  <c r="V565" i="3" l="1"/>
  <c r="A566" i="3"/>
  <c r="B566" i="3" s="1"/>
  <c r="F565" i="3"/>
  <c r="G565" i="3"/>
  <c r="I565" i="3" l="1"/>
  <c r="W565" i="3" s="1"/>
  <c r="J565" i="3"/>
  <c r="M565" i="3"/>
  <c r="N565" i="3" s="1"/>
  <c r="AD566" i="3"/>
  <c r="Z566" i="3"/>
  <c r="AA566" i="3"/>
  <c r="P566" i="3"/>
  <c r="Q566" i="3" s="1"/>
  <c r="R566" i="3" s="1"/>
  <c r="S566" i="3" s="1"/>
  <c r="AC566" i="3"/>
  <c r="L565" i="3" l="1"/>
  <c r="T566" i="3"/>
  <c r="AG566" i="3" l="1"/>
  <c r="AH566" i="3"/>
  <c r="U565" i="3"/>
  <c r="D566" i="3" s="1"/>
  <c r="Y564" i="3"/>
  <c r="G566" i="3" l="1"/>
  <c r="E566" i="3"/>
  <c r="H566" i="3" s="1"/>
  <c r="F566" i="3" l="1"/>
  <c r="I566" i="3"/>
  <c r="J566" i="3"/>
  <c r="M566" i="3"/>
  <c r="N566" i="3" s="1"/>
  <c r="K566" i="3"/>
  <c r="AE566" i="3" s="1"/>
  <c r="V566" i="3" l="1"/>
  <c r="W566" i="3" s="1"/>
  <c r="A567" i="3"/>
  <c r="B567" i="3" s="1"/>
  <c r="L566" i="3"/>
  <c r="U566" i="3" l="1"/>
  <c r="Y565" i="3"/>
  <c r="P567" i="3"/>
  <c r="Q567" i="3" s="1"/>
  <c r="R567" i="3" s="1"/>
  <c r="S567" i="3" s="1"/>
  <c r="AA567" i="3"/>
  <c r="AD567" i="3"/>
  <c r="Z567" i="3"/>
  <c r="AC567" i="3"/>
  <c r="T567" i="3" l="1"/>
  <c r="AG567" i="3" s="1"/>
  <c r="AH567" i="3" l="1"/>
  <c r="E567" i="3"/>
  <c r="H567" i="3" s="1"/>
  <c r="K567" i="3" s="1"/>
  <c r="AE567" i="3" s="1"/>
  <c r="D567" i="3"/>
  <c r="G567" i="3" s="1"/>
  <c r="F567" i="3" l="1"/>
  <c r="I567" i="3"/>
  <c r="J567" i="3"/>
  <c r="M567" i="3"/>
  <c r="N567" i="3" s="1"/>
  <c r="V567" i="3"/>
  <c r="A568" i="3"/>
  <c r="B568" i="3" s="1"/>
  <c r="W567" i="3" l="1"/>
  <c r="L567" i="3"/>
  <c r="AC568" i="3"/>
  <c r="AD568" i="3"/>
  <c r="P568" i="3"/>
  <c r="Q568" i="3" s="1"/>
  <c r="R568" i="3" s="1"/>
  <c r="S568" i="3" s="1"/>
  <c r="AA568" i="3"/>
  <c r="Z568" i="3"/>
  <c r="U567" i="3" l="1"/>
  <c r="Y566" i="3"/>
  <c r="T568" i="3"/>
  <c r="AG568" i="3" s="1"/>
  <c r="D568" i="3" l="1"/>
  <c r="G568" i="3" s="1"/>
  <c r="E568" i="3"/>
  <c r="H568" i="3" s="1"/>
  <c r="K568" i="3" s="1"/>
  <c r="AE568" i="3" s="1"/>
  <c r="AH568" i="3"/>
  <c r="F568" i="3" l="1"/>
  <c r="V568" i="3"/>
  <c r="A569" i="3"/>
  <c r="B569" i="3" s="1"/>
  <c r="I568" i="3"/>
  <c r="J568" i="3"/>
  <c r="M568" i="3"/>
  <c r="N568" i="3" s="1"/>
  <c r="L568" i="3" l="1"/>
  <c r="W568" i="3"/>
  <c r="AA569" i="3"/>
  <c r="AD569" i="3"/>
  <c r="P569" i="3"/>
  <c r="Q569" i="3" s="1"/>
  <c r="R569" i="3" s="1"/>
  <c r="S569" i="3" s="1"/>
  <c r="AC569" i="3"/>
  <c r="Z569" i="3"/>
  <c r="T569" i="3" l="1"/>
  <c r="AH569" i="3" s="1"/>
  <c r="U568" i="3"/>
  <c r="Y567" i="3"/>
  <c r="D569" i="3" l="1"/>
  <c r="G569" i="3" s="1"/>
  <c r="AG569" i="3"/>
  <c r="E569" i="3"/>
  <c r="H569" i="3" s="1"/>
  <c r="F569" i="3" l="1"/>
  <c r="I569" i="3"/>
  <c r="J569" i="3"/>
  <c r="M569" i="3"/>
  <c r="N569" i="3" s="1"/>
  <c r="K569" i="3"/>
  <c r="AE569" i="3" s="1"/>
  <c r="L569" i="3" l="1"/>
  <c r="V569" i="3"/>
  <c r="W569" i="3" s="1"/>
  <c r="A570" i="3"/>
  <c r="B570" i="3" s="1"/>
  <c r="AC570" i="3" l="1"/>
  <c r="P570" i="3"/>
  <c r="Q570" i="3" s="1"/>
  <c r="R570" i="3" s="1"/>
  <c r="S570" i="3" s="1"/>
  <c r="AD570" i="3"/>
  <c r="Z570" i="3"/>
  <c r="AA570" i="3"/>
  <c r="U569" i="3"/>
  <c r="Y568" i="3"/>
  <c r="T570" i="3" l="1"/>
  <c r="D570" i="3" l="1"/>
  <c r="E570" i="3"/>
  <c r="H570" i="3" s="1"/>
  <c r="AG570" i="3"/>
  <c r="AH570" i="3"/>
  <c r="F570" i="3" l="1"/>
  <c r="G570" i="3"/>
  <c r="K570" i="3"/>
  <c r="AE570" i="3" s="1"/>
  <c r="V570" i="3" l="1"/>
  <c r="A571" i="3"/>
  <c r="B571" i="3" s="1"/>
  <c r="I570" i="3"/>
  <c r="J570" i="3"/>
  <c r="M570" i="3"/>
  <c r="N570" i="3" s="1"/>
  <c r="W570" i="3" l="1"/>
  <c r="L570" i="3"/>
  <c r="P571" i="3"/>
  <c r="Q571" i="3" s="1"/>
  <c r="R571" i="3" s="1"/>
  <c r="S571" i="3" s="1"/>
  <c r="AD571" i="3"/>
  <c r="AA571" i="3"/>
  <c r="Z571" i="3"/>
  <c r="AC571" i="3"/>
  <c r="U570" i="3" l="1"/>
  <c r="Y569" i="3"/>
  <c r="T571" i="3"/>
  <c r="D571" i="3" l="1"/>
  <c r="G571" i="3" s="1"/>
  <c r="AG571" i="3"/>
  <c r="AH571" i="3"/>
  <c r="E571" i="3"/>
  <c r="H571" i="3" s="1"/>
  <c r="K571" i="3" s="1"/>
  <c r="AE571" i="3" s="1"/>
  <c r="F571" i="3" l="1"/>
  <c r="V571" i="3"/>
  <c r="A572" i="3"/>
  <c r="B572" i="3" s="1"/>
  <c r="I571" i="3"/>
  <c r="J571" i="3"/>
  <c r="M571" i="3"/>
  <c r="N571" i="3" s="1"/>
  <c r="W571" i="3" l="1"/>
  <c r="L571" i="3"/>
  <c r="AC572" i="3"/>
  <c r="AD572" i="3"/>
  <c r="P572" i="3"/>
  <c r="Q572" i="3" s="1"/>
  <c r="R572" i="3" s="1"/>
  <c r="S572" i="3" s="1"/>
  <c r="AA572" i="3"/>
  <c r="Z572" i="3"/>
  <c r="T572" i="3" l="1"/>
  <c r="AH572" i="3" s="1"/>
  <c r="U571" i="3"/>
  <c r="Y570" i="3"/>
  <c r="E572" i="3" l="1"/>
  <c r="H572" i="3" s="1"/>
  <c r="AG572" i="3"/>
  <c r="D572" i="3"/>
  <c r="F572" i="3" l="1"/>
  <c r="G572" i="3"/>
  <c r="K572" i="3"/>
  <c r="AE572" i="3" s="1"/>
  <c r="V572" i="3" l="1"/>
  <c r="A573" i="3"/>
  <c r="B573" i="3" s="1"/>
  <c r="I572" i="3"/>
  <c r="J572" i="3"/>
  <c r="M572" i="3"/>
  <c r="N572" i="3" s="1"/>
  <c r="W572" i="3" l="1"/>
  <c r="L572" i="3"/>
  <c r="P573" i="3"/>
  <c r="Q573" i="3" s="1"/>
  <c r="R573" i="3" s="1"/>
  <c r="S573" i="3" s="1"/>
  <c r="Z573" i="3"/>
  <c r="AC573" i="3"/>
  <c r="AA573" i="3"/>
  <c r="AD573" i="3"/>
  <c r="U572" i="3" l="1"/>
  <c r="Y571" i="3"/>
  <c r="T573" i="3"/>
  <c r="E573" i="3" l="1"/>
  <c r="H573" i="3" s="1"/>
  <c r="K573" i="3" s="1"/>
  <c r="AE573" i="3" s="1"/>
  <c r="D573" i="3"/>
  <c r="AH573" i="3"/>
  <c r="AG573" i="3"/>
  <c r="F573" i="3" l="1"/>
  <c r="G573" i="3"/>
  <c r="I573" i="3" s="1"/>
  <c r="V573" i="3"/>
  <c r="A574" i="3"/>
  <c r="B574" i="3" s="1"/>
  <c r="J573" i="3" l="1"/>
  <c r="L573" i="3" s="1"/>
  <c r="M573" i="3"/>
  <c r="N573" i="3" s="1"/>
  <c r="W573" i="3"/>
  <c r="AA574" i="3"/>
  <c r="Z574" i="3"/>
  <c r="P574" i="3"/>
  <c r="Q574" i="3" s="1"/>
  <c r="R574" i="3" s="1"/>
  <c r="S574" i="3" s="1"/>
  <c r="AC574" i="3"/>
  <c r="U573" i="3" l="1"/>
  <c r="Y572" i="3"/>
  <c r="T574" i="3"/>
  <c r="AH574" i="3" s="1"/>
  <c r="D574" i="3" l="1"/>
  <c r="G574" i="3" s="1"/>
  <c r="AG574" i="3"/>
  <c r="E574" i="3"/>
  <c r="H574" i="3" s="1"/>
  <c r="K574" i="3" l="1"/>
  <c r="AE574" i="3" s="1"/>
  <c r="I574" i="3"/>
  <c r="J574" i="3"/>
  <c r="AD574" i="3" s="1"/>
  <c r="M574" i="3"/>
  <c r="N574" i="3" s="1"/>
  <c r="F574" i="3"/>
  <c r="V574" i="3" l="1"/>
  <c r="W574" i="3" s="1"/>
  <c r="A575" i="3"/>
  <c r="B575" i="3" s="1"/>
  <c r="L574" i="3"/>
  <c r="U574" i="3" l="1"/>
  <c r="Y573" i="3"/>
  <c r="P575" i="3"/>
  <c r="Q575" i="3" s="1"/>
  <c r="R575" i="3" s="1"/>
  <c r="S575" i="3" s="1"/>
  <c r="Z575" i="3"/>
  <c r="AC575" i="3"/>
  <c r="AA575" i="3"/>
  <c r="AD575" i="3"/>
  <c r="T575" i="3" l="1"/>
  <c r="AH575" i="3" s="1"/>
  <c r="AG575" i="3" l="1"/>
  <c r="E575" i="3"/>
  <c r="H575" i="3" s="1"/>
  <c r="D575" i="3"/>
  <c r="K575" i="3" l="1"/>
  <c r="AE575" i="3" s="1"/>
  <c r="F575" i="3"/>
  <c r="G575" i="3"/>
  <c r="V575" i="3" l="1"/>
  <c r="A576" i="3"/>
  <c r="B576" i="3" s="1"/>
  <c r="I575" i="3"/>
  <c r="J575" i="3"/>
  <c r="M575" i="3"/>
  <c r="N575" i="3" s="1"/>
  <c r="W575" i="3" l="1"/>
  <c r="L575" i="3"/>
  <c r="AA576" i="3"/>
  <c r="P576" i="3"/>
  <c r="Q576" i="3" s="1"/>
  <c r="R576" i="3" s="1"/>
  <c r="S576" i="3" s="1"/>
  <c r="AD576" i="3"/>
  <c r="Z576" i="3"/>
  <c r="AC576" i="3"/>
  <c r="U575" i="3" l="1"/>
  <c r="Y574" i="3"/>
  <c r="T576" i="3"/>
  <c r="E576" i="3" l="1"/>
  <c r="H576" i="3" s="1"/>
  <c r="K576" i="3" s="1"/>
  <c r="AE576" i="3" s="1"/>
  <c r="AH576" i="3"/>
  <c r="D576" i="3"/>
  <c r="G576" i="3" s="1"/>
  <c r="AG576" i="3"/>
  <c r="F576" i="3" l="1"/>
  <c r="V576" i="3"/>
  <c r="A577" i="3"/>
  <c r="B577" i="3" s="1"/>
  <c r="I576" i="3"/>
  <c r="J576" i="3"/>
  <c r="M576" i="3"/>
  <c r="N576" i="3" s="1"/>
  <c r="W576" i="3" l="1"/>
  <c r="L576" i="3"/>
  <c r="P577" i="3"/>
  <c r="Q577" i="3" s="1"/>
  <c r="R577" i="3" s="1"/>
  <c r="S577" i="3" s="1"/>
  <c r="AD577" i="3"/>
  <c r="AC577" i="3"/>
  <c r="AA577" i="3"/>
  <c r="Z577" i="3"/>
  <c r="U576" i="3" l="1"/>
  <c r="Y575" i="3"/>
  <c r="T577" i="3"/>
  <c r="AH577" i="3" s="1"/>
  <c r="E577" i="3" l="1"/>
  <c r="H577" i="3" s="1"/>
  <c r="K577" i="3" s="1"/>
  <c r="AE577" i="3" s="1"/>
  <c r="AG577" i="3"/>
  <c r="D577" i="3"/>
  <c r="F577" i="3" l="1"/>
  <c r="G577" i="3"/>
  <c r="J577" i="3" s="1"/>
  <c r="V577" i="3"/>
  <c r="A578" i="3"/>
  <c r="B578" i="3" s="1"/>
  <c r="M577" i="3" l="1"/>
  <c r="N577" i="3" s="1"/>
  <c r="I577" i="3"/>
  <c r="W577" i="3" s="1"/>
  <c r="L577" i="3"/>
  <c r="AC578" i="3"/>
  <c r="AD578" i="3"/>
  <c r="P578" i="3"/>
  <c r="Q578" i="3" s="1"/>
  <c r="R578" i="3" s="1"/>
  <c r="S578" i="3" s="1"/>
  <c r="Z578" i="3"/>
  <c r="AA578" i="3"/>
  <c r="U577" i="3" l="1"/>
  <c r="Y576" i="3"/>
  <c r="T578" i="3"/>
  <c r="AG578" i="3" s="1"/>
  <c r="D578" i="3" l="1"/>
  <c r="G578" i="3" s="1"/>
  <c r="AH578" i="3"/>
  <c r="E578" i="3"/>
  <c r="H578" i="3" s="1"/>
  <c r="K578" i="3" s="1"/>
  <c r="AE578" i="3" s="1"/>
  <c r="F578" i="3" l="1"/>
  <c r="I578" i="3"/>
  <c r="J578" i="3"/>
  <c r="M578" i="3"/>
  <c r="N578" i="3" s="1"/>
  <c r="V578" i="3"/>
  <c r="A579" i="3"/>
  <c r="B579" i="3" s="1"/>
  <c r="W578" i="3" l="1"/>
  <c r="L578" i="3"/>
  <c r="AC579" i="3"/>
  <c r="Z579" i="3"/>
  <c r="P579" i="3"/>
  <c r="Q579" i="3" s="1"/>
  <c r="R579" i="3" s="1"/>
  <c r="S579" i="3" s="1"/>
  <c r="AD579" i="3"/>
  <c r="AA579" i="3"/>
  <c r="U578" i="3" l="1"/>
  <c r="Y577" i="3"/>
  <c r="T579" i="3"/>
  <c r="AG579" i="3" s="1"/>
  <c r="E579" i="3" l="1"/>
  <c r="H579" i="3" s="1"/>
  <c r="K579" i="3" s="1"/>
  <c r="AE579" i="3" s="1"/>
  <c r="AH579" i="3"/>
  <c r="D579" i="3"/>
  <c r="F579" i="3" l="1"/>
  <c r="G579" i="3"/>
  <c r="M579" i="3" s="1"/>
  <c r="N579" i="3" s="1"/>
  <c r="V579" i="3"/>
  <c r="A580" i="3"/>
  <c r="B580" i="3" s="1"/>
  <c r="I579" i="3" l="1"/>
  <c r="W579" i="3" s="1"/>
  <c r="J579" i="3"/>
  <c r="L579" i="3" s="1"/>
  <c r="AD580" i="3"/>
  <c r="P580" i="3"/>
  <c r="Q580" i="3" s="1"/>
  <c r="R580" i="3" s="1"/>
  <c r="S580" i="3" s="1"/>
  <c r="AA580" i="3"/>
  <c r="AC580" i="3"/>
  <c r="Z580" i="3"/>
  <c r="U579" i="3" l="1"/>
  <c r="Y578" i="3"/>
  <c r="T580" i="3"/>
  <c r="AH580" i="3" s="1"/>
  <c r="E580" i="3" l="1"/>
  <c r="H580" i="3" s="1"/>
  <c r="D580" i="3"/>
  <c r="AG580" i="3"/>
  <c r="K580" i="3" l="1"/>
  <c r="AE580" i="3" s="1"/>
  <c r="F580" i="3"/>
  <c r="G580" i="3"/>
  <c r="I580" i="3" l="1"/>
  <c r="J580" i="3"/>
  <c r="M580" i="3"/>
  <c r="N580" i="3" s="1"/>
  <c r="V580" i="3"/>
  <c r="A581" i="3"/>
  <c r="B581" i="3" s="1"/>
  <c r="W580" i="3" l="1"/>
  <c r="P581" i="3"/>
  <c r="Q581" i="3" s="1"/>
  <c r="R581" i="3" s="1"/>
  <c r="S581" i="3" s="1"/>
  <c r="Z581" i="3"/>
  <c r="AA581" i="3"/>
  <c r="AC581" i="3"/>
  <c r="AD581" i="3"/>
  <c r="L580" i="3"/>
  <c r="T581" i="3" l="1"/>
  <c r="AH581" i="3" s="1"/>
  <c r="U580" i="3"/>
  <c r="Y579" i="3"/>
  <c r="D581" i="3" l="1"/>
  <c r="G581" i="3" s="1"/>
  <c r="AG581" i="3"/>
  <c r="E581" i="3"/>
  <c r="H581" i="3" s="1"/>
  <c r="I581" i="3" l="1"/>
  <c r="J581" i="3"/>
  <c r="M581" i="3"/>
  <c r="N581" i="3" s="1"/>
  <c r="F581" i="3"/>
  <c r="K581" i="3"/>
  <c r="AE581" i="3" s="1"/>
  <c r="L581" i="3" l="1"/>
  <c r="V581" i="3"/>
  <c r="W581" i="3" s="1"/>
  <c r="A582" i="3"/>
  <c r="B582" i="3" s="1"/>
  <c r="P582" i="3" l="1"/>
  <c r="Q582" i="3" s="1"/>
  <c r="R582" i="3" s="1"/>
  <c r="S582" i="3" s="1"/>
  <c r="Z582" i="3"/>
  <c r="AD582" i="3"/>
  <c r="AC582" i="3"/>
  <c r="AA582" i="3"/>
  <c r="U581" i="3"/>
  <c r="Y580" i="3"/>
  <c r="T582" i="3" l="1"/>
  <c r="AH582" i="3" s="1"/>
  <c r="E582" i="3" l="1"/>
  <c r="H582" i="3" s="1"/>
  <c r="K582" i="3" s="1"/>
  <c r="AE582" i="3" s="1"/>
  <c r="AG582" i="3"/>
  <c r="D582" i="3"/>
  <c r="V582" i="3" l="1"/>
  <c r="A583" i="3"/>
  <c r="B583" i="3" s="1"/>
  <c r="F582" i="3"/>
  <c r="G582" i="3"/>
  <c r="I582" i="3" l="1"/>
  <c r="W582" i="3" s="1"/>
  <c r="J582" i="3"/>
  <c r="M582" i="3"/>
  <c r="N582" i="3" s="1"/>
  <c r="AD583" i="3"/>
  <c r="AA583" i="3"/>
  <c r="Z583" i="3"/>
  <c r="P583" i="3"/>
  <c r="Q583" i="3" s="1"/>
  <c r="R583" i="3" s="1"/>
  <c r="S583" i="3" s="1"/>
  <c r="AC583" i="3"/>
  <c r="T583" i="3" l="1"/>
  <c r="L582" i="3"/>
  <c r="U582" i="3" l="1"/>
  <c r="E583" i="3" s="1"/>
  <c r="H583" i="3" s="1"/>
  <c r="AG583" i="3"/>
  <c r="AH583" i="3"/>
  <c r="Y581" i="3"/>
  <c r="D583" i="3" l="1"/>
  <c r="G583" i="3" s="1"/>
  <c r="K583" i="3"/>
  <c r="AE583" i="3" s="1"/>
  <c r="F583" i="3" l="1"/>
  <c r="V583" i="3"/>
  <c r="A584" i="3"/>
  <c r="B584" i="3" s="1"/>
  <c r="I583" i="3"/>
  <c r="J583" i="3"/>
  <c r="M583" i="3"/>
  <c r="N583" i="3" s="1"/>
  <c r="W583" i="3" l="1"/>
  <c r="L583" i="3"/>
  <c r="AC584" i="3"/>
  <c r="P584" i="3"/>
  <c r="Q584" i="3" s="1"/>
  <c r="R584" i="3" s="1"/>
  <c r="S584" i="3" s="1"/>
  <c r="AA584" i="3"/>
  <c r="Z584" i="3"/>
  <c r="U583" i="3" l="1"/>
  <c r="Y582" i="3"/>
  <c r="T584" i="3"/>
  <c r="AG584" i="3" s="1"/>
  <c r="E584" i="3" l="1"/>
  <c r="H584" i="3" s="1"/>
  <c r="K584" i="3" s="1"/>
  <c r="AE584" i="3" s="1"/>
  <c r="AH584" i="3"/>
  <c r="D584" i="3"/>
  <c r="V584" i="3" l="1"/>
  <c r="A585" i="3"/>
  <c r="B585" i="3" s="1"/>
  <c r="F584" i="3"/>
  <c r="G584" i="3"/>
  <c r="Z585" i="3" l="1"/>
  <c r="AA585" i="3"/>
  <c r="P585" i="3"/>
  <c r="Q585" i="3" s="1"/>
  <c r="R585" i="3" s="1"/>
  <c r="S585" i="3" s="1"/>
  <c r="AD585" i="3"/>
  <c r="AC585" i="3"/>
  <c r="I584" i="3"/>
  <c r="W584" i="3" s="1"/>
  <c r="J584" i="3"/>
  <c r="AD584" i="3" s="1"/>
  <c r="M584" i="3"/>
  <c r="N584" i="3" s="1"/>
  <c r="T585" i="3" l="1"/>
  <c r="L584" i="3"/>
  <c r="AG585" i="3" l="1"/>
  <c r="U584" i="3"/>
  <c r="D585" i="3" s="1"/>
  <c r="AH585" i="3"/>
  <c r="Y583" i="3"/>
  <c r="G585" i="3" l="1"/>
  <c r="E585" i="3"/>
  <c r="H585" i="3" s="1"/>
  <c r="F585" i="3" l="1"/>
  <c r="I585" i="3"/>
  <c r="J585" i="3"/>
  <c r="M585" i="3"/>
  <c r="N585" i="3" s="1"/>
  <c r="K585" i="3"/>
  <c r="AE585" i="3" s="1"/>
  <c r="V585" i="3" l="1"/>
  <c r="W585" i="3" s="1"/>
  <c r="A586" i="3"/>
  <c r="B586" i="3" s="1"/>
  <c r="L585" i="3"/>
  <c r="U585" i="3" l="1"/>
  <c r="Y584" i="3"/>
  <c r="P586" i="3"/>
  <c r="Q586" i="3" s="1"/>
  <c r="R586" i="3" s="1"/>
  <c r="S586" i="3" s="1"/>
  <c r="AA586" i="3"/>
  <c r="Z586" i="3"/>
  <c r="AD586" i="3"/>
  <c r="AC586" i="3"/>
  <c r="T586" i="3" l="1"/>
  <c r="E586" i="3" s="1"/>
  <c r="H586" i="3" s="1"/>
  <c r="AH586" i="3" l="1"/>
  <c r="K586" i="3"/>
  <c r="AE586" i="3" s="1"/>
  <c r="AG586" i="3"/>
  <c r="D586" i="3"/>
  <c r="F586" i="3" l="1"/>
  <c r="G586" i="3"/>
  <c r="V586" i="3"/>
  <c r="A587" i="3"/>
  <c r="B587" i="3" s="1"/>
  <c r="AA587" i="3" l="1"/>
  <c r="AD587" i="3"/>
  <c r="Z587" i="3"/>
  <c r="AC587" i="3"/>
  <c r="P587" i="3"/>
  <c r="Q587" i="3" s="1"/>
  <c r="R587" i="3" s="1"/>
  <c r="S587" i="3" s="1"/>
  <c r="I586" i="3"/>
  <c r="W586" i="3" s="1"/>
  <c r="J586" i="3"/>
  <c r="M586" i="3"/>
  <c r="N586" i="3" s="1"/>
  <c r="T587" i="3" l="1"/>
  <c r="L586" i="3"/>
  <c r="AH587" i="3" l="1"/>
  <c r="U586" i="3"/>
  <c r="D587" i="3" s="1"/>
  <c r="AG587" i="3"/>
  <c r="Y585" i="3"/>
  <c r="G587" i="3" l="1"/>
  <c r="E587" i="3"/>
  <c r="H587" i="3" s="1"/>
  <c r="F587" i="3" l="1"/>
  <c r="K587" i="3"/>
  <c r="AE587" i="3" s="1"/>
  <c r="I587" i="3"/>
  <c r="J587" i="3"/>
  <c r="M587" i="3"/>
  <c r="N587" i="3" s="1"/>
  <c r="L587" i="3" l="1"/>
  <c r="V587" i="3"/>
  <c r="W587" i="3" s="1"/>
  <c r="A588" i="3"/>
  <c r="B588" i="3" s="1"/>
  <c r="U587" i="3" l="1"/>
  <c r="Y586" i="3"/>
  <c r="P588" i="3"/>
  <c r="Q588" i="3" s="1"/>
  <c r="R588" i="3" s="1"/>
  <c r="S588" i="3" s="1"/>
  <c r="AD588" i="3"/>
  <c r="Z588" i="3"/>
  <c r="AC588" i="3"/>
  <c r="AA588" i="3"/>
  <c r="T588" i="3" l="1"/>
  <c r="AH588" i="3" s="1"/>
  <c r="E588" i="3" l="1"/>
  <c r="H588" i="3" s="1"/>
  <c r="K588" i="3" s="1"/>
  <c r="AE588" i="3" s="1"/>
  <c r="AG588" i="3"/>
  <c r="D588" i="3"/>
  <c r="G588" i="3" s="1"/>
  <c r="F588" i="3" l="1"/>
  <c r="I588" i="3"/>
  <c r="J588" i="3"/>
  <c r="M588" i="3"/>
  <c r="N588" i="3" s="1"/>
  <c r="V588" i="3"/>
  <c r="A589" i="3"/>
  <c r="B589" i="3" s="1"/>
  <c r="W588" i="3" l="1"/>
  <c r="L588" i="3"/>
  <c r="AA589" i="3"/>
  <c r="Z589" i="3"/>
  <c r="AC589" i="3"/>
  <c r="P589" i="3"/>
  <c r="Q589" i="3" s="1"/>
  <c r="R589" i="3" s="1"/>
  <c r="S589" i="3" s="1"/>
  <c r="AD589" i="3"/>
  <c r="T589" i="3" l="1"/>
  <c r="AG589" i="3" s="1"/>
  <c r="U588" i="3"/>
  <c r="Y587" i="3"/>
  <c r="AH589" i="3" l="1"/>
  <c r="D589" i="3"/>
  <c r="E589" i="3"/>
  <c r="H589" i="3" s="1"/>
  <c r="F589" i="3" l="1"/>
  <c r="G589" i="3"/>
  <c r="K589" i="3"/>
  <c r="AE589" i="3" s="1"/>
  <c r="I589" i="3" l="1"/>
  <c r="J589" i="3"/>
  <c r="M589" i="3"/>
  <c r="N589" i="3" s="1"/>
  <c r="V589" i="3"/>
  <c r="A590" i="3"/>
  <c r="B590" i="3" s="1"/>
  <c r="W589" i="3" l="1"/>
  <c r="L589" i="3"/>
  <c r="P590" i="3"/>
  <c r="Q590" i="3" s="1"/>
  <c r="R590" i="3" s="1"/>
  <c r="S590" i="3" s="1"/>
  <c r="AC590" i="3"/>
  <c r="AA590" i="3"/>
  <c r="Z590" i="3"/>
  <c r="AD590" i="3"/>
  <c r="U589" i="3" l="1"/>
  <c r="Y588" i="3"/>
  <c r="T590" i="3"/>
  <c r="AH590" i="3" s="1"/>
  <c r="D590" i="3" l="1"/>
  <c r="G590" i="3" s="1"/>
  <c r="E590" i="3"/>
  <c r="H590" i="3" s="1"/>
  <c r="K590" i="3" s="1"/>
  <c r="AE590" i="3" s="1"/>
  <c r="AG590" i="3"/>
  <c r="F590" i="3" l="1"/>
  <c r="V590" i="3"/>
  <c r="A591" i="3"/>
  <c r="B591" i="3" s="1"/>
  <c r="I590" i="3"/>
  <c r="J590" i="3"/>
  <c r="M590" i="3"/>
  <c r="N590" i="3" s="1"/>
  <c r="W590" i="3" l="1"/>
  <c r="L590" i="3"/>
  <c r="AC591" i="3"/>
  <c r="P591" i="3"/>
  <c r="Q591" i="3" s="1"/>
  <c r="R591" i="3" s="1"/>
  <c r="S591" i="3" s="1"/>
  <c r="Z591" i="3"/>
  <c r="AA591" i="3"/>
  <c r="AD591" i="3"/>
  <c r="U590" i="3" l="1"/>
  <c r="Y589" i="3"/>
  <c r="T591" i="3"/>
  <c r="AG591" i="3" s="1"/>
  <c r="D591" i="3" l="1"/>
  <c r="G591" i="3" s="1"/>
  <c r="E591" i="3"/>
  <c r="H591" i="3" s="1"/>
  <c r="K591" i="3" s="1"/>
  <c r="AE591" i="3" s="1"/>
  <c r="AH591" i="3"/>
  <c r="F591" i="3" l="1"/>
  <c r="I591" i="3"/>
  <c r="J591" i="3"/>
  <c r="M591" i="3"/>
  <c r="N591" i="3" s="1"/>
  <c r="V591" i="3"/>
  <c r="A592" i="3"/>
  <c r="B592" i="3" s="1"/>
  <c r="W591" i="3" l="1"/>
  <c r="L591" i="3"/>
  <c r="AA592" i="3"/>
  <c r="AC592" i="3"/>
  <c r="Z592" i="3"/>
  <c r="AD592" i="3"/>
  <c r="P592" i="3"/>
  <c r="Q592" i="3" s="1"/>
  <c r="R592" i="3" s="1"/>
  <c r="S592" i="3" s="1"/>
  <c r="U591" i="3" l="1"/>
  <c r="Y590" i="3"/>
  <c r="T592" i="3"/>
  <c r="D592" i="3" l="1"/>
  <c r="G592" i="3" s="1"/>
  <c r="AH592" i="3"/>
  <c r="AG592" i="3"/>
  <c r="E592" i="3"/>
  <c r="H592" i="3" s="1"/>
  <c r="K592" i="3" s="1"/>
  <c r="AE592" i="3" s="1"/>
  <c r="F592" i="3" l="1"/>
  <c r="I592" i="3"/>
  <c r="J592" i="3"/>
  <c r="M592" i="3"/>
  <c r="N592" i="3" s="1"/>
  <c r="V592" i="3"/>
  <c r="A593" i="3"/>
  <c r="B593" i="3" s="1"/>
  <c r="W592" i="3" l="1"/>
  <c r="L592" i="3"/>
  <c r="Z593" i="3"/>
  <c r="P593" i="3"/>
  <c r="Q593" i="3" s="1"/>
  <c r="R593" i="3" s="1"/>
  <c r="S593" i="3" s="1"/>
  <c r="AD593" i="3"/>
  <c r="AA593" i="3"/>
  <c r="AC593" i="3"/>
  <c r="U592" i="3" l="1"/>
  <c r="Y591" i="3"/>
  <c r="T593" i="3"/>
  <c r="E593" i="3" l="1"/>
  <c r="H593" i="3" s="1"/>
  <c r="K593" i="3" s="1"/>
  <c r="AE593" i="3" s="1"/>
  <c r="D593" i="3"/>
  <c r="G593" i="3" s="1"/>
  <c r="AH593" i="3"/>
  <c r="AG593" i="3"/>
  <c r="F593" i="3" l="1"/>
  <c r="I593" i="3"/>
  <c r="J593" i="3"/>
  <c r="M593" i="3"/>
  <c r="N593" i="3" s="1"/>
  <c r="V593" i="3"/>
  <c r="A594" i="3"/>
  <c r="B594" i="3" s="1"/>
  <c r="W593" i="3" l="1"/>
  <c r="L593" i="3"/>
  <c r="Z594" i="3"/>
  <c r="AA594" i="3"/>
  <c r="P594" i="3"/>
  <c r="Q594" i="3" s="1"/>
  <c r="R594" i="3" s="1"/>
  <c r="S594" i="3" s="1"/>
  <c r="AC594" i="3"/>
  <c r="U593" i="3" l="1"/>
  <c r="Y592" i="3"/>
  <c r="T594" i="3"/>
  <c r="AG594" i="3" s="1"/>
  <c r="AH594" i="3" l="1"/>
  <c r="E594" i="3"/>
  <c r="H594" i="3" s="1"/>
  <c r="K594" i="3" s="1"/>
  <c r="AE594" i="3" s="1"/>
  <c r="D594" i="3"/>
  <c r="V594" i="3" l="1"/>
  <c r="A595" i="3"/>
  <c r="B595" i="3" s="1"/>
  <c r="F594" i="3"/>
  <c r="G594" i="3"/>
  <c r="I594" i="3" l="1"/>
  <c r="W594" i="3" s="1"/>
  <c r="J594" i="3"/>
  <c r="AD594" i="3" s="1"/>
  <c r="M594" i="3"/>
  <c r="N594" i="3" s="1"/>
  <c r="AC595" i="3"/>
  <c r="AA595" i="3"/>
  <c r="P595" i="3"/>
  <c r="Q595" i="3" s="1"/>
  <c r="R595" i="3" s="1"/>
  <c r="S595" i="3" s="1"/>
  <c r="Z595" i="3"/>
  <c r="AD595" i="3"/>
  <c r="T595" i="3" l="1"/>
  <c r="L594" i="3"/>
  <c r="AH595" i="3" l="1"/>
  <c r="U594" i="3"/>
  <c r="E595" i="3" s="1"/>
  <c r="H595" i="3" s="1"/>
  <c r="AG595" i="3"/>
  <c r="Y593" i="3"/>
  <c r="D595" i="3" l="1"/>
  <c r="G595" i="3" s="1"/>
  <c r="K595" i="3"/>
  <c r="AE595" i="3" s="1"/>
  <c r="F595" i="3" l="1"/>
  <c r="V595" i="3"/>
  <c r="A596" i="3"/>
  <c r="B596" i="3" s="1"/>
  <c r="I595" i="3"/>
  <c r="J595" i="3"/>
  <c r="M595" i="3"/>
  <c r="N595" i="3" s="1"/>
  <c r="W595" i="3" l="1"/>
  <c r="L595" i="3"/>
  <c r="P596" i="3"/>
  <c r="Q596" i="3" s="1"/>
  <c r="R596" i="3" s="1"/>
  <c r="S596" i="3" s="1"/>
  <c r="AA596" i="3"/>
  <c r="AC596" i="3"/>
  <c r="AD596" i="3"/>
  <c r="Z596" i="3"/>
  <c r="T596" i="3" l="1"/>
  <c r="AG596" i="3" s="1"/>
  <c r="U595" i="3"/>
  <c r="Y594" i="3"/>
  <c r="D596" i="3" l="1"/>
  <c r="E596" i="3"/>
  <c r="H596" i="3" s="1"/>
  <c r="AH596" i="3"/>
  <c r="F596" i="3" l="1"/>
  <c r="G596" i="3"/>
  <c r="K596" i="3"/>
  <c r="AE596" i="3" s="1"/>
  <c r="V596" i="3" l="1"/>
  <c r="A597" i="3"/>
  <c r="B597" i="3" s="1"/>
  <c r="I596" i="3"/>
  <c r="J596" i="3"/>
  <c r="M596" i="3"/>
  <c r="N596" i="3" s="1"/>
  <c r="W596" i="3" l="1"/>
  <c r="L596" i="3"/>
  <c r="Z597" i="3"/>
  <c r="P597" i="3"/>
  <c r="Q597" i="3" s="1"/>
  <c r="R597" i="3" s="1"/>
  <c r="S597" i="3" s="1"/>
  <c r="AA597" i="3"/>
  <c r="AC597" i="3"/>
  <c r="AD597" i="3"/>
  <c r="U596" i="3" l="1"/>
  <c r="Y595" i="3"/>
  <c r="T597" i="3"/>
  <c r="E597" i="3" l="1"/>
  <c r="H597" i="3" s="1"/>
  <c r="K597" i="3" s="1"/>
  <c r="AE597" i="3" s="1"/>
  <c r="AH597" i="3"/>
  <c r="AG597" i="3"/>
  <c r="D597" i="3"/>
  <c r="G597" i="3" s="1"/>
  <c r="F597" i="3" l="1"/>
  <c r="I597" i="3"/>
  <c r="J597" i="3"/>
  <c r="M597" i="3"/>
  <c r="N597" i="3" s="1"/>
  <c r="V597" i="3"/>
  <c r="A598" i="3"/>
  <c r="B598" i="3" s="1"/>
  <c r="W597" i="3" l="1"/>
  <c r="L597" i="3"/>
  <c r="AC598" i="3"/>
  <c r="P598" i="3"/>
  <c r="Q598" i="3" s="1"/>
  <c r="R598" i="3" s="1"/>
  <c r="S598" i="3" s="1"/>
  <c r="Z598" i="3"/>
  <c r="AA598" i="3"/>
  <c r="AD598" i="3"/>
  <c r="U597" i="3" l="1"/>
  <c r="Y596" i="3"/>
  <c r="T598" i="3"/>
  <c r="AG598" i="3" s="1"/>
  <c r="AH598" i="3" l="1"/>
  <c r="E598" i="3"/>
  <c r="H598" i="3" s="1"/>
  <c r="K598" i="3" s="1"/>
  <c r="AE598" i="3" s="1"/>
  <c r="D598" i="3"/>
  <c r="V598" i="3" l="1"/>
  <c r="A599" i="3"/>
  <c r="B599" i="3" s="1"/>
  <c r="F598" i="3"/>
  <c r="G598" i="3"/>
  <c r="I598" i="3" l="1"/>
  <c r="W598" i="3" s="1"/>
  <c r="J598" i="3"/>
  <c r="M598" i="3"/>
  <c r="N598" i="3" s="1"/>
  <c r="AC599" i="3"/>
  <c r="AA599" i="3"/>
  <c r="P599" i="3"/>
  <c r="Q599" i="3" s="1"/>
  <c r="R599" i="3" s="1"/>
  <c r="S599" i="3" s="1"/>
  <c r="AD599" i="3"/>
  <c r="Z599" i="3"/>
  <c r="T599" i="3" l="1"/>
  <c r="L598" i="3"/>
  <c r="U598" i="3" l="1"/>
  <c r="D599" i="3" s="1"/>
  <c r="AG599" i="3"/>
  <c r="AH599" i="3"/>
  <c r="Y597" i="3"/>
  <c r="G599" i="3" l="1"/>
  <c r="E599" i="3"/>
  <c r="H599" i="3" s="1"/>
  <c r="I599" i="3" l="1"/>
  <c r="J599" i="3"/>
  <c r="M599" i="3"/>
  <c r="N599" i="3" s="1"/>
  <c r="K599" i="3"/>
  <c r="AE599" i="3" s="1"/>
  <c r="F599" i="3"/>
  <c r="V599" i="3" l="1"/>
  <c r="W599" i="3" s="1"/>
  <c r="A600" i="3"/>
  <c r="B600" i="3" s="1"/>
  <c r="L599" i="3"/>
  <c r="U599" i="3" l="1"/>
  <c r="Y598" i="3"/>
  <c r="AC600" i="3"/>
  <c r="P600" i="3"/>
  <c r="Q600" i="3" s="1"/>
  <c r="R600" i="3" s="1"/>
  <c r="S600" i="3" s="1"/>
  <c r="Z600" i="3"/>
  <c r="AA600" i="3"/>
  <c r="AD600" i="3"/>
  <c r="T600" i="3" l="1"/>
  <c r="E600" i="3" s="1"/>
  <c r="H600" i="3" s="1"/>
  <c r="AH600" i="3" l="1"/>
  <c r="K600" i="3"/>
  <c r="AE600" i="3" s="1"/>
  <c r="AG600" i="3"/>
  <c r="D600" i="3"/>
  <c r="V600" i="3" l="1"/>
  <c r="A601" i="3"/>
  <c r="B601" i="3" s="1"/>
  <c r="F600" i="3"/>
  <c r="G600" i="3"/>
  <c r="I600" i="3" l="1"/>
  <c r="W600" i="3" s="1"/>
  <c r="J600" i="3"/>
  <c r="M600" i="3"/>
  <c r="N600" i="3" s="1"/>
  <c r="P601" i="3"/>
  <c r="Q601" i="3" s="1"/>
  <c r="R601" i="3" s="1"/>
  <c r="S601" i="3" s="1"/>
  <c r="AA601" i="3"/>
  <c r="AC601" i="3"/>
  <c r="Z601" i="3"/>
  <c r="AD601" i="3"/>
  <c r="T601" i="3" l="1"/>
  <c r="L600" i="3"/>
  <c r="AH601" i="3" l="1"/>
  <c r="U600" i="3"/>
  <c r="D601" i="3" s="1"/>
  <c r="AG601" i="3"/>
  <c r="Y599" i="3"/>
  <c r="E601" i="3" l="1"/>
  <c r="H601" i="3" s="1"/>
  <c r="K601" i="3" s="1"/>
  <c r="AE601" i="3" s="1"/>
  <c r="G601" i="3"/>
  <c r="F601" i="3" l="1"/>
  <c r="I601" i="3"/>
  <c r="J601" i="3"/>
  <c r="M601" i="3"/>
  <c r="N601" i="3" s="1"/>
  <c r="V601" i="3"/>
  <c r="A602" i="3"/>
  <c r="B602" i="3" s="1"/>
  <c r="W601" i="3" l="1"/>
  <c r="L601" i="3"/>
  <c r="P602" i="3"/>
  <c r="Q602" i="3" s="1"/>
  <c r="R602" i="3" s="1"/>
  <c r="S602" i="3" s="1"/>
  <c r="Z602" i="3"/>
  <c r="AC602" i="3"/>
  <c r="AD602" i="3"/>
  <c r="AA602" i="3"/>
  <c r="U601" i="3" l="1"/>
  <c r="Y600" i="3"/>
  <c r="T602" i="3"/>
  <c r="AG602" i="3" s="1"/>
  <c r="D602" i="3" l="1"/>
  <c r="E602" i="3"/>
  <c r="H602" i="3" s="1"/>
  <c r="AH602" i="3"/>
  <c r="K602" i="3" l="1"/>
  <c r="AE602" i="3" s="1"/>
  <c r="F602" i="3"/>
  <c r="G602" i="3"/>
  <c r="I602" i="3" l="1"/>
  <c r="J602" i="3"/>
  <c r="M602" i="3"/>
  <c r="N602" i="3" s="1"/>
  <c r="V602" i="3"/>
  <c r="A603" i="3"/>
  <c r="B603" i="3" s="1"/>
  <c r="W602" i="3" l="1"/>
  <c r="L602" i="3"/>
  <c r="AA603" i="3"/>
  <c r="AC603" i="3"/>
  <c r="AD603" i="3"/>
  <c r="Z603" i="3"/>
  <c r="P603" i="3"/>
  <c r="Q603" i="3" s="1"/>
  <c r="R603" i="3" s="1"/>
  <c r="S603" i="3" s="1"/>
  <c r="U602" i="3" l="1"/>
  <c r="Y601" i="3"/>
  <c r="T603" i="3"/>
  <c r="AG603" i="3" s="1"/>
  <c r="AH603" i="3" l="1"/>
  <c r="D603" i="3"/>
  <c r="G603" i="3" s="1"/>
  <c r="E603" i="3"/>
  <c r="H603" i="3" s="1"/>
  <c r="K603" i="3" s="1"/>
  <c r="AE603" i="3" s="1"/>
  <c r="F603" i="3" l="1"/>
  <c r="I603" i="3"/>
  <c r="J603" i="3"/>
  <c r="M603" i="3"/>
  <c r="N603" i="3" s="1"/>
  <c r="V603" i="3"/>
  <c r="A604" i="3"/>
  <c r="B604" i="3" s="1"/>
  <c r="W603" i="3" l="1"/>
  <c r="L603" i="3"/>
  <c r="AC604" i="3"/>
  <c r="Z604" i="3"/>
  <c r="AA604" i="3"/>
  <c r="P604" i="3"/>
  <c r="Q604" i="3" s="1"/>
  <c r="R604" i="3" s="1"/>
  <c r="S604" i="3" s="1"/>
  <c r="U603" i="3" l="1"/>
  <c r="Y602" i="3"/>
  <c r="T604" i="3"/>
  <c r="AH604" i="3" s="1"/>
  <c r="D604" i="3" l="1"/>
  <c r="E604" i="3"/>
  <c r="H604" i="3" s="1"/>
  <c r="AG604" i="3"/>
  <c r="F604" i="3" l="1"/>
  <c r="G604" i="3"/>
  <c r="K604" i="3"/>
  <c r="AE604" i="3" s="1"/>
  <c r="V604" i="3" l="1"/>
  <c r="A605" i="3"/>
  <c r="B605" i="3" s="1"/>
  <c r="I604" i="3"/>
  <c r="J604" i="3"/>
  <c r="AD604" i="3" s="1"/>
  <c r="M604" i="3"/>
  <c r="N604" i="3" s="1"/>
  <c r="W604" i="3" l="1"/>
  <c r="L604" i="3"/>
  <c r="P605" i="3"/>
  <c r="Q605" i="3" s="1"/>
  <c r="R605" i="3" s="1"/>
  <c r="S605" i="3" s="1"/>
  <c r="Z605" i="3"/>
  <c r="AA605" i="3"/>
  <c r="AD605" i="3"/>
  <c r="AC605" i="3"/>
  <c r="U604" i="3" l="1"/>
  <c r="Y603" i="3"/>
  <c r="T605" i="3"/>
  <c r="AG605" i="3" s="1"/>
  <c r="AH605" i="3" l="1"/>
  <c r="D605" i="3"/>
  <c r="E605" i="3"/>
  <c r="H605" i="3" s="1"/>
  <c r="K605" i="3" s="1"/>
  <c r="AE605" i="3" s="1"/>
  <c r="F605" i="3" l="1"/>
  <c r="G605" i="3"/>
  <c r="M605" i="3" s="1"/>
  <c r="N605" i="3" s="1"/>
  <c r="V605" i="3"/>
  <c r="A606" i="3"/>
  <c r="B606" i="3" s="1"/>
  <c r="I605" i="3" l="1"/>
  <c r="W605" i="3" s="1"/>
  <c r="J605" i="3"/>
  <c r="L605" i="3" s="1"/>
  <c r="P606" i="3"/>
  <c r="Q606" i="3" s="1"/>
  <c r="R606" i="3" s="1"/>
  <c r="S606" i="3" s="1"/>
  <c r="AC606" i="3"/>
  <c r="AD606" i="3"/>
  <c r="AA606" i="3"/>
  <c r="Z606" i="3"/>
  <c r="U605" i="3" l="1"/>
  <c r="Y604" i="3"/>
  <c r="T606" i="3"/>
  <c r="AG606" i="3" s="1"/>
  <c r="E606" i="3" l="1"/>
  <c r="H606" i="3" s="1"/>
  <c r="AH606" i="3"/>
  <c r="D606" i="3"/>
  <c r="F606" i="3" l="1"/>
  <c r="G606" i="3"/>
  <c r="K606" i="3"/>
  <c r="AE606" i="3" s="1"/>
  <c r="I606" i="3" l="1"/>
  <c r="J606" i="3"/>
  <c r="M606" i="3"/>
  <c r="N606" i="3" s="1"/>
  <c r="V606" i="3"/>
  <c r="A607" i="3"/>
  <c r="B607" i="3" s="1"/>
  <c r="W606" i="3" l="1"/>
  <c r="L606" i="3"/>
  <c r="Z607" i="3"/>
  <c r="AD607" i="3"/>
  <c r="AC607" i="3"/>
  <c r="P607" i="3"/>
  <c r="Q607" i="3" s="1"/>
  <c r="R607" i="3" s="1"/>
  <c r="S607" i="3" s="1"/>
  <c r="AA607" i="3"/>
  <c r="U606" i="3" l="1"/>
  <c r="Y605" i="3"/>
  <c r="T607" i="3"/>
  <c r="AH607" i="3" s="1"/>
  <c r="E607" i="3" l="1"/>
  <c r="H607" i="3" s="1"/>
  <c r="K607" i="3" s="1"/>
  <c r="AE607" i="3" s="1"/>
  <c r="D607" i="3"/>
  <c r="AG607" i="3"/>
  <c r="V607" i="3" l="1"/>
  <c r="A608" i="3"/>
  <c r="B608" i="3" s="1"/>
  <c r="F607" i="3"/>
  <c r="G607" i="3"/>
  <c r="I607" i="3" l="1"/>
  <c r="W607" i="3" s="1"/>
  <c r="J607" i="3"/>
  <c r="M607" i="3"/>
  <c r="N607" i="3" s="1"/>
  <c r="AD608" i="3"/>
  <c r="AA608" i="3"/>
  <c r="P608" i="3"/>
  <c r="Q608" i="3" s="1"/>
  <c r="R608" i="3" s="1"/>
  <c r="S608" i="3" s="1"/>
  <c r="Z608" i="3"/>
  <c r="AC608" i="3"/>
  <c r="T608" i="3" l="1"/>
  <c r="L607" i="3"/>
  <c r="AH608" i="3" l="1"/>
  <c r="AG608" i="3"/>
  <c r="U607" i="3"/>
  <c r="E608" i="3" s="1"/>
  <c r="H608" i="3" s="1"/>
  <c r="Y606" i="3"/>
  <c r="D608" i="3" l="1"/>
  <c r="G608" i="3" s="1"/>
  <c r="K608" i="3"/>
  <c r="AE608" i="3" s="1"/>
  <c r="F608" i="3" l="1"/>
  <c r="I608" i="3"/>
  <c r="J608" i="3"/>
  <c r="M608" i="3"/>
  <c r="N608" i="3" s="1"/>
  <c r="V608" i="3"/>
  <c r="A609" i="3"/>
  <c r="B609" i="3" s="1"/>
  <c r="L608" i="3" l="1"/>
  <c r="W608" i="3"/>
  <c r="Z609" i="3"/>
  <c r="P609" i="3"/>
  <c r="Q609" i="3" s="1"/>
  <c r="R609" i="3" s="1"/>
  <c r="S609" i="3" s="1"/>
  <c r="AC609" i="3"/>
  <c r="AA609" i="3"/>
  <c r="AD609" i="3"/>
  <c r="U608" i="3" l="1"/>
  <c r="Y607" i="3"/>
  <c r="T609" i="3"/>
  <c r="AG609" i="3" s="1"/>
  <c r="E609" i="3" l="1"/>
  <c r="H609" i="3" s="1"/>
  <c r="D609" i="3"/>
  <c r="AH609" i="3"/>
  <c r="K609" i="3" l="1"/>
  <c r="AE609" i="3" s="1"/>
  <c r="F609" i="3"/>
  <c r="G609" i="3"/>
  <c r="I609" i="3" l="1"/>
  <c r="J609" i="3"/>
  <c r="M609" i="3"/>
  <c r="N609" i="3" s="1"/>
  <c r="V609" i="3"/>
  <c r="A610" i="3"/>
  <c r="B610" i="3" s="1"/>
  <c r="L609" i="3" l="1"/>
  <c r="W609" i="3"/>
  <c r="AA610" i="3"/>
  <c r="P610" i="3"/>
  <c r="Q610" i="3" s="1"/>
  <c r="R610" i="3" s="1"/>
  <c r="S610" i="3" s="1"/>
  <c r="Z610" i="3"/>
  <c r="AC610" i="3"/>
  <c r="AD610" i="3"/>
  <c r="U609" i="3" l="1"/>
  <c r="Y608" i="3"/>
  <c r="T610" i="3"/>
  <c r="AG610" i="3" s="1"/>
  <c r="AH610" i="3" l="1"/>
  <c r="D610" i="3"/>
  <c r="G610" i="3" s="1"/>
  <c r="E610" i="3"/>
  <c r="H610" i="3" s="1"/>
  <c r="K610" i="3" s="1"/>
  <c r="AE610" i="3" s="1"/>
  <c r="F610" i="3" l="1"/>
  <c r="I610" i="3"/>
  <c r="J610" i="3"/>
  <c r="M610" i="3"/>
  <c r="N610" i="3" s="1"/>
  <c r="V610" i="3"/>
  <c r="A611" i="3"/>
  <c r="B611" i="3" s="1"/>
  <c r="W610" i="3" l="1"/>
  <c r="L610" i="3"/>
  <c r="AA611" i="3"/>
  <c r="P611" i="3"/>
  <c r="Q611" i="3" s="1"/>
  <c r="R611" i="3" s="1"/>
  <c r="S611" i="3" s="1"/>
  <c r="AC611" i="3"/>
  <c r="AD611" i="3"/>
  <c r="Z611" i="3"/>
  <c r="T611" i="3" l="1"/>
  <c r="U610" i="3"/>
  <c r="Y609" i="3"/>
  <c r="E611" i="3" l="1"/>
  <c r="H611" i="3" s="1"/>
  <c r="K611" i="3" s="1"/>
  <c r="AE611" i="3" s="1"/>
  <c r="AH611" i="3"/>
  <c r="AG611" i="3"/>
  <c r="D611" i="3"/>
  <c r="V611" i="3" l="1"/>
  <c r="A612" i="3"/>
  <c r="B612" i="3" s="1"/>
  <c r="F611" i="3"/>
  <c r="G611" i="3"/>
  <c r="I611" i="3" l="1"/>
  <c r="W611" i="3" s="1"/>
  <c r="J611" i="3"/>
  <c r="M611" i="3"/>
  <c r="N611" i="3" s="1"/>
  <c r="Z612" i="3"/>
  <c r="P612" i="3"/>
  <c r="Q612" i="3" s="1"/>
  <c r="R612" i="3" s="1"/>
  <c r="S612" i="3" s="1"/>
  <c r="AD612" i="3"/>
  <c r="AC612" i="3"/>
  <c r="AA612" i="3"/>
  <c r="T612" i="3" l="1"/>
  <c r="L611" i="3"/>
  <c r="U611" i="3" l="1"/>
  <c r="E612" i="3" s="1"/>
  <c r="H612" i="3" s="1"/>
  <c r="AH612" i="3"/>
  <c r="AG612" i="3"/>
  <c r="Y610" i="3"/>
  <c r="D612" i="3" l="1"/>
  <c r="G612" i="3" s="1"/>
  <c r="K612" i="3"/>
  <c r="AE612" i="3" s="1"/>
  <c r="F612" i="3" l="1"/>
  <c r="V612" i="3"/>
  <c r="A613" i="3"/>
  <c r="B613" i="3" s="1"/>
  <c r="I612" i="3"/>
  <c r="J612" i="3"/>
  <c r="M612" i="3"/>
  <c r="N612" i="3" s="1"/>
  <c r="W612" i="3" l="1"/>
  <c r="L612" i="3"/>
  <c r="P613" i="3"/>
  <c r="Q613" i="3" s="1"/>
  <c r="R613" i="3" s="1"/>
  <c r="S613" i="3" s="1"/>
  <c r="AD613" i="3"/>
  <c r="AA613" i="3"/>
  <c r="Z613" i="3"/>
  <c r="AC613" i="3"/>
  <c r="U612" i="3" l="1"/>
  <c r="Y611" i="3"/>
  <c r="T613" i="3"/>
  <c r="AG613" i="3" s="1"/>
  <c r="D613" i="3" l="1"/>
  <c r="AH613" i="3"/>
  <c r="E613" i="3"/>
  <c r="H613" i="3" s="1"/>
  <c r="F613" i="3" l="1"/>
  <c r="G613" i="3"/>
  <c r="K613" i="3"/>
  <c r="AE613" i="3" s="1"/>
  <c r="V613" i="3" l="1"/>
  <c r="A614" i="3"/>
  <c r="B614" i="3" s="1"/>
  <c r="I613" i="3"/>
  <c r="J613" i="3"/>
  <c r="M613" i="3"/>
  <c r="N613" i="3" s="1"/>
  <c r="W613" i="3" l="1"/>
  <c r="L613" i="3"/>
  <c r="AC614" i="3"/>
  <c r="AA614" i="3"/>
  <c r="Z614" i="3"/>
  <c r="P614" i="3"/>
  <c r="Q614" i="3" s="1"/>
  <c r="R614" i="3" s="1"/>
  <c r="S614" i="3" s="1"/>
  <c r="U613" i="3" l="1"/>
  <c r="Y612" i="3"/>
  <c r="T614" i="3"/>
  <c r="AG614" i="3" s="1"/>
  <c r="D614" i="3" l="1"/>
  <c r="G614" i="3" s="1"/>
  <c r="E614" i="3"/>
  <c r="H614" i="3" s="1"/>
  <c r="K614" i="3" s="1"/>
  <c r="AE614" i="3" s="1"/>
  <c r="AH614" i="3"/>
  <c r="F614" i="3" l="1"/>
  <c r="I614" i="3"/>
  <c r="J614" i="3"/>
  <c r="AD614" i="3" s="1"/>
  <c r="M614" i="3"/>
  <c r="N614" i="3" s="1"/>
  <c r="V614" i="3"/>
  <c r="A615" i="3"/>
  <c r="B615" i="3" s="1"/>
  <c r="L614" i="3" l="1"/>
  <c r="W614" i="3"/>
  <c r="P615" i="3"/>
  <c r="Q615" i="3" s="1"/>
  <c r="R615" i="3" s="1"/>
  <c r="S615" i="3" s="1"/>
  <c r="AC615" i="3"/>
  <c r="Z615" i="3"/>
  <c r="AA615" i="3"/>
  <c r="AD615" i="3"/>
  <c r="U614" i="3" l="1"/>
  <c r="Y613" i="3"/>
  <c r="T615" i="3"/>
  <c r="AH615" i="3" s="1"/>
  <c r="E615" i="3" l="1"/>
  <c r="H615" i="3" s="1"/>
  <c r="K615" i="3" s="1"/>
  <c r="AE615" i="3" s="1"/>
  <c r="AG615" i="3"/>
  <c r="D615" i="3"/>
  <c r="F615" i="3" l="1"/>
  <c r="G615" i="3"/>
  <c r="V615" i="3"/>
  <c r="A616" i="3"/>
  <c r="B616" i="3" s="1"/>
  <c r="AD616" i="3" l="1"/>
  <c r="P616" i="3"/>
  <c r="Q616" i="3" s="1"/>
  <c r="R616" i="3" s="1"/>
  <c r="S616" i="3" s="1"/>
  <c r="Z616" i="3"/>
  <c r="AC616" i="3"/>
  <c r="AA616" i="3"/>
  <c r="I615" i="3"/>
  <c r="W615" i="3" s="1"/>
  <c r="J615" i="3"/>
  <c r="M615" i="3"/>
  <c r="N615" i="3" s="1"/>
  <c r="L615" i="3" l="1"/>
  <c r="T616" i="3"/>
  <c r="U615" i="3" l="1"/>
  <c r="D616" i="3" s="1"/>
  <c r="AH616" i="3"/>
  <c r="AG616" i="3"/>
  <c r="Y614" i="3"/>
  <c r="E616" i="3" l="1"/>
  <c r="H616" i="3" s="1"/>
  <c r="K616" i="3" s="1"/>
  <c r="AE616" i="3" s="1"/>
  <c r="G616" i="3"/>
  <c r="F616" i="3" l="1"/>
  <c r="I616" i="3"/>
  <c r="J616" i="3"/>
  <c r="M616" i="3"/>
  <c r="N616" i="3" s="1"/>
  <c r="V616" i="3"/>
  <c r="A617" i="3"/>
  <c r="B617" i="3" s="1"/>
  <c r="W616" i="3" l="1"/>
  <c r="L616" i="3"/>
  <c r="Z617" i="3"/>
  <c r="AC617" i="3"/>
  <c r="AD617" i="3"/>
  <c r="P617" i="3"/>
  <c r="Q617" i="3" s="1"/>
  <c r="R617" i="3" s="1"/>
  <c r="S617" i="3" s="1"/>
  <c r="AA617" i="3"/>
  <c r="U616" i="3" l="1"/>
  <c r="Y615" i="3"/>
  <c r="T617" i="3"/>
  <c r="AG617" i="3" s="1"/>
  <c r="D617" i="3" l="1"/>
  <c r="G617" i="3" s="1"/>
  <c r="E617" i="3"/>
  <c r="H617" i="3" s="1"/>
  <c r="K617" i="3" s="1"/>
  <c r="AE617" i="3" s="1"/>
  <c r="AH617" i="3"/>
  <c r="F617" i="3" l="1"/>
  <c r="I617" i="3"/>
  <c r="J617" i="3"/>
  <c r="M617" i="3"/>
  <c r="N617" i="3" s="1"/>
  <c r="V617" i="3"/>
  <c r="A618" i="3"/>
  <c r="B618" i="3" s="1"/>
  <c r="W617" i="3" l="1"/>
  <c r="L617" i="3"/>
  <c r="P618" i="3"/>
  <c r="Q618" i="3" s="1"/>
  <c r="R618" i="3" s="1"/>
  <c r="S618" i="3" s="1"/>
  <c r="AD618" i="3"/>
  <c r="Z618" i="3"/>
  <c r="AC618" i="3"/>
  <c r="AA618" i="3"/>
  <c r="U617" i="3" l="1"/>
  <c r="Y616" i="3"/>
  <c r="T618" i="3"/>
  <c r="E618" i="3" l="1"/>
  <c r="H618" i="3" s="1"/>
  <c r="K618" i="3" s="1"/>
  <c r="AE618" i="3" s="1"/>
  <c r="AG618" i="3"/>
  <c r="D618" i="3"/>
  <c r="AH618" i="3"/>
  <c r="F618" i="3" l="1"/>
  <c r="G618" i="3"/>
  <c r="V618" i="3"/>
  <c r="A619" i="3"/>
  <c r="B619" i="3" s="1"/>
  <c r="P619" i="3" l="1"/>
  <c r="Q619" i="3" s="1"/>
  <c r="R619" i="3" s="1"/>
  <c r="S619" i="3" s="1"/>
  <c r="AD619" i="3"/>
  <c r="AA619" i="3"/>
  <c r="AC619" i="3"/>
  <c r="Z619" i="3"/>
  <c r="I618" i="3"/>
  <c r="W618" i="3" s="1"/>
  <c r="J618" i="3"/>
  <c r="M618" i="3"/>
  <c r="N618" i="3" s="1"/>
  <c r="T619" i="3" l="1"/>
  <c r="L618" i="3"/>
  <c r="AH619" i="3" l="1"/>
  <c r="AG619" i="3"/>
  <c r="U618" i="3"/>
  <c r="D619" i="3" s="1"/>
  <c r="Y617" i="3"/>
  <c r="E619" i="3" l="1"/>
  <c r="H619" i="3" s="1"/>
  <c r="K619" i="3" s="1"/>
  <c r="AE619" i="3" s="1"/>
  <c r="G619" i="3"/>
  <c r="F619" i="3" l="1"/>
  <c r="I619" i="3"/>
  <c r="J619" i="3"/>
  <c r="M619" i="3"/>
  <c r="N619" i="3" s="1"/>
  <c r="V619" i="3"/>
  <c r="A620" i="3"/>
  <c r="B620" i="3" s="1"/>
  <c r="W619" i="3" l="1"/>
  <c r="L619" i="3"/>
  <c r="AC620" i="3"/>
  <c r="AD620" i="3"/>
  <c r="P620" i="3"/>
  <c r="Q620" i="3" s="1"/>
  <c r="R620" i="3" s="1"/>
  <c r="S620" i="3" s="1"/>
  <c r="AA620" i="3"/>
  <c r="Z620" i="3"/>
  <c r="T620" i="3" l="1"/>
  <c r="AH620" i="3" s="1"/>
  <c r="U619" i="3"/>
  <c r="Y618" i="3"/>
  <c r="E620" i="3" l="1"/>
  <c r="H620" i="3" s="1"/>
  <c r="K620" i="3" s="1"/>
  <c r="AE620" i="3" s="1"/>
  <c r="D620" i="3"/>
  <c r="G620" i="3" s="1"/>
  <c r="AG620" i="3"/>
  <c r="F620" i="3" l="1"/>
  <c r="I620" i="3"/>
  <c r="J620" i="3"/>
  <c r="M620" i="3"/>
  <c r="N620" i="3" s="1"/>
  <c r="V620" i="3"/>
  <c r="A621" i="3"/>
  <c r="B621" i="3" s="1"/>
  <c r="W620" i="3" l="1"/>
  <c r="L620" i="3"/>
  <c r="AD621" i="3"/>
  <c r="AC621" i="3"/>
  <c r="AA621" i="3"/>
  <c r="P621" i="3"/>
  <c r="Q621" i="3" s="1"/>
  <c r="R621" i="3" s="1"/>
  <c r="S621" i="3" s="1"/>
  <c r="Z621" i="3"/>
  <c r="U620" i="3" l="1"/>
  <c r="Y619" i="3"/>
  <c r="T621" i="3"/>
  <c r="D621" i="3" l="1"/>
  <c r="G621" i="3" s="1"/>
  <c r="AH621" i="3"/>
  <c r="E621" i="3"/>
  <c r="H621" i="3" s="1"/>
  <c r="AG621" i="3"/>
  <c r="F621" i="3" l="1"/>
  <c r="I621" i="3"/>
  <c r="J621" i="3"/>
  <c r="M621" i="3"/>
  <c r="N621" i="3" s="1"/>
  <c r="K621" i="3"/>
  <c r="AE621" i="3" s="1"/>
  <c r="V621" i="3" l="1"/>
  <c r="W621" i="3" s="1"/>
  <c r="A622" i="3"/>
  <c r="B622" i="3" s="1"/>
  <c r="L621" i="3"/>
  <c r="U621" i="3" l="1"/>
  <c r="Y620" i="3"/>
  <c r="AA622" i="3"/>
  <c r="AC622" i="3"/>
  <c r="P622" i="3"/>
  <c r="Q622" i="3" s="1"/>
  <c r="R622" i="3" s="1"/>
  <c r="S622" i="3" s="1"/>
  <c r="Z622" i="3"/>
  <c r="AD622" i="3"/>
  <c r="T622" i="3" l="1"/>
  <c r="AG622" i="3" s="1"/>
  <c r="D622" i="3" l="1"/>
  <c r="E622" i="3"/>
  <c r="H622" i="3" s="1"/>
  <c r="K622" i="3" s="1"/>
  <c r="AE622" i="3" s="1"/>
  <c r="AH622" i="3"/>
  <c r="F622" i="3" l="1"/>
  <c r="G622" i="3"/>
  <c r="I622" i="3" s="1"/>
  <c r="V622" i="3"/>
  <c r="A623" i="3"/>
  <c r="B623" i="3" s="1"/>
  <c r="M622" i="3" l="1"/>
  <c r="N622" i="3" s="1"/>
  <c r="J622" i="3"/>
  <c r="L622" i="3" s="1"/>
  <c r="W622" i="3"/>
  <c r="P623" i="3"/>
  <c r="Q623" i="3" s="1"/>
  <c r="R623" i="3" s="1"/>
  <c r="S623" i="3" s="1"/>
  <c r="Z623" i="3"/>
  <c r="AD623" i="3"/>
  <c r="AA623" i="3"/>
  <c r="AC623" i="3"/>
  <c r="U622" i="3" l="1"/>
  <c r="Y621" i="3"/>
  <c r="T623" i="3"/>
  <c r="D623" i="3" l="1"/>
  <c r="G623" i="3" s="1"/>
  <c r="AH623" i="3"/>
  <c r="AG623" i="3"/>
  <c r="E623" i="3"/>
  <c r="H623" i="3" s="1"/>
  <c r="K623" i="3" l="1"/>
  <c r="AE623" i="3" s="1"/>
  <c r="I623" i="3"/>
  <c r="J623" i="3"/>
  <c r="M623" i="3"/>
  <c r="N623" i="3" s="1"/>
  <c r="F623" i="3"/>
  <c r="L623" i="3" l="1"/>
  <c r="V623" i="3"/>
  <c r="W623" i="3" s="1"/>
  <c r="A624" i="3"/>
  <c r="B624" i="3" s="1"/>
  <c r="U623" i="3" l="1"/>
  <c r="Y622" i="3"/>
  <c r="AA624" i="3"/>
  <c r="Z624" i="3"/>
  <c r="AC624" i="3"/>
  <c r="P624" i="3"/>
  <c r="Q624" i="3" s="1"/>
  <c r="R624" i="3" s="1"/>
  <c r="S624" i="3" s="1"/>
  <c r="T624" i="3" l="1"/>
  <c r="D624" i="3" s="1"/>
  <c r="AG624" i="3" l="1"/>
  <c r="AH624" i="3"/>
  <c r="E624" i="3"/>
  <c r="H624" i="3" s="1"/>
  <c r="K624" i="3" s="1"/>
  <c r="AE624" i="3" s="1"/>
  <c r="G624" i="3"/>
  <c r="F624" i="3" l="1"/>
  <c r="I624" i="3"/>
  <c r="J624" i="3"/>
  <c r="AD624" i="3" s="1"/>
  <c r="M624" i="3"/>
  <c r="N624" i="3" s="1"/>
  <c r="V624" i="3"/>
  <c r="A625" i="3"/>
  <c r="B625" i="3" s="1"/>
  <c r="W624" i="3" l="1"/>
  <c r="L624" i="3"/>
  <c r="P625" i="3"/>
  <c r="Q625" i="3" s="1"/>
  <c r="R625" i="3" s="1"/>
  <c r="S625" i="3" s="1"/>
  <c r="AD625" i="3"/>
  <c r="AA625" i="3"/>
  <c r="Z625" i="3"/>
  <c r="AC625" i="3"/>
  <c r="U624" i="3" l="1"/>
  <c r="Y623" i="3"/>
  <c r="T625" i="3"/>
  <c r="D625" i="3" l="1"/>
  <c r="G625" i="3" s="1"/>
  <c r="E625" i="3"/>
  <c r="H625" i="3" s="1"/>
  <c r="AH625" i="3"/>
  <c r="AG625" i="3"/>
  <c r="F625" i="3" l="1"/>
  <c r="I625" i="3"/>
  <c r="J625" i="3"/>
  <c r="M625" i="3"/>
  <c r="N625" i="3" s="1"/>
  <c r="K625" i="3"/>
  <c r="AE625" i="3" s="1"/>
  <c r="V625" i="3" l="1"/>
  <c r="W625" i="3" s="1"/>
  <c r="A626" i="3"/>
  <c r="B626" i="3" s="1"/>
  <c r="L625" i="3"/>
  <c r="U625" i="3" l="1"/>
  <c r="Y624" i="3"/>
  <c r="AD626" i="3"/>
  <c r="Z626" i="3"/>
  <c r="AC626" i="3"/>
  <c r="P626" i="3"/>
  <c r="Q626" i="3" s="1"/>
  <c r="R626" i="3" s="1"/>
  <c r="S626" i="3" s="1"/>
  <c r="AA626" i="3"/>
  <c r="T626" i="3" l="1"/>
  <c r="E626" i="3" s="1"/>
  <c r="H626" i="3" s="1"/>
  <c r="AG626" i="3" l="1"/>
  <c r="K626" i="3"/>
  <c r="AE626" i="3" s="1"/>
  <c r="D626" i="3"/>
  <c r="AH626" i="3"/>
  <c r="V626" i="3" l="1"/>
  <c r="A627" i="3"/>
  <c r="B627" i="3" s="1"/>
  <c r="F626" i="3"/>
  <c r="G626" i="3"/>
  <c r="I626" i="3" l="1"/>
  <c r="W626" i="3" s="1"/>
  <c r="J626" i="3"/>
  <c r="M626" i="3"/>
  <c r="N626" i="3" s="1"/>
  <c r="Z627" i="3"/>
  <c r="AD627" i="3"/>
  <c r="P627" i="3"/>
  <c r="Q627" i="3" s="1"/>
  <c r="R627" i="3" s="1"/>
  <c r="S627" i="3" s="1"/>
  <c r="AC627" i="3"/>
  <c r="AA627" i="3"/>
  <c r="L626" i="3" l="1"/>
  <c r="T627" i="3"/>
  <c r="AG627" i="3" l="1"/>
  <c r="U626" i="3"/>
  <c r="D627" i="3" s="1"/>
  <c r="AH627" i="3"/>
  <c r="Y625" i="3"/>
  <c r="G627" i="3" l="1"/>
  <c r="E627" i="3"/>
  <c r="H627" i="3" s="1"/>
  <c r="K627" i="3" l="1"/>
  <c r="AE627" i="3" s="1"/>
  <c r="I627" i="3"/>
  <c r="J627" i="3"/>
  <c r="M627" i="3"/>
  <c r="N627" i="3" s="1"/>
  <c r="F627" i="3"/>
  <c r="L627" i="3" l="1"/>
  <c r="V627" i="3"/>
  <c r="W627" i="3" s="1"/>
  <c r="A628" i="3"/>
  <c r="B628" i="3" s="1"/>
  <c r="Z628" i="3" l="1"/>
  <c r="AA628" i="3"/>
  <c r="P628" i="3"/>
  <c r="Q628" i="3" s="1"/>
  <c r="R628" i="3" s="1"/>
  <c r="S628" i="3" s="1"/>
  <c r="AC628" i="3"/>
  <c r="AD628" i="3"/>
  <c r="U627" i="3"/>
  <c r="Y626" i="3"/>
  <c r="T628" i="3" l="1"/>
  <c r="D628" i="3" l="1"/>
  <c r="E628" i="3"/>
  <c r="H628" i="3" s="1"/>
  <c r="AG628" i="3"/>
  <c r="AH628" i="3"/>
  <c r="F628" i="3" l="1"/>
  <c r="G628" i="3"/>
  <c r="K628" i="3"/>
  <c r="AE628" i="3" s="1"/>
  <c r="I628" i="3" l="1"/>
  <c r="J628" i="3"/>
  <c r="M628" i="3"/>
  <c r="N628" i="3" s="1"/>
  <c r="V628" i="3"/>
  <c r="A629" i="3"/>
  <c r="B629" i="3" s="1"/>
  <c r="W628" i="3" l="1"/>
  <c r="L628" i="3"/>
  <c r="AC629" i="3"/>
  <c r="AA629" i="3"/>
  <c r="P629" i="3"/>
  <c r="Q629" i="3" s="1"/>
  <c r="R629" i="3" s="1"/>
  <c r="S629" i="3" s="1"/>
  <c r="AD629" i="3"/>
  <c r="Z629" i="3"/>
  <c r="T629" i="3" l="1"/>
  <c r="U628" i="3"/>
  <c r="Y627" i="3"/>
  <c r="E629" i="3" l="1"/>
  <c r="H629" i="3" s="1"/>
  <c r="K629" i="3" s="1"/>
  <c r="AE629" i="3" s="1"/>
  <c r="AH629" i="3"/>
  <c r="AG629" i="3"/>
  <c r="D629" i="3"/>
  <c r="F629" i="3" l="1"/>
  <c r="G629" i="3"/>
  <c r="V629" i="3"/>
  <c r="A630" i="3"/>
  <c r="B630" i="3" s="1"/>
  <c r="I629" i="3" l="1"/>
  <c r="W629" i="3" s="1"/>
  <c r="J629" i="3"/>
  <c r="M629" i="3"/>
  <c r="N629" i="3" s="1"/>
  <c r="AD630" i="3"/>
  <c r="P630" i="3"/>
  <c r="Q630" i="3" s="1"/>
  <c r="R630" i="3" s="1"/>
  <c r="S630" i="3" s="1"/>
  <c r="AC630" i="3"/>
  <c r="AA630" i="3"/>
  <c r="Z630" i="3"/>
  <c r="T630" i="3" l="1"/>
  <c r="L629" i="3"/>
  <c r="U629" i="3" l="1"/>
  <c r="D630" i="3" s="1"/>
  <c r="AH630" i="3"/>
  <c r="AG630" i="3"/>
  <c r="Y628" i="3"/>
  <c r="G630" i="3" l="1"/>
  <c r="E630" i="3"/>
  <c r="H630" i="3" s="1"/>
  <c r="F630" i="3" l="1"/>
  <c r="K630" i="3"/>
  <c r="AE630" i="3" s="1"/>
  <c r="I630" i="3"/>
  <c r="J630" i="3"/>
  <c r="M630" i="3"/>
  <c r="N630" i="3" s="1"/>
  <c r="V630" i="3" l="1"/>
  <c r="W630" i="3" s="1"/>
  <c r="A631" i="3"/>
  <c r="B631" i="3" s="1"/>
  <c r="L630" i="3"/>
  <c r="U630" i="3" l="1"/>
  <c r="Y629" i="3"/>
  <c r="AD631" i="3"/>
  <c r="P631" i="3"/>
  <c r="Q631" i="3" s="1"/>
  <c r="R631" i="3" s="1"/>
  <c r="S631" i="3" s="1"/>
  <c r="AC631" i="3"/>
  <c r="AA631" i="3"/>
  <c r="Z631" i="3"/>
  <c r="T631" i="3" l="1"/>
  <c r="D631" i="3" s="1"/>
  <c r="AH631" i="3" l="1"/>
  <c r="E631" i="3"/>
  <c r="H631" i="3" s="1"/>
  <c r="K631" i="3" s="1"/>
  <c r="AE631" i="3" s="1"/>
  <c r="G631" i="3"/>
  <c r="AG631" i="3"/>
  <c r="F631" i="3" l="1"/>
  <c r="I631" i="3"/>
  <c r="J631" i="3"/>
  <c r="M631" i="3"/>
  <c r="N631" i="3" s="1"/>
  <c r="V631" i="3"/>
  <c r="A632" i="3"/>
  <c r="B632" i="3" s="1"/>
  <c r="L631" i="3" l="1"/>
  <c r="W631" i="3"/>
  <c r="AC632" i="3"/>
  <c r="AA632" i="3"/>
  <c r="Z632" i="3"/>
  <c r="P632" i="3"/>
  <c r="Q632" i="3" s="1"/>
  <c r="R632" i="3" s="1"/>
  <c r="S632" i="3" s="1"/>
  <c r="AD632" i="3"/>
  <c r="T632" i="3" l="1"/>
  <c r="U631" i="3"/>
  <c r="Y630" i="3"/>
  <c r="D632" i="3" l="1"/>
  <c r="G632" i="3" s="1"/>
  <c r="E632" i="3"/>
  <c r="H632" i="3" s="1"/>
  <c r="K632" i="3" s="1"/>
  <c r="AE632" i="3" s="1"/>
  <c r="AG632" i="3"/>
  <c r="AH632" i="3"/>
  <c r="F632" i="3" l="1"/>
  <c r="I632" i="3"/>
  <c r="J632" i="3"/>
  <c r="M632" i="3"/>
  <c r="N632" i="3" s="1"/>
  <c r="V632" i="3"/>
  <c r="A633" i="3"/>
  <c r="B633" i="3" s="1"/>
  <c r="W632" i="3" l="1"/>
  <c r="L632" i="3"/>
  <c r="AD633" i="3"/>
  <c r="Z633" i="3"/>
  <c r="AC633" i="3"/>
  <c r="P633" i="3"/>
  <c r="Q633" i="3" s="1"/>
  <c r="R633" i="3" s="1"/>
  <c r="S633" i="3" s="1"/>
  <c r="AA633" i="3"/>
  <c r="U632" i="3" l="1"/>
  <c r="Y631" i="3"/>
  <c r="T633" i="3"/>
  <c r="AG633" i="3" s="1"/>
  <c r="D633" i="3" l="1"/>
  <c r="G633" i="3" s="1"/>
  <c r="E633" i="3"/>
  <c r="H633" i="3" s="1"/>
  <c r="K633" i="3" s="1"/>
  <c r="AE633" i="3" s="1"/>
  <c r="AH633" i="3"/>
  <c r="F633" i="3" l="1"/>
  <c r="V633" i="3"/>
  <c r="A634" i="3"/>
  <c r="B634" i="3" s="1"/>
  <c r="I633" i="3"/>
  <c r="J633" i="3"/>
  <c r="M633" i="3"/>
  <c r="N633" i="3" s="1"/>
  <c r="L633" i="3" l="1"/>
  <c r="W633" i="3"/>
  <c r="P634" i="3"/>
  <c r="Q634" i="3" s="1"/>
  <c r="R634" i="3" s="1"/>
  <c r="S634" i="3" s="1"/>
  <c r="AA634" i="3"/>
  <c r="AC634" i="3"/>
  <c r="Z634" i="3"/>
  <c r="U633" i="3" l="1"/>
  <c r="Y632" i="3"/>
  <c r="T634" i="3"/>
  <c r="AH634" i="3" s="1"/>
  <c r="E634" i="3" l="1"/>
  <c r="H634" i="3" s="1"/>
  <c r="K634" i="3" s="1"/>
  <c r="AE634" i="3" s="1"/>
  <c r="AG634" i="3"/>
  <c r="D634" i="3"/>
  <c r="F634" i="3" l="1"/>
  <c r="G634" i="3"/>
  <c r="V634" i="3"/>
  <c r="A635" i="3"/>
  <c r="B635" i="3" s="1"/>
  <c r="Z635" i="3" l="1"/>
  <c r="AA635" i="3"/>
  <c r="P635" i="3"/>
  <c r="Q635" i="3" s="1"/>
  <c r="R635" i="3" s="1"/>
  <c r="S635" i="3" s="1"/>
  <c r="AD635" i="3"/>
  <c r="AC635" i="3"/>
  <c r="I634" i="3"/>
  <c r="W634" i="3" s="1"/>
  <c r="J634" i="3"/>
  <c r="AD634" i="3" s="1"/>
  <c r="M634" i="3"/>
  <c r="N634" i="3" s="1"/>
  <c r="T635" i="3" l="1"/>
  <c r="L634" i="3"/>
  <c r="AH635" i="3" l="1"/>
  <c r="U634" i="3"/>
  <c r="D635" i="3" s="1"/>
  <c r="AG635" i="3"/>
  <c r="Y633" i="3"/>
  <c r="E635" i="3" l="1"/>
  <c r="H635" i="3" s="1"/>
  <c r="K635" i="3" s="1"/>
  <c r="AE635" i="3" s="1"/>
  <c r="G635" i="3"/>
  <c r="F635" i="3" l="1"/>
  <c r="I635" i="3"/>
  <c r="J635" i="3"/>
  <c r="M635" i="3"/>
  <c r="N635" i="3" s="1"/>
  <c r="V635" i="3"/>
  <c r="A636" i="3"/>
  <c r="B636" i="3" s="1"/>
  <c r="W635" i="3" l="1"/>
  <c r="L635" i="3"/>
  <c r="AC636" i="3"/>
  <c r="AD636" i="3"/>
  <c r="AA636" i="3"/>
  <c r="P636" i="3"/>
  <c r="Q636" i="3" s="1"/>
  <c r="R636" i="3" s="1"/>
  <c r="S636" i="3" s="1"/>
  <c r="Z636" i="3"/>
  <c r="U635" i="3" l="1"/>
  <c r="Y634" i="3"/>
  <c r="T636" i="3"/>
  <c r="AG636" i="3" s="1"/>
  <c r="AH636" i="3" l="1"/>
  <c r="D636" i="3"/>
  <c r="E636" i="3"/>
  <c r="H636" i="3" s="1"/>
  <c r="F636" i="3" l="1"/>
  <c r="G636" i="3"/>
  <c r="K636" i="3"/>
  <c r="AE636" i="3" s="1"/>
  <c r="I636" i="3" l="1"/>
  <c r="J636" i="3"/>
  <c r="M636" i="3"/>
  <c r="N636" i="3" s="1"/>
  <c r="V636" i="3"/>
  <c r="A637" i="3"/>
  <c r="B637" i="3" s="1"/>
  <c r="W636" i="3" l="1"/>
  <c r="L636" i="3"/>
  <c r="Z637" i="3"/>
  <c r="P637" i="3"/>
  <c r="Q637" i="3" s="1"/>
  <c r="R637" i="3" s="1"/>
  <c r="S637" i="3" s="1"/>
  <c r="AC637" i="3"/>
  <c r="AD637" i="3"/>
  <c r="AA637" i="3"/>
  <c r="U636" i="3" l="1"/>
  <c r="Y635" i="3"/>
  <c r="T637" i="3"/>
  <c r="AG637" i="3" s="1"/>
  <c r="D637" i="3" l="1"/>
  <c r="AH637" i="3"/>
  <c r="E637" i="3"/>
  <c r="H637" i="3" s="1"/>
  <c r="F637" i="3" l="1"/>
  <c r="G637" i="3"/>
  <c r="K637" i="3"/>
  <c r="AE637" i="3" s="1"/>
  <c r="I637" i="3" l="1"/>
  <c r="J637" i="3"/>
  <c r="M637" i="3"/>
  <c r="N637" i="3" s="1"/>
  <c r="V637" i="3"/>
  <c r="A638" i="3"/>
  <c r="B638" i="3" s="1"/>
  <c r="W637" i="3" l="1"/>
  <c r="L637" i="3"/>
  <c r="P638" i="3"/>
  <c r="Q638" i="3" s="1"/>
  <c r="R638" i="3" s="1"/>
  <c r="S638" i="3" s="1"/>
  <c r="AD638" i="3"/>
  <c r="AC638" i="3"/>
  <c r="AA638" i="3"/>
  <c r="Z638" i="3"/>
  <c r="T638" i="3" l="1"/>
  <c r="AG638" i="3" s="1"/>
  <c r="U637" i="3"/>
  <c r="Y636" i="3"/>
  <c r="D638" i="3" l="1"/>
  <c r="G638" i="3" s="1"/>
  <c r="E638" i="3"/>
  <c r="H638" i="3" s="1"/>
  <c r="AH638" i="3"/>
  <c r="F638" i="3" l="1"/>
  <c r="I638" i="3"/>
  <c r="J638" i="3"/>
  <c r="M638" i="3"/>
  <c r="N638" i="3" s="1"/>
  <c r="K638" i="3"/>
  <c r="AE638" i="3" s="1"/>
  <c r="V638" i="3" l="1"/>
  <c r="W638" i="3" s="1"/>
  <c r="A639" i="3"/>
  <c r="B639" i="3" s="1"/>
  <c r="L638" i="3"/>
  <c r="U638" i="3" l="1"/>
  <c r="Y637" i="3"/>
  <c r="AC639" i="3"/>
  <c r="P639" i="3"/>
  <c r="Q639" i="3" s="1"/>
  <c r="R639" i="3" s="1"/>
  <c r="S639" i="3" s="1"/>
  <c r="AA639" i="3"/>
  <c r="AD639" i="3"/>
  <c r="Z639" i="3"/>
  <c r="T639" i="3" l="1"/>
  <c r="D639" i="3" s="1"/>
  <c r="AG639" i="3" l="1"/>
  <c r="E639" i="3"/>
  <c r="H639" i="3" s="1"/>
  <c r="K639" i="3" s="1"/>
  <c r="AE639" i="3" s="1"/>
  <c r="AH639" i="3"/>
  <c r="G639" i="3"/>
  <c r="F639" i="3" l="1"/>
  <c r="V639" i="3"/>
  <c r="A640" i="3"/>
  <c r="B640" i="3" s="1"/>
  <c r="I639" i="3"/>
  <c r="J639" i="3"/>
  <c r="M639" i="3"/>
  <c r="N639" i="3" s="1"/>
  <c r="W639" i="3" l="1"/>
  <c r="L639" i="3"/>
  <c r="AD640" i="3"/>
  <c r="P640" i="3"/>
  <c r="Q640" i="3" s="1"/>
  <c r="R640" i="3" s="1"/>
  <c r="S640" i="3" s="1"/>
  <c r="AA640" i="3"/>
  <c r="AC640" i="3"/>
  <c r="Z640" i="3"/>
  <c r="U639" i="3" l="1"/>
  <c r="Y638" i="3"/>
  <c r="T640" i="3"/>
  <c r="E640" i="3" l="1"/>
  <c r="H640" i="3" s="1"/>
  <c r="K640" i="3" s="1"/>
  <c r="AE640" i="3" s="1"/>
  <c r="D640" i="3"/>
  <c r="AG640" i="3"/>
  <c r="AH640" i="3"/>
  <c r="F640" i="3" l="1"/>
  <c r="G640" i="3"/>
  <c r="V640" i="3"/>
  <c r="A641" i="3"/>
  <c r="B641" i="3" s="1"/>
  <c r="AC641" i="3" l="1"/>
  <c r="AA641" i="3"/>
  <c r="AD641" i="3"/>
  <c r="Z641" i="3"/>
  <c r="P641" i="3"/>
  <c r="Q641" i="3" s="1"/>
  <c r="R641" i="3" s="1"/>
  <c r="S641" i="3" s="1"/>
  <c r="I640" i="3"/>
  <c r="W640" i="3" s="1"/>
  <c r="J640" i="3"/>
  <c r="M640" i="3"/>
  <c r="N640" i="3" s="1"/>
  <c r="L640" i="3" l="1"/>
  <c r="T641" i="3"/>
  <c r="U640" i="3" l="1"/>
  <c r="E641" i="3" s="1"/>
  <c r="H641" i="3" s="1"/>
  <c r="AG641" i="3"/>
  <c r="AH641" i="3"/>
  <c r="Y639" i="3"/>
  <c r="K641" i="3" l="1"/>
  <c r="AE641" i="3" s="1"/>
  <c r="D641" i="3"/>
  <c r="V641" i="3" l="1"/>
  <c r="A642" i="3"/>
  <c r="B642" i="3" s="1"/>
  <c r="F641" i="3"/>
  <c r="G641" i="3"/>
  <c r="I641" i="3" l="1"/>
  <c r="W641" i="3" s="1"/>
  <c r="J641" i="3"/>
  <c r="M641" i="3"/>
  <c r="N641" i="3" s="1"/>
  <c r="Z642" i="3"/>
  <c r="AD642" i="3"/>
  <c r="P642" i="3"/>
  <c r="Q642" i="3" s="1"/>
  <c r="R642" i="3" s="1"/>
  <c r="S642" i="3" s="1"/>
  <c r="AC642" i="3"/>
  <c r="AA642" i="3"/>
  <c r="T642" i="3" l="1"/>
  <c r="L641" i="3"/>
  <c r="U641" i="3" l="1"/>
  <c r="D642" i="3" s="1"/>
  <c r="AG642" i="3"/>
  <c r="AH642" i="3"/>
  <c r="Y640" i="3"/>
  <c r="E642" i="3" l="1"/>
  <c r="H642" i="3" s="1"/>
  <c r="K642" i="3" s="1"/>
  <c r="AE642" i="3" s="1"/>
  <c r="G642" i="3"/>
  <c r="F642" i="3" l="1"/>
  <c r="I642" i="3"/>
  <c r="J642" i="3"/>
  <c r="M642" i="3"/>
  <c r="N642" i="3" s="1"/>
  <c r="V642" i="3"/>
  <c r="A643" i="3"/>
  <c r="B643" i="3" s="1"/>
  <c r="W642" i="3" l="1"/>
  <c r="L642" i="3"/>
  <c r="AA643" i="3"/>
  <c r="AD643" i="3"/>
  <c r="AC643" i="3"/>
  <c r="P643" i="3"/>
  <c r="Q643" i="3" s="1"/>
  <c r="R643" i="3" s="1"/>
  <c r="S643" i="3" s="1"/>
  <c r="Z643" i="3"/>
  <c r="U642" i="3" l="1"/>
  <c r="Y641" i="3"/>
  <c r="T643" i="3"/>
  <c r="AH643" i="3" s="1"/>
  <c r="AG643" i="3" l="1"/>
  <c r="E643" i="3"/>
  <c r="H643" i="3" s="1"/>
  <c r="K643" i="3" s="1"/>
  <c r="AE643" i="3" s="1"/>
  <c r="D643" i="3"/>
  <c r="F643" i="3" l="1"/>
  <c r="G643" i="3"/>
  <c r="M643" i="3" s="1"/>
  <c r="N643" i="3" s="1"/>
  <c r="V643" i="3"/>
  <c r="A644" i="3"/>
  <c r="B644" i="3" s="1"/>
  <c r="I643" i="3" l="1"/>
  <c r="W643" i="3" s="1"/>
  <c r="J643" i="3"/>
  <c r="L643" i="3" s="1"/>
  <c r="P644" i="3"/>
  <c r="Q644" i="3" s="1"/>
  <c r="R644" i="3" s="1"/>
  <c r="S644" i="3" s="1"/>
  <c r="AA644" i="3"/>
  <c r="AC644" i="3"/>
  <c r="Z644" i="3"/>
  <c r="U643" i="3" l="1"/>
  <c r="Y642" i="3"/>
  <c r="T644" i="3"/>
  <c r="AG644" i="3" s="1"/>
  <c r="AH644" i="3" l="1"/>
  <c r="D644" i="3"/>
  <c r="E644" i="3"/>
  <c r="H644" i="3" s="1"/>
  <c r="K644" i="3" l="1"/>
  <c r="AE644" i="3" s="1"/>
  <c r="F644" i="3"/>
  <c r="G644" i="3"/>
  <c r="I644" i="3" l="1"/>
  <c r="J644" i="3"/>
  <c r="AD644" i="3" s="1"/>
  <c r="M644" i="3"/>
  <c r="N644" i="3" s="1"/>
  <c r="V644" i="3"/>
  <c r="A645" i="3"/>
  <c r="B645" i="3" s="1"/>
  <c r="L644" i="3" l="1"/>
  <c r="W644" i="3"/>
  <c r="Z645" i="3"/>
  <c r="P645" i="3"/>
  <c r="Q645" i="3" s="1"/>
  <c r="R645" i="3" s="1"/>
  <c r="S645" i="3" s="1"/>
  <c r="AD645" i="3"/>
  <c r="AA645" i="3"/>
  <c r="AC645" i="3"/>
  <c r="U644" i="3" l="1"/>
  <c r="Y643" i="3"/>
  <c r="T645" i="3"/>
  <c r="AG645" i="3" s="1"/>
  <c r="D645" i="3" l="1"/>
  <c r="AH645" i="3"/>
  <c r="E645" i="3"/>
  <c r="H645" i="3" s="1"/>
  <c r="F645" i="3" l="1"/>
  <c r="G645" i="3"/>
  <c r="K645" i="3"/>
  <c r="AE645" i="3" s="1"/>
  <c r="I645" i="3" l="1"/>
  <c r="J645" i="3"/>
  <c r="M645" i="3"/>
  <c r="N645" i="3" s="1"/>
  <c r="V645" i="3"/>
  <c r="A646" i="3"/>
  <c r="B646" i="3" s="1"/>
  <c r="W645" i="3" l="1"/>
  <c r="L645" i="3"/>
  <c r="AA646" i="3"/>
  <c r="Z646" i="3"/>
  <c r="AC646" i="3"/>
  <c r="AD646" i="3"/>
  <c r="P646" i="3"/>
  <c r="Q646" i="3" s="1"/>
  <c r="R646" i="3" s="1"/>
  <c r="S646" i="3" s="1"/>
  <c r="U645" i="3" l="1"/>
  <c r="Y644" i="3"/>
  <c r="T646" i="3"/>
  <c r="AG646" i="3" s="1"/>
  <c r="E646" i="3" l="1"/>
  <c r="H646" i="3" s="1"/>
  <c r="D646" i="3"/>
  <c r="AH646" i="3"/>
  <c r="F646" i="3" l="1"/>
  <c r="G646" i="3"/>
  <c r="K646" i="3"/>
  <c r="AE646" i="3" s="1"/>
  <c r="I646" i="3" l="1"/>
  <c r="J646" i="3"/>
  <c r="M646" i="3"/>
  <c r="N646" i="3" s="1"/>
  <c r="V646" i="3"/>
  <c r="A647" i="3"/>
  <c r="B647" i="3" s="1"/>
  <c r="L646" i="3" l="1"/>
  <c r="W646" i="3"/>
  <c r="P647" i="3"/>
  <c r="Q647" i="3" s="1"/>
  <c r="R647" i="3" s="1"/>
  <c r="S647" i="3" s="1"/>
  <c r="AC647" i="3"/>
  <c r="AA647" i="3"/>
  <c r="AD647" i="3"/>
  <c r="Z647" i="3"/>
  <c r="U646" i="3" l="1"/>
  <c r="Y645" i="3"/>
  <c r="T647" i="3"/>
  <c r="AG647" i="3" s="1"/>
  <c r="E647" i="3" l="1"/>
  <c r="H647" i="3" s="1"/>
  <c r="D647" i="3"/>
  <c r="AH647" i="3"/>
  <c r="F647" i="3" l="1"/>
  <c r="G647" i="3"/>
  <c r="K647" i="3"/>
  <c r="AE647" i="3" s="1"/>
  <c r="V647" i="3" l="1"/>
  <c r="A648" i="3"/>
  <c r="B648" i="3" s="1"/>
  <c r="I647" i="3"/>
  <c r="J647" i="3"/>
  <c r="M647" i="3"/>
  <c r="N647" i="3" s="1"/>
  <c r="W647" i="3" l="1"/>
  <c r="L647" i="3"/>
  <c r="AC648" i="3"/>
  <c r="AA648" i="3"/>
  <c r="P648" i="3"/>
  <c r="Q648" i="3" s="1"/>
  <c r="R648" i="3" s="1"/>
  <c r="S648" i="3" s="1"/>
  <c r="Z648" i="3"/>
  <c r="AD648" i="3"/>
  <c r="T648" i="3" l="1"/>
  <c r="AH648" i="3" s="1"/>
  <c r="U647" i="3"/>
  <c r="Y646" i="3"/>
  <c r="D648" i="3" l="1"/>
  <c r="AG648" i="3"/>
  <c r="E648" i="3"/>
  <c r="H648" i="3" s="1"/>
  <c r="F648" i="3" l="1"/>
  <c r="G648" i="3"/>
  <c r="K648" i="3"/>
  <c r="AE648" i="3" s="1"/>
  <c r="I648" i="3" l="1"/>
  <c r="J648" i="3"/>
  <c r="M648" i="3"/>
  <c r="N648" i="3" s="1"/>
  <c r="V648" i="3"/>
  <c r="A649" i="3"/>
  <c r="B649" i="3" s="1"/>
  <c r="W648" i="3" l="1"/>
  <c r="L648" i="3"/>
  <c r="AC649" i="3"/>
  <c r="AA649" i="3"/>
  <c r="AD649" i="3"/>
  <c r="P649" i="3"/>
  <c r="Q649" i="3" s="1"/>
  <c r="R649" i="3" s="1"/>
  <c r="S649" i="3" s="1"/>
  <c r="Z649" i="3"/>
  <c r="U648" i="3" l="1"/>
  <c r="Y647" i="3"/>
  <c r="T649" i="3"/>
  <c r="E649" i="3" l="1"/>
  <c r="H649" i="3" s="1"/>
  <c r="K649" i="3" s="1"/>
  <c r="AE649" i="3" s="1"/>
  <c r="D649" i="3"/>
  <c r="AH649" i="3"/>
  <c r="AG649" i="3"/>
  <c r="V649" i="3" l="1"/>
  <c r="A650" i="3"/>
  <c r="B650" i="3" s="1"/>
  <c r="F649" i="3"/>
  <c r="G649" i="3"/>
  <c r="I649" i="3" l="1"/>
  <c r="W649" i="3" s="1"/>
  <c r="J649" i="3"/>
  <c r="M649" i="3"/>
  <c r="N649" i="3" s="1"/>
  <c r="AA650" i="3"/>
  <c r="P650" i="3"/>
  <c r="Q650" i="3" s="1"/>
  <c r="R650" i="3" s="1"/>
  <c r="S650" i="3" s="1"/>
  <c r="Z650" i="3"/>
  <c r="AD650" i="3"/>
  <c r="AC650" i="3"/>
  <c r="L649" i="3" l="1"/>
  <c r="T650" i="3"/>
  <c r="U649" i="3" l="1"/>
  <c r="E650" i="3" s="1"/>
  <c r="H650" i="3" s="1"/>
  <c r="AG650" i="3"/>
  <c r="AH650" i="3"/>
  <c r="Y648" i="3"/>
  <c r="K650" i="3" l="1"/>
  <c r="AE650" i="3" s="1"/>
  <c r="D650" i="3"/>
  <c r="V650" i="3" l="1"/>
  <c r="A651" i="3"/>
  <c r="B651" i="3" s="1"/>
  <c r="F650" i="3"/>
  <c r="G650" i="3"/>
  <c r="I650" i="3" l="1"/>
  <c r="W650" i="3" s="1"/>
  <c r="J650" i="3"/>
  <c r="M650" i="3"/>
  <c r="N650" i="3" s="1"/>
  <c r="Z651" i="3"/>
  <c r="AC651" i="3"/>
  <c r="P651" i="3"/>
  <c r="Q651" i="3" s="1"/>
  <c r="R651" i="3" s="1"/>
  <c r="S651" i="3" s="1"/>
  <c r="AA651" i="3"/>
  <c r="AD651" i="3"/>
  <c r="T651" i="3" l="1"/>
  <c r="L650" i="3"/>
  <c r="AH651" i="3" l="1"/>
  <c r="U650" i="3"/>
  <c r="E651" i="3" s="1"/>
  <c r="H651" i="3" s="1"/>
  <c r="AG651" i="3"/>
  <c r="Y649" i="3"/>
  <c r="D651" i="3" l="1"/>
  <c r="G651" i="3" s="1"/>
  <c r="K651" i="3"/>
  <c r="AE651" i="3" s="1"/>
  <c r="F651" i="3" l="1"/>
  <c r="I651" i="3"/>
  <c r="J651" i="3"/>
  <c r="M651" i="3"/>
  <c r="N651" i="3" s="1"/>
  <c r="V651" i="3"/>
  <c r="A652" i="3"/>
  <c r="B652" i="3" s="1"/>
  <c r="W651" i="3" l="1"/>
  <c r="L651" i="3"/>
  <c r="P652" i="3"/>
  <c r="Q652" i="3" s="1"/>
  <c r="R652" i="3" s="1"/>
  <c r="S652" i="3" s="1"/>
  <c r="AC652" i="3"/>
  <c r="AA652" i="3"/>
  <c r="Z652" i="3"/>
  <c r="AD652" i="3"/>
  <c r="U651" i="3" l="1"/>
  <c r="Y650" i="3"/>
  <c r="T652" i="3"/>
  <c r="E652" i="3" l="1"/>
  <c r="H652" i="3" s="1"/>
  <c r="K652" i="3" s="1"/>
  <c r="AE652" i="3" s="1"/>
  <c r="AH652" i="3"/>
  <c r="AG652" i="3"/>
  <c r="D652" i="3"/>
  <c r="G652" i="3" s="1"/>
  <c r="F652" i="3" l="1"/>
  <c r="V652" i="3"/>
  <c r="A653" i="3"/>
  <c r="B653" i="3" s="1"/>
  <c r="I652" i="3"/>
  <c r="J652" i="3"/>
  <c r="M652" i="3"/>
  <c r="N652" i="3" s="1"/>
  <c r="W652" i="3" l="1"/>
  <c r="L652" i="3"/>
  <c r="Z653" i="3"/>
  <c r="AA653" i="3"/>
  <c r="P653" i="3"/>
  <c r="Q653" i="3" s="1"/>
  <c r="R653" i="3" s="1"/>
  <c r="S653" i="3" s="1"/>
  <c r="AD653" i="3"/>
  <c r="AC653" i="3"/>
  <c r="T653" i="3" l="1"/>
  <c r="AG653" i="3" s="1"/>
  <c r="U652" i="3"/>
  <c r="Y651" i="3"/>
  <c r="AH653" i="3" l="1"/>
  <c r="E653" i="3"/>
  <c r="H653" i="3" s="1"/>
  <c r="D653" i="3"/>
  <c r="K653" i="3" l="1"/>
  <c r="AE653" i="3" s="1"/>
  <c r="F653" i="3"/>
  <c r="G653" i="3"/>
  <c r="V653" i="3" l="1"/>
  <c r="A654" i="3"/>
  <c r="B654" i="3" s="1"/>
  <c r="I653" i="3"/>
  <c r="J653" i="3"/>
  <c r="M653" i="3"/>
  <c r="N653" i="3" s="1"/>
  <c r="W653" i="3" l="1"/>
  <c r="L653" i="3"/>
  <c r="Z654" i="3"/>
  <c r="P654" i="3"/>
  <c r="Q654" i="3" s="1"/>
  <c r="R654" i="3" s="1"/>
  <c r="S654" i="3" s="1"/>
  <c r="AC654" i="3"/>
  <c r="AA654" i="3"/>
  <c r="T654" i="3" l="1"/>
  <c r="AG654" i="3" s="1"/>
  <c r="U653" i="3"/>
  <c r="Y652" i="3"/>
  <c r="AH654" i="3" l="1"/>
  <c r="E654" i="3"/>
  <c r="H654" i="3" s="1"/>
  <c r="D654" i="3"/>
  <c r="K654" i="3" l="1"/>
  <c r="AE654" i="3" s="1"/>
  <c r="F654" i="3"/>
  <c r="G654" i="3"/>
  <c r="V654" i="3" l="1"/>
  <c r="A655" i="3"/>
  <c r="B655" i="3" s="1"/>
  <c r="I654" i="3"/>
  <c r="J654" i="3"/>
  <c r="AD654" i="3" s="1"/>
  <c r="M654" i="3"/>
  <c r="N654" i="3" s="1"/>
  <c r="L654" i="3" l="1"/>
  <c r="AD655" i="3"/>
  <c r="AC655" i="3"/>
  <c r="P655" i="3"/>
  <c r="Q655" i="3" s="1"/>
  <c r="R655" i="3" s="1"/>
  <c r="S655" i="3" s="1"/>
  <c r="Z655" i="3"/>
  <c r="AA655" i="3"/>
  <c r="W654" i="3"/>
  <c r="U654" i="3" l="1"/>
  <c r="Y653" i="3"/>
  <c r="T655" i="3"/>
  <c r="AH655" i="3" s="1"/>
  <c r="AG655" i="3" l="1"/>
  <c r="D655" i="3"/>
  <c r="E655" i="3"/>
  <c r="H655" i="3" s="1"/>
  <c r="K655" i="3" l="1"/>
  <c r="AE655" i="3" s="1"/>
  <c r="F655" i="3"/>
  <c r="G655" i="3"/>
  <c r="V655" i="3" l="1"/>
  <c r="A656" i="3"/>
  <c r="B656" i="3" s="1"/>
  <c r="I655" i="3"/>
  <c r="J655" i="3"/>
  <c r="M655" i="3"/>
  <c r="N655" i="3" s="1"/>
  <c r="W655" i="3" l="1"/>
  <c r="L655" i="3"/>
  <c r="Z656" i="3"/>
  <c r="AA656" i="3"/>
  <c r="AD656" i="3"/>
  <c r="AC656" i="3"/>
  <c r="P656" i="3"/>
  <c r="Q656" i="3" s="1"/>
  <c r="R656" i="3" s="1"/>
  <c r="S656" i="3" s="1"/>
  <c r="T656" i="3" l="1"/>
  <c r="U655" i="3"/>
  <c r="Y654" i="3"/>
  <c r="E656" i="3" l="1"/>
  <c r="H656" i="3" s="1"/>
  <c r="K656" i="3" s="1"/>
  <c r="AE656" i="3" s="1"/>
  <c r="AH656" i="3"/>
  <c r="D656" i="3"/>
  <c r="AG656" i="3"/>
  <c r="F656" i="3" l="1"/>
  <c r="G656" i="3"/>
  <c r="V656" i="3"/>
  <c r="A657" i="3"/>
  <c r="B657" i="3" s="1"/>
  <c r="I656" i="3" l="1"/>
  <c r="W656" i="3" s="1"/>
  <c r="J656" i="3"/>
  <c r="M656" i="3"/>
  <c r="N656" i="3" s="1"/>
  <c r="AC657" i="3"/>
  <c r="AD657" i="3"/>
  <c r="P657" i="3"/>
  <c r="Q657" i="3" s="1"/>
  <c r="R657" i="3" s="1"/>
  <c r="S657" i="3" s="1"/>
  <c r="AA657" i="3"/>
  <c r="Z657" i="3"/>
  <c r="L656" i="3" l="1"/>
  <c r="T657" i="3"/>
  <c r="AH657" i="3" l="1"/>
  <c r="U656" i="3"/>
  <c r="E657" i="3" s="1"/>
  <c r="H657" i="3" s="1"/>
  <c r="AG657" i="3"/>
  <c r="Y655" i="3"/>
  <c r="D657" i="3" l="1"/>
  <c r="G657" i="3" s="1"/>
  <c r="K657" i="3"/>
  <c r="AE657" i="3" s="1"/>
  <c r="F657" i="3" l="1"/>
  <c r="I657" i="3"/>
  <c r="J657" i="3"/>
  <c r="M657" i="3"/>
  <c r="N657" i="3" s="1"/>
  <c r="V657" i="3"/>
  <c r="A658" i="3"/>
  <c r="B658" i="3" s="1"/>
  <c r="W657" i="3" l="1"/>
  <c r="L657" i="3"/>
  <c r="AC658" i="3"/>
  <c r="Z658" i="3"/>
  <c r="AD658" i="3"/>
  <c r="AA658" i="3"/>
  <c r="P658" i="3"/>
  <c r="Q658" i="3" s="1"/>
  <c r="R658" i="3" s="1"/>
  <c r="S658" i="3" s="1"/>
  <c r="U657" i="3" l="1"/>
  <c r="Y656" i="3"/>
  <c r="T658" i="3"/>
  <c r="AG658" i="3" s="1"/>
  <c r="E658" i="3" l="1"/>
  <c r="H658" i="3" s="1"/>
  <c r="D658" i="3"/>
  <c r="AH658" i="3"/>
  <c r="K658" i="3" l="1"/>
  <c r="AE658" i="3" s="1"/>
  <c r="F658" i="3"/>
  <c r="G658" i="3"/>
  <c r="I658" i="3" l="1"/>
  <c r="J658" i="3"/>
  <c r="M658" i="3"/>
  <c r="N658" i="3" s="1"/>
  <c r="V658" i="3"/>
  <c r="A659" i="3"/>
  <c r="B659" i="3" s="1"/>
  <c r="W658" i="3" l="1"/>
  <c r="L658" i="3"/>
  <c r="AA659" i="3"/>
  <c r="P659" i="3"/>
  <c r="Q659" i="3" s="1"/>
  <c r="R659" i="3" s="1"/>
  <c r="S659" i="3" s="1"/>
  <c r="Z659" i="3"/>
  <c r="AD659" i="3"/>
  <c r="AC659" i="3"/>
  <c r="U658" i="3" l="1"/>
  <c r="Y657" i="3"/>
  <c r="T659" i="3"/>
  <c r="AH659" i="3" s="1"/>
  <c r="E659" i="3" l="1"/>
  <c r="H659" i="3" s="1"/>
  <c r="K659" i="3" s="1"/>
  <c r="AE659" i="3" s="1"/>
  <c r="AG659" i="3"/>
  <c r="D659" i="3"/>
  <c r="G659" i="3" s="1"/>
  <c r="F659" i="3" l="1"/>
  <c r="I659" i="3"/>
  <c r="J659" i="3"/>
  <c r="M659" i="3"/>
  <c r="N659" i="3" s="1"/>
  <c r="V659" i="3"/>
  <c r="A660" i="3"/>
  <c r="B660" i="3" s="1"/>
  <c r="W659" i="3" l="1"/>
  <c r="L659" i="3"/>
  <c r="AA660" i="3"/>
  <c r="P660" i="3"/>
  <c r="Q660" i="3" s="1"/>
  <c r="R660" i="3" s="1"/>
  <c r="S660" i="3" s="1"/>
  <c r="AC660" i="3"/>
  <c r="AD660" i="3"/>
  <c r="Z660" i="3"/>
  <c r="T660" i="3" l="1"/>
  <c r="AH660" i="3" s="1"/>
  <c r="U659" i="3"/>
  <c r="Y658" i="3"/>
  <c r="AG660" i="3" l="1"/>
  <c r="D660" i="3"/>
  <c r="E660" i="3"/>
  <c r="H660" i="3" s="1"/>
  <c r="K660" i="3" l="1"/>
  <c r="AE660" i="3" s="1"/>
  <c r="F660" i="3"/>
  <c r="G660" i="3"/>
  <c r="I660" i="3" l="1"/>
  <c r="J660" i="3"/>
  <c r="M660" i="3"/>
  <c r="N660" i="3" s="1"/>
  <c r="V660" i="3"/>
  <c r="A661" i="3"/>
  <c r="B661" i="3" s="1"/>
  <c r="L660" i="3" l="1"/>
  <c r="W660" i="3"/>
  <c r="Z661" i="3"/>
  <c r="P661" i="3"/>
  <c r="Q661" i="3" s="1"/>
  <c r="R661" i="3" s="1"/>
  <c r="S661" i="3" s="1"/>
  <c r="AA661" i="3"/>
  <c r="AD661" i="3"/>
  <c r="AC661" i="3"/>
  <c r="T661" i="3" l="1"/>
  <c r="U660" i="3"/>
  <c r="Y659" i="3"/>
  <c r="E661" i="3" l="1"/>
  <c r="H661" i="3" s="1"/>
  <c r="K661" i="3" s="1"/>
  <c r="AE661" i="3" s="1"/>
  <c r="D661" i="3"/>
  <c r="AH661" i="3"/>
  <c r="AG661" i="3"/>
  <c r="V661" i="3" l="1"/>
  <c r="A662" i="3"/>
  <c r="B662" i="3" s="1"/>
  <c r="F661" i="3"/>
  <c r="G661" i="3"/>
  <c r="I661" i="3" l="1"/>
  <c r="W661" i="3" s="1"/>
  <c r="J661" i="3"/>
  <c r="M661" i="3"/>
  <c r="N661" i="3" s="1"/>
  <c r="P662" i="3"/>
  <c r="Q662" i="3" s="1"/>
  <c r="R662" i="3" s="1"/>
  <c r="S662" i="3" s="1"/>
  <c r="Z662" i="3"/>
  <c r="AD662" i="3"/>
  <c r="AA662" i="3"/>
  <c r="AC662" i="3"/>
  <c r="T662" i="3" l="1"/>
  <c r="L661" i="3"/>
  <c r="AH662" i="3" l="1"/>
  <c r="AG662" i="3"/>
  <c r="U661" i="3"/>
  <c r="E662" i="3" s="1"/>
  <c r="H662" i="3" s="1"/>
  <c r="Y660" i="3"/>
  <c r="D662" i="3" l="1"/>
  <c r="F662" i="3" s="1"/>
  <c r="K662" i="3"/>
  <c r="AE662" i="3" s="1"/>
  <c r="G662" i="3" l="1"/>
  <c r="I662" i="3" s="1"/>
  <c r="V662" i="3"/>
  <c r="A663" i="3"/>
  <c r="B663" i="3" s="1"/>
  <c r="J662" i="3" l="1"/>
  <c r="L662" i="3" s="1"/>
  <c r="M662" i="3"/>
  <c r="N662" i="3" s="1"/>
  <c r="W662" i="3"/>
  <c r="AA663" i="3"/>
  <c r="Z663" i="3"/>
  <c r="P663" i="3"/>
  <c r="Q663" i="3" s="1"/>
  <c r="R663" i="3" s="1"/>
  <c r="S663" i="3" s="1"/>
  <c r="AC663" i="3"/>
  <c r="AD663" i="3"/>
  <c r="U662" i="3" l="1"/>
  <c r="Y661" i="3"/>
  <c r="T663" i="3"/>
  <c r="E663" i="3" l="1"/>
  <c r="H663" i="3" s="1"/>
  <c r="K663" i="3" s="1"/>
  <c r="AE663" i="3" s="1"/>
  <c r="AG663" i="3"/>
  <c r="AH663" i="3"/>
  <c r="D663" i="3"/>
  <c r="F663" i="3" l="1"/>
  <c r="G663" i="3"/>
  <c r="V663" i="3"/>
  <c r="A664" i="3"/>
  <c r="B664" i="3" s="1"/>
  <c r="P664" i="3" l="1"/>
  <c r="Q664" i="3" s="1"/>
  <c r="R664" i="3" s="1"/>
  <c r="S664" i="3" s="1"/>
  <c r="AA664" i="3"/>
  <c r="AC664" i="3"/>
  <c r="Z664" i="3"/>
  <c r="I663" i="3"/>
  <c r="W663" i="3" s="1"/>
  <c r="J663" i="3"/>
  <c r="M663" i="3"/>
  <c r="N663" i="3" s="1"/>
  <c r="T664" i="3" l="1"/>
  <c r="L663" i="3"/>
  <c r="AH664" i="3" l="1"/>
  <c r="U663" i="3"/>
  <c r="E664" i="3" s="1"/>
  <c r="H664" i="3" s="1"/>
  <c r="AG664" i="3"/>
  <c r="Y662" i="3"/>
  <c r="D664" i="3" l="1"/>
  <c r="G664" i="3" s="1"/>
  <c r="K664" i="3"/>
  <c r="AE664" i="3" s="1"/>
  <c r="F664" i="3" l="1"/>
  <c r="I664" i="3"/>
  <c r="J664" i="3"/>
  <c r="AD664" i="3" s="1"/>
  <c r="M664" i="3"/>
  <c r="N664" i="3" s="1"/>
  <c r="V664" i="3"/>
  <c r="A665" i="3"/>
  <c r="B665" i="3" s="1"/>
  <c r="W664" i="3" l="1"/>
  <c r="L664" i="3"/>
  <c r="AC665" i="3"/>
  <c r="P665" i="3"/>
  <c r="Q665" i="3" s="1"/>
  <c r="R665" i="3" s="1"/>
  <c r="S665" i="3" s="1"/>
  <c r="AA665" i="3"/>
  <c r="Z665" i="3"/>
  <c r="AD665" i="3"/>
  <c r="U664" i="3" l="1"/>
  <c r="Y663" i="3"/>
  <c r="T665" i="3"/>
  <c r="D665" i="3" l="1"/>
  <c r="G665" i="3" s="1"/>
  <c r="AG665" i="3"/>
  <c r="E665" i="3"/>
  <c r="H665" i="3" s="1"/>
  <c r="AH665" i="3"/>
  <c r="F665" i="3" l="1"/>
  <c r="I665" i="3"/>
  <c r="J665" i="3"/>
  <c r="M665" i="3"/>
  <c r="N665" i="3" s="1"/>
  <c r="K665" i="3"/>
  <c r="AE665" i="3" s="1"/>
  <c r="L665" i="3" l="1"/>
  <c r="V665" i="3"/>
  <c r="W665" i="3" s="1"/>
  <c r="A666" i="3"/>
  <c r="B666" i="3" s="1"/>
  <c r="U665" i="3" l="1"/>
  <c r="Y664" i="3"/>
  <c r="AA666" i="3"/>
  <c r="AD666" i="3"/>
  <c r="P666" i="3"/>
  <c r="Q666" i="3" s="1"/>
  <c r="R666" i="3" s="1"/>
  <c r="S666" i="3" s="1"/>
  <c r="Z666" i="3"/>
  <c r="AC666" i="3"/>
  <c r="T666" i="3" l="1"/>
  <c r="D666" i="3" s="1"/>
  <c r="AG666" i="3" l="1"/>
  <c r="E666" i="3"/>
  <c r="H666" i="3" s="1"/>
  <c r="K666" i="3" s="1"/>
  <c r="AE666" i="3" s="1"/>
  <c r="AH666" i="3"/>
  <c r="G666" i="3"/>
  <c r="F666" i="3" l="1"/>
  <c r="I666" i="3"/>
  <c r="J666" i="3"/>
  <c r="M666" i="3"/>
  <c r="N666" i="3" s="1"/>
  <c r="V666" i="3"/>
  <c r="A667" i="3"/>
  <c r="B667" i="3" s="1"/>
  <c r="L666" i="3" l="1"/>
  <c r="W666" i="3"/>
  <c r="AC667" i="3"/>
  <c r="Z667" i="3"/>
  <c r="P667" i="3"/>
  <c r="Q667" i="3" s="1"/>
  <c r="R667" i="3" s="1"/>
  <c r="S667" i="3" s="1"/>
  <c r="AD667" i="3"/>
  <c r="AA667" i="3"/>
  <c r="U666" i="3" l="1"/>
  <c r="Y665" i="3"/>
  <c r="T667" i="3"/>
  <c r="AG667" i="3" s="1"/>
  <c r="D667" i="3" l="1"/>
  <c r="E667" i="3"/>
  <c r="H667" i="3" s="1"/>
  <c r="AH667" i="3"/>
  <c r="F667" i="3" l="1"/>
  <c r="G667" i="3"/>
  <c r="K667" i="3"/>
  <c r="AE667" i="3" s="1"/>
  <c r="I667" i="3" l="1"/>
  <c r="J667" i="3"/>
  <c r="M667" i="3"/>
  <c r="N667" i="3" s="1"/>
  <c r="V667" i="3"/>
  <c r="A668" i="3"/>
  <c r="B668" i="3" s="1"/>
  <c r="W667" i="3" l="1"/>
  <c r="L667" i="3"/>
  <c r="Z668" i="3"/>
  <c r="P668" i="3"/>
  <c r="Q668" i="3" s="1"/>
  <c r="R668" i="3" s="1"/>
  <c r="S668" i="3" s="1"/>
  <c r="AD668" i="3"/>
  <c r="AC668" i="3"/>
  <c r="AA668" i="3"/>
  <c r="T668" i="3" l="1"/>
  <c r="AH668" i="3" s="1"/>
  <c r="U667" i="3"/>
  <c r="Y666" i="3"/>
  <c r="D668" i="3" l="1"/>
  <c r="G668" i="3" s="1"/>
  <c r="AG668" i="3"/>
  <c r="E668" i="3"/>
  <c r="H668" i="3" s="1"/>
  <c r="F668" i="3" l="1"/>
  <c r="I668" i="3"/>
  <c r="J668" i="3"/>
  <c r="M668" i="3"/>
  <c r="N668" i="3" s="1"/>
  <c r="K668" i="3"/>
  <c r="AE668" i="3" s="1"/>
  <c r="L668" i="3" l="1"/>
  <c r="V668" i="3"/>
  <c r="W668" i="3" s="1"/>
  <c r="A669" i="3"/>
  <c r="B669" i="3" s="1"/>
  <c r="AA669" i="3" l="1"/>
  <c r="P669" i="3"/>
  <c r="Q669" i="3" s="1"/>
  <c r="R669" i="3" s="1"/>
  <c r="S669" i="3" s="1"/>
  <c r="AD669" i="3"/>
  <c r="AC669" i="3"/>
  <c r="Z669" i="3"/>
  <c r="U668" i="3"/>
  <c r="Y667" i="3"/>
  <c r="T669" i="3" l="1"/>
  <c r="AH669" i="3" l="1"/>
  <c r="AG669" i="3"/>
  <c r="D669" i="3"/>
  <c r="E669" i="3"/>
  <c r="H669" i="3" s="1"/>
  <c r="F669" i="3" l="1"/>
  <c r="G669" i="3"/>
  <c r="K669" i="3"/>
  <c r="AE669" i="3" s="1"/>
  <c r="V669" i="3" l="1"/>
  <c r="A670" i="3"/>
  <c r="B670" i="3" s="1"/>
  <c r="I669" i="3"/>
  <c r="J669" i="3"/>
  <c r="M669" i="3"/>
  <c r="N669" i="3" s="1"/>
  <c r="L669" i="3" l="1"/>
  <c r="W669" i="3"/>
  <c r="AD670" i="3"/>
  <c r="P670" i="3"/>
  <c r="Q670" i="3" s="1"/>
  <c r="R670" i="3" s="1"/>
  <c r="S670" i="3" s="1"/>
  <c r="AA670" i="3"/>
  <c r="Z670" i="3"/>
  <c r="AC670" i="3"/>
  <c r="T670" i="3" l="1"/>
  <c r="U669" i="3"/>
  <c r="Y668" i="3"/>
  <c r="E670" i="3" l="1"/>
  <c r="H670" i="3" s="1"/>
  <c r="K670" i="3" s="1"/>
  <c r="AE670" i="3" s="1"/>
  <c r="AH670" i="3"/>
  <c r="AG670" i="3"/>
  <c r="D670" i="3"/>
  <c r="V670" i="3" l="1"/>
  <c r="A671" i="3"/>
  <c r="B671" i="3" s="1"/>
  <c r="F670" i="3"/>
  <c r="G670" i="3"/>
  <c r="I670" i="3" l="1"/>
  <c r="W670" i="3" s="1"/>
  <c r="J670" i="3"/>
  <c r="M670" i="3"/>
  <c r="N670" i="3" s="1"/>
  <c r="AC671" i="3"/>
  <c r="Z671" i="3"/>
  <c r="AD671" i="3"/>
  <c r="AA671" i="3"/>
  <c r="P671" i="3"/>
  <c r="Q671" i="3" s="1"/>
  <c r="R671" i="3" s="1"/>
  <c r="S671" i="3" s="1"/>
  <c r="T671" i="3" l="1"/>
  <c r="L670" i="3"/>
  <c r="U670" i="3" l="1"/>
  <c r="E671" i="3" s="1"/>
  <c r="H671" i="3" s="1"/>
  <c r="AG671" i="3"/>
  <c r="AH671" i="3"/>
  <c r="Y669" i="3"/>
  <c r="D671" i="3" l="1"/>
  <c r="G671" i="3" s="1"/>
  <c r="K671" i="3"/>
  <c r="AE671" i="3" s="1"/>
  <c r="F671" i="3" l="1"/>
  <c r="V671" i="3"/>
  <c r="A672" i="3"/>
  <c r="B672" i="3" s="1"/>
  <c r="I671" i="3"/>
  <c r="J671" i="3"/>
  <c r="M671" i="3"/>
  <c r="N671" i="3" s="1"/>
  <c r="W671" i="3" l="1"/>
  <c r="L671" i="3"/>
  <c r="AD672" i="3"/>
  <c r="P672" i="3"/>
  <c r="Q672" i="3" s="1"/>
  <c r="R672" i="3" s="1"/>
  <c r="S672" i="3" s="1"/>
  <c r="AC672" i="3"/>
  <c r="Z672" i="3"/>
  <c r="AA672" i="3"/>
  <c r="T672" i="3" l="1"/>
  <c r="AG672" i="3" s="1"/>
  <c r="U671" i="3"/>
  <c r="Y670" i="3"/>
  <c r="E672" i="3" l="1"/>
  <c r="H672" i="3" s="1"/>
  <c r="K672" i="3" s="1"/>
  <c r="AE672" i="3" s="1"/>
  <c r="D672" i="3"/>
  <c r="AH672" i="3"/>
  <c r="F672" i="3" l="1"/>
  <c r="G672" i="3"/>
  <c r="V672" i="3"/>
  <c r="A673" i="3"/>
  <c r="B673" i="3" s="1"/>
  <c r="AC673" i="3" l="1"/>
  <c r="AA673" i="3"/>
  <c r="P673" i="3"/>
  <c r="Q673" i="3" s="1"/>
  <c r="R673" i="3" s="1"/>
  <c r="S673" i="3" s="1"/>
  <c r="AD673" i="3"/>
  <c r="Z673" i="3"/>
  <c r="I672" i="3"/>
  <c r="W672" i="3" s="1"/>
  <c r="J672" i="3"/>
  <c r="M672" i="3"/>
  <c r="N672" i="3" s="1"/>
  <c r="L672" i="3" l="1"/>
  <c r="T673" i="3"/>
  <c r="AH673" i="3" l="1"/>
  <c r="AG673" i="3"/>
  <c r="U672" i="3"/>
  <c r="E673" i="3" s="1"/>
  <c r="H673" i="3" s="1"/>
  <c r="Y671" i="3"/>
  <c r="K673" i="3" l="1"/>
  <c r="AE673" i="3" s="1"/>
  <c r="D673" i="3"/>
  <c r="V673" i="3" l="1"/>
  <c r="A674" i="3"/>
  <c r="B674" i="3" s="1"/>
  <c r="F673" i="3"/>
  <c r="G673" i="3"/>
  <c r="I673" i="3" l="1"/>
  <c r="W673" i="3" s="1"/>
  <c r="J673" i="3"/>
  <c r="M673" i="3"/>
  <c r="N673" i="3" s="1"/>
  <c r="P674" i="3"/>
  <c r="Q674" i="3" s="1"/>
  <c r="R674" i="3" s="1"/>
  <c r="S674" i="3" s="1"/>
  <c r="AA674" i="3"/>
  <c r="Z674" i="3"/>
  <c r="AC674" i="3"/>
  <c r="T674" i="3" l="1"/>
  <c r="L673" i="3"/>
  <c r="AH674" i="3" l="1"/>
  <c r="U673" i="3"/>
  <c r="E674" i="3" s="1"/>
  <c r="H674" i="3" s="1"/>
  <c r="AG674" i="3"/>
  <c r="Y672" i="3"/>
  <c r="D674" i="3" l="1"/>
  <c r="G674" i="3" s="1"/>
  <c r="K674" i="3"/>
  <c r="AE674" i="3" s="1"/>
  <c r="F674" i="3" l="1"/>
  <c r="I674" i="3"/>
  <c r="J674" i="3"/>
  <c r="AD674" i="3" s="1"/>
  <c r="M674" i="3"/>
  <c r="N674" i="3" s="1"/>
  <c r="V674" i="3"/>
  <c r="A675" i="3"/>
  <c r="B675" i="3" s="1"/>
  <c r="W674" i="3" l="1"/>
  <c r="L674" i="3"/>
  <c r="P675" i="3"/>
  <c r="Q675" i="3" s="1"/>
  <c r="R675" i="3" s="1"/>
  <c r="S675" i="3" s="1"/>
  <c r="AD675" i="3"/>
  <c r="AA675" i="3"/>
  <c r="AC675" i="3"/>
  <c r="Z675" i="3"/>
  <c r="U674" i="3" l="1"/>
  <c r="Y673" i="3"/>
  <c r="T675" i="3"/>
  <c r="AH675" i="3" s="1"/>
  <c r="AG675" i="3" l="1"/>
  <c r="D675" i="3"/>
  <c r="E675" i="3"/>
  <c r="H675" i="3" s="1"/>
  <c r="F675" i="3" l="1"/>
  <c r="G675" i="3"/>
  <c r="K675" i="3"/>
  <c r="AE675" i="3" s="1"/>
  <c r="I675" i="3" l="1"/>
  <c r="J675" i="3"/>
  <c r="M675" i="3"/>
  <c r="N675" i="3" s="1"/>
  <c r="V675" i="3"/>
  <c r="A676" i="3"/>
  <c r="B676" i="3" s="1"/>
  <c r="W675" i="3" l="1"/>
  <c r="L675" i="3"/>
  <c r="AD676" i="3"/>
  <c r="AC676" i="3"/>
  <c r="P676" i="3"/>
  <c r="Q676" i="3" s="1"/>
  <c r="R676" i="3" s="1"/>
  <c r="S676" i="3" s="1"/>
  <c r="Z676" i="3"/>
  <c r="AA676" i="3"/>
  <c r="T676" i="3" l="1"/>
  <c r="U675" i="3"/>
  <c r="Y674" i="3"/>
  <c r="E676" i="3" l="1"/>
  <c r="H676" i="3" s="1"/>
  <c r="K676" i="3" s="1"/>
  <c r="AE676" i="3" s="1"/>
  <c r="AH676" i="3"/>
  <c r="D676" i="3"/>
  <c r="G676" i="3" s="1"/>
  <c r="AG676" i="3"/>
  <c r="F676" i="3" l="1"/>
  <c r="I676" i="3"/>
  <c r="J676" i="3"/>
  <c r="M676" i="3"/>
  <c r="N676" i="3" s="1"/>
  <c r="V676" i="3"/>
  <c r="A677" i="3"/>
  <c r="B677" i="3" s="1"/>
  <c r="W676" i="3" l="1"/>
  <c r="L676" i="3"/>
  <c r="AA677" i="3"/>
  <c r="AC677" i="3"/>
  <c r="Z677" i="3"/>
  <c r="AD677" i="3"/>
  <c r="P677" i="3"/>
  <c r="Q677" i="3" s="1"/>
  <c r="R677" i="3" s="1"/>
  <c r="S677" i="3" s="1"/>
  <c r="U676" i="3" l="1"/>
  <c r="Y675" i="3"/>
  <c r="T677" i="3"/>
  <c r="AG677" i="3" s="1"/>
  <c r="D677" i="3" l="1"/>
  <c r="G677" i="3" s="1"/>
  <c r="AH677" i="3"/>
  <c r="E677" i="3"/>
  <c r="H677" i="3" s="1"/>
  <c r="F677" i="3" l="1"/>
  <c r="I677" i="3"/>
  <c r="J677" i="3"/>
  <c r="M677" i="3"/>
  <c r="N677" i="3" s="1"/>
  <c r="K677" i="3"/>
  <c r="AE677" i="3" s="1"/>
  <c r="V677" i="3" l="1"/>
  <c r="W677" i="3" s="1"/>
  <c r="A678" i="3"/>
  <c r="B678" i="3" s="1"/>
  <c r="L677" i="3"/>
  <c r="U677" i="3" l="1"/>
  <c r="Y676" i="3"/>
  <c r="AD678" i="3"/>
  <c r="P678" i="3"/>
  <c r="Q678" i="3" s="1"/>
  <c r="R678" i="3" s="1"/>
  <c r="S678" i="3" s="1"/>
  <c r="Z678" i="3"/>
  <c r="AC678" i="3"/>
  <c r="AA678" i="3"/>
  <c r="T678" i="3" l="1"/>
  <c r="AH678" i="3" s="1"/>
  <c r="E678" i="3" l="1"/>
  <c r="H678" i="3" s="1"/>
  <c r="K678" i="3" s="1"/>
  <c r="AE678" i="3" s="1"/>
  <c r="D678" i="3"/>
  <c r="AG678" i="3"/>
  <c r="F678" i="3" l="1"/>
  <c r="G678" i="3"/>
  <c r="J678" i="3" s="1"/>
  <c r="V678" i="3"/>
  <c r="A679" i="3"/>
  <c r="B679" i="3" s="1"/>
  <c r="M678" i="3" l="1"/>
  <c r="N678" i="3" s="1"/>
  <c r="I678" i="3"/>
  <c r="W678" i="3" s="1"/>
  <c r="L678" i="3"/>
  <c r="P679" i="3"/>
  <c r="Q679" i="3" s="1"/>
  <c r="R679" i="3" s="1"/>
  <c r="S679" i="3" s="1"/>
  <c r="AA679" i="3"/>
  <c r="Z679" i="3"/>
  <c r="AD679" i="3"/>
  <c r="AC679" i="3"/>
  <c r="T679" i="3" l="1"/>
  <c r="U678" i="3"/>
  <c r="Y677" i="3"/>
  <c r="E679" i="3" l="1"/>
  <c r="H679" i="3" s="1"/>
  <c r="K679" i="3" s="1"/>
  <c r="AE679" i="3" s="1"/>
  <c r="AH679" i="3"/>
  <c r="AG679" i="3"/>
  <c r="D679" i="3"/>
  <c r="F679" i="3" l="1"/>
  <c r="G679" i="3"/>
  <c r="V679" i="3"/>
  <c r="A680" i="3"/>
  <c r="B680" i="3" s="1"/>
  <c r="AC680" i="3" l="1"/>
  <c r="P680" i="3"/>
  <c r="Q680" i="3" s="1"/>
  <c r="R680" i="3" s="1"/>
  <c r="S680" i="3" s="1"/>
  <c r="AA680" i="3"/>
  <c r="Z680" i="3"/>
  <c r="AD680" i="3"/>
  <c r="I679" i="3"/>
  <c r="W679" i="3" s="1"/>
  <c r="J679" i="3"/>
  <c r="M679" i="3"/>
  <c r="N679" i="3" s="1"/>
  <c r="L679" i="3" l="1"/>
  <c r="T680" i="3"/>
  <c r="AH680" i="3" l="1"/>
  <c r="U679" i="3"/>
  <c r="E680" i="3" s="1"/>
  <c r="H680" i="3" s="1"/>
  <c r="AG680" i="3"/>
  <c r="Y678" i="3"/>
  <c r="D680" i="3" l="1"/>
  <c r="G680" i="3" s="1"/>
  <c r="K680" i="3"/>
  <c r="AE680" i="3" s="1"/>
  <c r="F680" i="3" l="1"/>
  <c r="I680" i="3"/>
  <c r="J680" i="3"/>
  <c r="M680" i="3"/>
  <c r="N680" i="3" s="1"/>
  <c r="V680" i="3"/>
  <c r="A681" i="3"/>
  <c r="B681" i="3" s="1"/>
  <c r="W680" i="3" l="1"/>
  <c r="L680" i="3"/>
  <c r="AD681" i="3"/>
  <c r="AA681" i="3"/>
  <c r="P681" i="3"/>
  <c r="Q681" i="3" s="1"/>
  <c r="R681" i="3" s="1"/>
  <c r="S681" i="3" s="1"/>
  <c r="Z681" i="3"/>
  <c r="AC681" i="3"/>
  <c r="U680" i="3" l="1"/>
  <c r="Y679" i="3"/>
  <c r="T681" i="3"/>
  <c r="E681" i="3" l="1"/>
  <c r="H681" i="3" s="1"/>
  <c r="K681" i="3" s="1"/>
  <c r="AE681" i="3" s="1"/>
  <c r="AG681" i="3"/>
  <c r="AH681" i="3"/>
  <c r="D681" i="3"/>
  <c r="F681" i="3" l="1"/>
  <c r="G681" i="3"/>
  <c r="V681" i="3"/>
  <c r="A682" i="3"/>
  <c r="B682" i="3" s="1"/>
  <c r="AD682" i="3" l="1"/>
  <c r="Z682" i="3"/>
  <c r="P682" i="3"/>
  <c r="Q682" i="3" s="1"/>
  <c r="R682" i="3" s="1"/>
  <c r="S682" i="3" s="1"/>
  <c r="AC682" i="3"/>
  <c r="AA682" i="3"/>
  <c r="I681" i="3"/>
  <c r="W681" i="3" s="1"/>
  <c r="J681" i="3"/>
  <c r="M681" i="3"/>
  <c r="N681" i="3" s="1"/>
  <c r="L681" i="3" l="1"/>
  <c r="T682" i="3"/>
  <c r="U681" i="3" l="1"/>
  <c r="E682" i="3" s="1"/>
  <c r="H682" i="3" s="1"/>
  <c r="AG682" i="3"/>
  <c r="AH682" i="3"/>
  <c r="Y680" i="3"/>
  <c r="D682" i="3" l="1"/>
  <c r="G682" i="3" s="1"/>
  <c r="K682" i="3"/>
  <c r="AE682" i="3" s="1"/>
  <c r="F682" i="3" l="1"/>
  <c r="V682" i="3"/>
  <c r="A683" i="3"/>
  <c r="B683" i="3" s="1"/>
  <c r="I682" i="3"/>
  <c r="J682" i="3"/>
  <c r="M682" i="3"/>
  <c r="N682" i="3" s="1"/>
  <c r="W682" i="3" l="1"/>
  <c r="L682" i="3"/>
  <c r="P683" i="3"/>
  <c r="Q683" i="3" s="1"/>
  <c r="R683" i="3" s="1"/>
  <c r="S683" i="3" s="1"/>
  <c r="AC683" i="3"/>
  <c r="AD683" i="3"/>
  <c r="AA683" i="3"/>
  <c r="Z683" i="3"/>
  <c r="U682" i="3" l="1"/>
  <c r="Y681" i="3"/>
  <c r="T683" i="3"/>
  <c r="E683" i="3" l="1"/>
  <c r="H683" i="3" s="1"/>
  <c r="K683" i="3" s="1"/>
  <c r="AE683" i="3" s="1"/>
  <c r="AH683" i="3"/>
  <c r="AG683" i="3"/>
  <c r="D683" i="3"/>
  <c r="F683" i="3" l="1"/>
  <c r="G683" i="3"/>
  <c r="V683" i="3"/>
  <c r="A684" i="3"/>
  <c r="B684" i="3" s="1"/>
  <c r="Z684" i="3" l="1"/>
  <c r="AA684" i="3"/>
  <c r="AC684" i="3"/>
  <c r="P684" i="3"/>
  <c r="Q684" i="3" s="1"/>
  <c r="R684" i="3" s="1"/>
  <c r="S684" i="3" s="1"/>
  <c r="I683" i="3"/>
  <c r="W683" i="3" s="1"/>
  <c r="J683" i="3"/>
  <c r="M683" i="3"/>
  <c r="N683" i="3" s="1"/>
  <c r="T684" i="3" l="1"/>
  <c r="L683" i="3"/>
  <c r="AH684" i="3" l="1"/>
  <c r="AG684" i="3"/>
  <c r="U683" i="3"/>
  <c r="D684" i="3" s="1"/>
  <c r="Y682" i="3"/>
  <c r="E684" i="3" l="1"/>
  <c r="H684" i="3" s="1"/>
  <c r="K684" i="3" s="1"/>
  <c r="AE684" i="3" s="1"/>
  <c r="G684" i="3"/>
  <c r="F684" i="3" l="1"/>
  <c r="V684" i="3"/>
  <c r="A685" i="3"/>
  <c r="B685" i="3" s="1"/>
  <c r="I684" i="3"/>
  <c r="J684" i="3"/>
  <c r="AD684" i="3" s="1"/>
  <c r="M684" i="3"/>
  <c r="N684" i="3" s="1"/>
  <c r="W684" i="3" l="1"/>
  <c r="L684" i="3"/>
  <c r="P685" i="3"/>
  <c r="Q685" i="3" s="1"/>
  <c r="R685" i="3" s="1"/>
  <c r="S685" i="3" s="1"/>
  <c r="Z685" i="3"/>
  <c r="AC685" i="3"/>
  <c r="AD685" i="3"/>
  <c r="AA685" i="3"/>
  <c r="U684" i="3" l="1"/>
  <c r="Y683" i="3"/>
  <c r="T685" i="3"/>
  <c r="AG685" i="3" s="1"/>
  <c r="D685" i="3" l="1"/>
  <c r="G685" i="3" s="1"/>
  <c r="E685" i="3"/>
  <c r="H685" i="3" s="1"/>
  <c r="AH685" i="3"/>
  <c r="F685" i="3" l="1"/>
  <c r="I685" i="3"/>
  <c r="J685" i="3"/>
  <c r="M685" i="3"/>
  <c r="N685" i="3" s="1"/>
  <c r="K685" i="3"/>
  <c r="AE685" i="3" s="1"/>
  <c r="V685" i="3" l="1"/>
  <c r="W685" i="3" s="1"/>
  <c r="A686" i="3"/>
  <c r="B686" i="3" s="1"/>
  <c r="L685" i="3"/>
  <c r="U685" i="3" l="1"/>
  <c r="Y684" i="3"/>
  <c r="AA686" i="3"/>
  <c r="AC686" i="3"/>
  <c r="AD686" i="3"/>
  <c r="P686" i="3"/>
  <c r="Q686" i="3" s="1"/>
  <c r="R686" i="3" s="1"/>
  <c r="S686" i="3" s="1"/>
  <c r="Z686" i="3"/>
  <c r="T686" i="3" l="1"/>
  <c r="D686" i="3" s="1"/>
  <c r="E686" i="3" l="1"/>
  <c r="H686" i="3" s="1"/>
  <c r="K686" i="3" s="1"/>
  <c r="AE686" i="3" s="1"/>
  <c r="AG686" i="3"/>
  <c r="AH686" i="3"/>
  <c r="G686" i="3"/>
  <c r="F686" i="3" l="1"/>
  <c r="V686" i="3"/>
  <c r="A687" i="3"/>
  <c r="B687" i="3" s="1"/>
  <c r="I686" i="3"/>
  <c r="J686" i="3"/>
  <c r="M686" i="3"/>
  <c r="N686" i="3" s="1"/>
  <c r="L686" i="3" l="1"/>
  <c r="W686" i="3"/>
  <c r="Z687" i="3"/>
  <c r="P687" i="3"/>
  <c r="Q687" i="3" s="1"/>
  <c r="R687" i="3" s="1"/>
  <c r="S687" i="3" s="1"/>
  <c r="AD687" i="3"/>
  <c r="AA687" i="3"/>
  <c r="AC687" i="3"/>
  <c r="U686" i="3" l="1"/>
  <c r="Y685" i="3"/>
  <c r="T687" i="3"/>
  <c r="AG687" i="3" s="1"/>
  <c r="AH687" i="3" l="1"/>
  <c r="D687" i="3"/>
  <c r="G687" i="3" s="1"/>
  <c r="E687" i="3"/>
  <c r="H687" i="3" s="1"/>
  <c r="K687" i="3" s="1"/>
  <c r="AE687" i="3" s="1"/>
  <c r="F687" i="3" l="1"/>
  <c r="I687" i="3"/>
  <c r="J687" i="3"/>
  <c r="M687" i="3"/>
  <c r="N687" i="3" s="1"/>
  <c r="V687" i="3"/>
  <c r="A688" i="3"/>
  <c r="B688" i="3" s="1"/>
  <c r="W687" i="3" l="1"/>
  <c r="L687" i="3"/>
  <c r="AC688" i="3"/>
  <c r="AA688" i="3"/>
  <c r="AD688" i="3"/>
  <c r="P688" i="3"/>
  <c r="Q688" i="3" s="1"/>
  <c r="R688" i="3" s="1"/>
  <c r="S688" i="3" s="1"/>
  <c r="Z688" i="3"/>
  <c r="U687" i="3" l="1"/>
  <c r="Y686" i="3"/>
  <c r="T688" i="3"/>
  <c r="AG688" i="3" s="1"/>
  <c r="E688" i="3" l="1"/>
  <c r="H688" i="3" s="1"/>
  <c r="K688" i="3" s="1"/>
  <c r="AE688" i="3" s="1"/>
  <c r="AH688" i="3"/>
  <c r="D688" i="3"/>
  <c r="F688" i="3" l="1"/>
  <c r="G688" i="3"/>
  <c r="V688" i="3"/>
  <c r="A689" i="3"/>
  <c r="B689" i="3" s="1"/>
  <c r="AA689" i="3" l="1"/>
  <c r="P689" i="3"/>
  <c r="Q689" i="3" s="1"/>
  <c r="R689" i="3" s="1"/>
  <c r="S689" i="3" s="1"/>
  <c r="Z689" i="3"/>
  <c r="AD689" i="3"/>
  <c r="AC689" i="3"/>
  <c r="I688" i="3"/>
  <c r="W688" i="3" s="1"/>
  <c r="J688" i="3"/>
  <c r="M688" i="3"/>
  <c r="N688" i="3" s="1"/>
  <c r="T689" i="3" l="1"/>
  <c r="L688" i="3"/>
  <c r="U688" i="3" l="1"/>
  <c r="D689" i="3" s="1"/>
  <c r="AG689" i="3"/>
  <c r="AH689" i="3"/>
  <c r="Y687" i="3"/>
  <c r="E689" i="3" l="1"/>
  <c r="H689" i="3" s="1"/>
  <c r="K689" i="3" s="1"/>
  <c r="AE689" i="3" s="1"/>
  <c r="G689" i="3"/>
  <c r="F689" i="3" l="1"/>
  <c r="I689" i="3"/>
  <c r="J689" i="3"/>
  <c r="M689" i="3"/>
  <c r="N689" i="3" s="1"/>
  <c r="V689" i="3"/>
  <c r="A690" i="3"/>
  <c r="B690" i="3" s="1"/>
  <c r="W689" i="3" l="1"/>
  <c r="L689" i="3"/>
  <c r="AA690" i="3"/>
  <c r="AC690" i="3"/>
  <c r="P690" i="3"/>
  <c r="Q690" i="3" s="1"/>
  <c r="R690" i="3" s="1"/>
  <c r="S690" i="3" s="1"/>
  <c r="AD690" i="3"/>
  <c r="Z690" i="3"/>
  <c r="U689" i="3" l="1"/>
  <c r="Y688" i="3"/>
  <c r="T690" i="3"/>
  <c r="AH690" i="3" s="1"/>
  <c r="D690" i="3" l="1"/>
  <c r="G690" i="3" s="1"/>
  <c r="E690" i="3"/>
  <c r="H690" i="3" s="1"/>
  <c r="K690" i="3" s="1"/>
  <c r="AE690" i="3" s="1"/>
  <c r="AG690" i="3"/>
  <c r="F690" i="3" l="1"/>
  <c r="I690" i="3"/>
  <c r="J690" i="3"/>
  <c r="M690" i="3"/>
  <c r="N690" i="3" s="1"/>
  <c r="V690" i="3"/>
  <c r="A691" i="3"/>
  <c r="B691" i="3" s="1"/>
  <c r="W690" i="3" l="1"/>
  <c r="L690" i="3"/>
  <c r="AA691" i="3"/>
  <c r="Z691" i="3"/>
  <c r="P691" i="3"/>
  <c r="Q691" i="3" s="1"/>
  <c r="R691" i="3" s="1"/>
  <c r="S691" i="3" s="1"/>
  <c r="AD691" i="3"/>
  <c r="AC691" i="3"/>
  <c r="T691" i="3" l="1"/>
  <c r="U690" i="3"/>
  <c r="Y689" i="3"/>
  <c r="D691" i="3" l="1"/>
  <c r="G691" i="3" s="1"/>
  <c r="AH691" i="3"/>
  <c r="E691" i="3"/>
  <c r="H691" i="3" s="1"/>
  <c r="AG691" i="3"/>
  <c r="F691" i="3" l="1"/>
  <c r="I691" i="3"/>
  <c r="J691" i="3"/>
  <c r="M691" i="3"/>
  <c r="N691" i="3" s="1"/>
  <c r="K691" i="3"/>
  <c r="AE691" i="3" s="1"/>
  <c r="V691" i="3" l="1"/>
  <c r="W691" i="3" s="1"/>
  <c r="A692" i="3"/>
  <c r="B692" i="3" s="1"/>
  <c r="L691" i="3"/>
  <c r="U691" i="3" l="1"/>
  <c r="Y690" i="3"/>
  <c r="AC692" i="3"/>
  <c r="AD692" i="3"/>
  <c r="AA692" i="3"/>
  <c r="Z692" i="3"/>
  <c r="P692" i="3"/>
  <c r="Q692" i="3" s="1"/>
  <c r="R692" i="3" s="1"/>
  <c r="S692" i="3" s="1"/>
  <c r="T692" i="3" l="1"/>
  <c r="E692" i="3" s="1"/>
  <c r="H692" i="3" s="1"/>
  <c r="D692" i="3" l="1"/>
  <c r="G692" i="3" s="1"/>
  <c r="AH692" i="3"/>
  <c r="K692" i="3"/>
  <c r="AE692" i="3" s="1"/>
  <c r="AG692" i="3"/>
  <c r="F692" i="3" l="1"/>
  <c r="I692" i="3"/>
  <c r="J692" i="3"/>
  <c r="M692" i="3"/>
  <c r="N692" i="3" s="1"/>
  <c r="V692" i="3"/>
  <c r="A693" i="3"/>
  <c r="B693" i="3" s="1"/>
  <c r="W692" i="3" l="1"/>
  <c r="L692" i="3"/>
  <c r="AC693" i="3"/>
  <c r="AA693" i="3"/>
  <c r="AD693" i="3"/>
  <c r="P693" i="3"/>
  <c r="Q693" i="3" s="1"/>
  <c r="R693" i="3" s="1"/>
  <c r="S693" i="3" s="1"/>
  <c r="Z693" i="3"/>
  <c r="U692" i="3" l="1"/>
  <c r="Y691" i="3"/>
  <c r="T693" i="3"/>
  <c r="AG693" i="3" s="1"/>
  <c r="D693" i="3" l="1"/>
  <c r="G693" i="3" s="1"/>
  <c r="E693" i="3"/>
  <c r="H693" i="3" s="1"/>
  <c r="K693" i="3" s="1"/>
  <c r="AE693" i="3" s="1"/>
  <c r="AH693" i="3"/>
  <c r="F693" i="3" l="1"/>
  <c r="V693" i="3"/>
  <c r="A694" i="3"/>
  <c r="B694" i="3" s="1"/>
  <c r="I693" i="3"/>
  <c r="J693" i="3"/>
  <c r="M693" i="3"/>
  <c r="N693" i="3" s="1"/>
  <c r="W693" i="3" l="1"/>
  <c r="L693" i="3"/>
  <c r="AA694" i="3"/>
  <c r="AC694" i="3"/>
  <c r="P694" i="3"/>
  <c r="Q694" i="3" s="1"/>
  <c r="R694" i="3" s="1"/>
  <c r="S694" i="3" s="1"/>
  <c r="Z694" i="3"/>
  <c r="U693" i="3" l="1"/>
  <c r="Y692" i="3"/>
  <c r="T694" i="3"/>
  <c r="AG694" i="3" s="1"/>
  <c r="E694" i="3" l="1"/>
  <c r="H694" i="3" s="1"/>
  <c r="K694" i="3" s="1"/>
  <c r="AE694" i="3" s="1"/>
  <c r="AH694" i="3"/>
  <c r="D694" i="3"/>
  <c r="G694" i="3" s="1"/>
  <c r="F694" i="3" l="1"/>
  <c r="I694" i="3"/>
  <c r="J694" i="3"/>
  <c r="AD694" i="3" s="1"/>
  <c r="M694" i="3"/>
  <c r="N694" i="3" s="1"/>
  <c r="V694" i="3"/>
  <c r="A695" i="3"/>
  <c r="B695" i="3" s="1"/>
  <c r="W694" i="3" l="1"/>
  <c r="L694" i="3"/>
  <c r="AD695" i="3"/>
  <c r="Z695" i="3"/>
  <c r="P695" i="3"/>
  <c r="Q695" i="3" s="1"/>
  <c r="R695" i="3" s="1"/>
  <c r="S695" i="3" s="1"/>
  <c r="AC695" i="3"/>
  <c r="AA695" i="3"/>
  <c r="U694" i="3" l="1"/>
  <c r="Y693" i="3"/>
  <c r="T695" i="3"/>
  <c r="E695" i="3" l="1"/>
  <c r="H695" i="3" s="1"/>
  <c r="K695" i="3" s="1"/>
  <c r="AE695" i="3" s="1"/>
  <c r="D695" i="3"/>
  <c r="AG695" i="3"/>
  <c r="AH695" i="3"/>
  <c r="V695" i="3" l="1"/>
  <c r="A696" i="3"/>
  <c r="B696" i="3" s="1"/>
  <c r="F695" i="3"/>
  <c r="G695" i="3"/>
  <c r="I695" i="3" l="1"/>
  <c r="W695" i="3" s="1"/>
  <c r="J695" i="3"/>
  <c r="M695" i="3"/>
  <c r="N695" i="3" s="1"/>
  <c r="AD696" i="3"/>
  <c r="AA696" i="3"/>
  <c r="Z696" i="3"/>
  <c r="P696" i="3"/>
  <c r="Q696" i="3" s="1"/>
  <c r="R696" i="3" s="1"/>
  <c r="S696" i="3" s="1"/>
  <c r="AC696" i="3"/>
  <c r="T696" i="3" l="1"/>
  <c r="L695" i="3"/>
  <c r="AH696" i="3" l="1"/>
  <c r="U695" i="3"/>
  <c r="D696" i="3" s="1"/>
  <c r="AG696" i="3"/>
  <c r="Y694" i="3"/>
  <c r="E696" i="3" l="1"/>
  <c r="H696" i="3" s="1"/>
  <c r="K696" i="3" s="1"/>
  <c r="AE696" i="3" s="1"/>
  <c r="G696" i="3"/>
  <c r="F696" i="3" l="1"/>
  <c r="V696" i="3"/>
  <c r="A697" i="3"/>
  <c r="B697" i="3" s="1"/>
  <c r="I696" i="3"/>
  <c r="J696" i="3"/>
  <c r="M696" i="3"/>
  <c r="N696" i="3" s="1"/>
  <c r="W696" i="3" l="1"/>
  <c r="AD697" i="3"/>
  <c r="P697" i="3"/>
  <c r="Q697" i="3" s="1"/>
  <c r="R697" i="3" s="1"/>
  <c r="S697" i="3" s="1"/>
  <c r="Z697" i="3"/>
  <c r="AA697" i="3"/>
  <c r="AC697" i="3"/>
  <c r="L696" i="3"/>
  <c r="U696" i="3" l="1"/>
  <c r="Y695" i="3"/>
  <c r="T697" i="3"/>
  <c r="E697" i="3" l="1"/>
  <c r="H697" i="3" s="1"/>
  <c r="K697" i="3" s="1"/>
  <c r="AE697" i="3" s="1"/>
  <c r="D697" i="3"/>
  <c r="AH697" i="3"/>
  <c r="AG697" i="3"/>
  <c r="F697" i="3" l="1"/>
  <c r="G697" i="3"/>
  <c r="M697" i="3" s="1"/>
  <c r="N697" i="3" s="1"/>
  <c r="V697" i="3"/>
  <c r="A698" i="3"/>
  <c r="B698" i="3" s="1"/>
  <c r="I697" i="3" l="1"/>
  <c r="W697" i="3" s="1"/>
  <c r="J697" i="3"/>
  <c r="L697" i="3" s="1"/>
  <c r="AD698" i="3"/>
  <c r="AA698" i="3"/>
  <c r="Z698" i="3"/>
  <c r="AC698" i="3"/>
  <c r="P698" i="3"/>
  <c r="Q698" i="3" s="1"/>
  <c r="R698" i="3" s="1"/>
  <c r="S698" i="3" s="1"/>
  <c r="U697" i="3" l="1"/>
  <c r="Y696" i="3"/>
  <c r="T698" i="3"/>
  <c r="AG698" i="3" s="1"/>
  <c r="E698" i="3" l="1"/>
  <c r="H698" i="3" s="1"/>
  <c r="K698" i="3" s="1"/>
  <c r="AE698" i="3" s="1"/>
  <c r="AH698" i="3"/>
  <c r="D698" i="3"/>
  <c r="F698" i="3" l="1"/>
  <c r="G698" i="3"/>
  <c r="J698" i="3" s="1"/>
  <c r="V698" i="3"/>
  <c r="A699" i="3"/>
  <c r="B699" i="3" s="1"/>
  <c r="M698" i="3" l="1"/>
  <c r="N698" i="3" s="1"/>
  <c r="I698" i="3"/>
  <c r="W698" i="3" s="1"/>
  <c r="L698" i="3"/>
  <c r="Z699" i="3"/>
  <c r="P699" i="3"/>
  <c r="Q699" i="3" s="1"/>
  <c r="R699" i="3" s="1"/>
  <c r="S699" i="3" s="1"/>
  <c r="AA699" i="3"/>
  <c r="AD699" i="3"/>
  <c r="AC699" i="3"/>
  <c r="T699" i="3" l="1"/>
  <c r="U698" i="3"/>
  <c r="Y697" i="3"/>
  <c r="D699" i="3" l="1"/>
  <c r="G699" i="3" s="1"/>
  <c r="AG699" i="3"/>
  <c r="AH699" i="3"/>
  <c r="E699" i="3"/>
  <c r="H699" i="3" s="1"/>
  <c r="K699" i="3" l="1"/>
  <c r="AE699" i="3" s="1"/>
  <c r="I699" i="3"/>
  <c r="J699" i="3"/>
  <c r="M699" i="3"/>
  <c r="N699" i="3" s="1"/>
  <c r="F699" i="3"/>
  <c r="L699" i="3" l="1"/>
  <c r="V699" i="3"/>
  <c r="W699" i="3" s="1"/>
  <c r="A700" i="3"/>
  <c r="B700" i="3" s="1"/>
  <c r="U699" i="3" l="1"/>
  <c r="Y698" i="3"/>
  <c r="Z700" i="3"/>
  <c r="P700" i="3"/>
  <c r="Q700" i="3" s="1"/>
  <c r="R700" i="3" s="1"/>
  <c r="S700" i="3" s="1"/>
  <c r="AD700" i="3"/>
  <c r="AC700" i="3"/>
  <c r="AA700" i="3"/>
  <c r="T700" i="3" l="1"/>
  <c r="D700" i="3" s="1"/>
  <c r="AH700" i="3" l="1"/>
  <c r="AG700" i="3"/>
  <c r="E700" i="3"/>
  <c r="H700" i="3" s="1"/>
  <c r="K700" i="3" s="1"/>
  <c r="AE700" i="3" s="1"/>
  <c r="G700" i="3"/>
  <c r="F700" i="3" l="1"/>
  <c r="I700" i="3"/>
  <c r="J700" i="3"/>
  <c r="M700" i="3"/>
  <c r="N700" i="3" s="1"/>
  <c r="V700" i="3"/>
  <c r="A701" i="3"/>
  <c r="B701" i="3" s="1"/>
  <c r="W700" i="3" l="1"/>
  <c r="L700" i="3"/>
  <c r="AC701" i="3"/>
  <c r="AA701" i="3"/>
  <c r="Z701" i="3"/>
  <c r="P701" i="3"/>
  <c r="Q701" i="3" s="1"/>
  <c r="R701" i="3" s="1"/>
  <c r="S701" i="3" s="1"/>
  <c r="AD701" i="3"/>
  <c r="U700" i="3" l="1"/>
  <c r="Y699" i="3"/>
  <c r="T701" i="3"/>
  <c r="AG701" i="3" s="1"/>
  <c r="AH701" i="3" l="1"/>
  <c r="E701" i="3"/>
  <c r="H701" i="3" s="1"/>
  <c r="D701" i="3"/>
  <c r="F701" i="3" l="1"/>
  <c r="G701" i="3"/>
  <c r="K701" i="3"/>
  <c r="AE701" i="3" s="1"/>
  <c r="I701" i="3" l="1"/>
  <c r="J701" i="3"/>
  <c r="M701" i="3"/>
  <c r="N701" i="3" s="1"/>
  <c r="V701" i="3"/>
  <c r="A702" i="3"/>
  <c r="B702" i="3" s="1"/>
  <c r="W701" i="3" l="1"/>
  <c r="L701" i="3"/>
  <c r="AC702" i="3"/>
  <c r="AD702" i="3"/>
  <c r="P702" i="3"/>
  <c r="Q702" i="3" s="1"/>
  <c r="R702" i="3" s="1"/>
  <c r="S702" i="3" s="1"/>
  <c r="Z702" i="3"/>
  <c r="AA702" i="3"/>
  <c r="U701" i="3" l="1"/>
  <c r="Y700" i="3"/>
  <c r="T702" i="3"/>
  <c r="AH702" i="3" s="1"/>
  <c r="D702" i="3" l="1"/>
  <c r="G702" i="3" s="1"/>
  <c r="E702" i="3"/>
  <c r="H702" i="3" s="1"/>
  <c r="K702" i="3" s="1"/>
  <c r="AE702" i="3" s="1"/>
  <c r="AG702" i="3"/>
  <c r="F702" i="3" l="1"/>
  <c r="V702" i="3"/>
  <c r="A703" i="3"/>
  <c r="B703" i="3" s="1"/>
  <c r="I702" i="3"/>
  <c r="J702" i="3"/>
  <c r="M702" i="3"/>
  <c r="N702" i="3" s="1"/>
  <c r="W702" i="3" l="1"/>
  <c r="L702" i="3"/>
  <c r="AC703" i="3"/>
  <c r="AD703" i="3"/>
  <c r="P703" i="3"/>
  <c r="Q703" i="3" s="1"/>
  <c r="R703" i="3" s="1"/>
  <c r="S703" i="3" s="1"/>
  <c r="AA703" i="3"/>
  <c r="Z703" i="3"/>
  <c r="T703" i="3" l="1"/>
  <c r="AH703" i="3" s="1"/>
  <c r="U702" i="3"/>
  <c r="Y701" i="3"/>
  <c r="E703" i="3" l="1"/>
  <c r="H703" i="3" s="1"/>
  <c r="K703" i="3" s="1"/>
  <c r="AE703" i="3" s="1"/>
  <c r="AG703" i="3"/>
  <c r="D703" i="3"/>
  <c r="F703" i="3" l="1"/>
  <c r="G703" i="3"/>
  <c r="V703" i="3"/>
  <c r="A704" i="3"/>
  <c r="B704" i="3" s="1"/>
  <c r="P704" i="3" l="1"/>
  <c r="Q704" i="3" s="1"/>
  <c r="R704" i="3" s="1"/>
  <c r="S704" i="3" s="1"/>
  <c r="AC704" i="3"/>
  <c r="Z704" i="3"/>
  <c r="AA704" i="3"/>
  <c r="I703" i="3"/>
  <c r="W703" i="3" s="1"/>
  <c r="J703" i="3"/>
  <c r="M703" i="3"/>
  <c r="N703" i="3" s="1"/>
  <c r="T704" i="3" l="1"/>
  <c r="L703" i="3"/>
  <c r="U703" i="3" l="1"/>
  <c r="D704" i="3" s="1"/>
  <c r="AG704" i="3"/>
  <c r="AH704" i="3"/>
  <c r="Y702" i="3"/>
  <c r="G704" i="3" l="1"/>
  <c r="E704" i="3"/>
  <c r="H704" i="3" s="1"/>
  <c r="F704" i="3" l="1"/>
  <c r="I704" i="3"/>
  <c r="J704" i="3"/>
  <c r="AD704" i="3" s="1"/>
  <c r="M704" i="3"/>
  <c r="N704" i="3" s="1"/>
  <c r="K704" i="3"/>
  <c r="AE704" i="3" s="1"/>
  <c r="V704" i="3" l="1"/>
  <c r="W704" i="3" s="1"/>
  <c r="A705" i="3"/>
  <c r="B705" i="3" s="1"/>
  <c r="L704" i="3"/>
  <c r="U704" i="3" l="1"/>
  <c r="Y703" i="3"/>
  <c r="Z705" i="3"/>
  <c r="P705" i="3"/>
  <c r="Q705" i="3" s="1"/>
  <c r="R705" i="3" s="1"/>
  <c r="S705" i="3" s="1"/>
  <c r="AC705" i="3"/>
  <c r="AA705" i="3"/>
  <c r="AD705" i="3"/>
  <c r="T705" i="3" l="1"/>
  <c r="AH705" i="3" s="1"/>
  <c r="AG705" i="3" l="1"/>
  <c r="D705" i="3"/>
  <c r="E705" i="3"/>
  <c r="H705" i="3" s="1"/>
  <c r="F705" i="3" l="1"/>
  <c r="G705" i="3"/>
  <c r="K705" i="3"/>
  <c r="AE705" i="3" s="1"/>
  <c r="I705" i="3" l="1"/>
  <c r="J705" i="3"/>
  <c r="M705" i="3"/>
  <c r="N705" i="3" s="1"/>
  <c r="V705" i="3"/>
  <c r="A706" i="3"/>
  <c r="B706" i="3" s="1"/>
  <c r="W705" i="3" l="1"/>
  <c r="L705" i="3"/>
  <c r="P706" i="3"/>
  <c r="Q706" i="3" s="1"/>
  <c r="R706" i="3" s="1"/>
  <c r="S706" i="3" s="1"/>
  <c r="AA706" i="3"/>
  <c r="AC706" i="3"/>
  <c r="Z706" i="3"/>
  <c r="AD706" i="3"/>
  <c r="U705" i="3" l="1"/>
  <c r="Y704" i="3"/>
  <c r="T706" i="3"/>
  <c r="AH706" i="3" s="1"/>
  <c r="E706" i="3" l="1"/>
  <c r="H706" i="3" s="1"/>
  <c r="D706" i="3"/>
  <c r="AG706" i="3"/>
  <c r="K706" i="3" l="1"/>
  <c r="AE706" i="3" s="1"/>
  <c r="F706" i="3"/>
  <c r="G706" i="3"/>
  <c r="I706" i="3" l="1"/>
  <c r="J706" i="3"/>
  <c r="M706" i="3"/>
  <c r="N706" i="3" s="1"/>
  <c r="V706" i="3"/>
  <c r="A707" i="3"/>
  <c r="B707" i="3" s="1"/>
  <c r="W706" i="3" l="1"/>
  <c r="P707" i="3"/>
  <c r="Q707" i="3" s="1"/>
  <c r="R707" i="3" s="1"/>
  <c r="S707" i="3" s="1"/>
  <c r="AD707" i="3"/>
  <c r="Z707" i="3"/>
  <c r="AC707" i="3"/>
  <c r="AA707" i="3"/>
  <c r="L706" i="3"/>
  <c r="T707" i="3" l="1"/>
  <c r="AG707" i="3" s="1"/>
  <c r="U706" i="3"/>
  <c r="Y705" i="3"/>
  <c r="E707" i="3" l="1"/>
  <c r="H707" i="3" s="1"/>
  <c r="K707" i="3" s="1"/>
  <c r="AE707" i="3" s="1"/>
  <c r="D707" i="3"/>
  <c r="AH707" i="3"/>
  <c r="V707" i="3" l="1"/>
  <c r="A708" i="3"/>
  <c r="B708" i="3" s="1"/>
  <c r="F707" i="3"/>
  <c r="G707" i="3"/>
  <c r="I707" i="3" l="1"/>
  <c r="W707" i="3" s="1"/>
  <c r="J707" i="3"/>
  <c r="M707" i="3"/>
  <c r="N707" i="3" s="1"/>
  <c r="AD708" i="3"/>
  <c r="P708" i="3"/>
  <c r="Q708" i="3" s="1"/>
  <c r="R708" i="3" s="1"/>
  <c r="S708" i="3" s="1"/>
  <c r="AC708" i="3"/>
  <c r="Z708" i="3"/>
  <c r="AA708" i="3"/>
  <c r="T708" i="3" l="1"/>
  <c r="L707" i="3"/>
  <c r="U707" i="3" l="1"/>
  <c r="D708" i="3" s="1"/>
  <c r="AG708" i="3"/>
  <c r="AH708" i="3"/>
  <c r="Y706" i="3"/>
  <c r="E708" i="3" l="1"/>
  <c r="H708" i="3" s="1"/>
  <c r="K708" i="3" s="1"/>
  <c r="AE708" i="3" s="1"/>
  <c r="G708" i="3"/>
  <c r="F708" i="3" l="1"/>
  <c r="I708" i="3"/>
  <c r="J708" i="3"/>
  <c r="M708" i="3"/>
  <c r="N708" i="3" s="1"/>
  <c r="V708" i="3"/>
  <c r="A709" i="3"/>
  <c r="B709" i="3" s="1"/>
  <c r="W708" i="3" l="1"/>
  <c r="L708" i="3"/>
  <c r="Z709" i="3"/>
  <c r="AA709" i="3"/>
  <c r="AD709" i="3"/>
  <c r="P709" i="3"/>
  <c r="Q709" i="3" s="1"/>
  <c r="R709" i="3" s="1"/>
  <c r="S709" i="3" s="1"/>
  <c r="AC709" i="3"/>
  <c r="U708" i="3" l="1"/>
  <c r="Y707" i="3"/>
  <c r="T709" i="3"/>
  <c r="AG709" i="3" s="1"/>
  <c r="AH709" i="3" l="1"/>
  <c r="E709" i="3"/>
  <c r="H709" i="3" s="1"/>
  <c r="D709" i="3"/>
  <c r="F709" i="3" l="1"/>
  <c r="G709" i="3"/>
  <c r="K709" i="3"/>
  <c r="AE709" i="3" s="1"/>
  <c r="V709" i="3" l="1"/>
  <c r="A710" i="3"/>
  <c r="B710" i="3" s="1"/>
  <c r="I709" i="3"/>
  <c r="J709" i="3"/>
  <c r="M709" i="3"/>
  <c r="N709" i="3" s="1"/>
  <c r="W709" i="3" l="1"/>
  <c r="L709" i="3"/>
  <c r="AD710" i="3"/>
  <c r="AC710" i="3"/>
  <c r="Z710" i="3"/>
  <c r="AA710" i="3"/>
  <c r="P710" i="3"/>
  <c r="Q710" i="3" s="1"/>
  <c r="R710" i="3" s="1"/>
  <c r="S710" i="3" s="1"/>
  <c r="U709" i="3" l="1"/>
  <c r="Y708" i="3"/>
  <c r="T710" i="3"/>
  <c r="AH710" i="3" s="1"/>
  <c r="D710" i="3" l="1"/>
  <c r="E710" i="3"/>
  <c r="H710" i="3" s="1"/>
  <c r="AG710" i="3"/>
  <c r="F710" i="3" l="1"/>
  <c r="G710" i="3"/>
  <c r="K710" i="3"/>
  <c r="AE710" i="3" s="1"/>
  <c r="I710" i="3" l="1"/>
  <c r="J710" i="3"/>
  <c r="M710" i="3"/>
  <c r="N710" i="3" s="1"/>
  <c r="V710" i="3"/>
  <c r="A711" i="3"/>
  <c r="B711" i="3" s="1"/>
  <c r="W710" i="3" l="1"/>
  <c r="L710" i="3"/>
  <c r="AA711" i="3"/>
  <c r="AC711" i="3"/>
  <c r="Z711" i="3"/>
  <c r="AD711" i="3"/>
  <c r="P711" i="3"/>
  <c r="Q711" i="3" s="1"/>
  <c r="R711" i="3" s="1"/>
  <c r="S711" i="3" s="1"/>
  <c r="T711" i="3" l="1"/>
  <c r="U710" i="3"/>
  <c r="Y709" i="3"/>
  <c r="D711" i="3" l="1"/>
  <c r="G711" i="3" s="1"/>
  <c r="E711" i="3"/>
  <c r="H711" i="3" s="1"/>
  <c r="AH711" i="3"/>
  <c r="AG711" i="3"/>
  <c r="F711" i="3" l="1"/>
  <c r="K711" i="3"/>
  <c r="AE711" i="3" s="1"/>
  <c r="I711" i="3"/>
  <c r="J711" i="3"/>
  <c r="M711" i="3"/>
  <c r="N711" i="3" s="1"/>
  <c r="L711" i="3" l="1"/>
  <c r="V711" i="3"/>
  <c r="W711" i="3" s="1"/>
  <c r="A712" i="3"/>
  <c r="B712" i="3" s="1"/>
  <c r="AC712" i="3" l="1"/>
  <c r="AD712" i="3"/>
  <c r="P712" i="3"/>
  <c r="Q712" i="3" s="1"/>
  <c r="R712" i="3" s="1"/>
  <c r="S712" i="3" s="1"/>
  <c r="AA712" i="3"/>
  <c r="Z712" i="3"/>
  <c r="U711" i="3"/>
  <c r="Y710" i="3"/>
  <c r="T712" i="3" l="1"/>
  <c r="AG712" i="3" l="1"/>
  <c r="D712" i="3"/>
  <c r="E712" i="3"/>
  <c r="H712" i="3" s="1"/>
  <c r="AH712" i="3"/>
  <c r="K712" i="3" l="1"/>
  <c r="AE712" i="3" s="1"/>
  <c r="F712" i="3"/>
  <c r="G712" i="3"/>
  <c r="V712" i="3" l="1"/>
  <c r="A713" i="3"/>
  <c r="B713" i="3" s="1"/>
  <c r="I712" i="3"/>
  <c r="J712" i="3"/>
  <c r="M712" i="3"/>
  <c r="N712" i="3" s="1"/>
  <c r="W712" i="3" l="1"/>
  <c r="L712" i="3"/>
  <c r="Z713" i="3"/>
  <c r="P713" i="3"/>
  <c r="Q713" i="3" s="1"/>
  <c r="R713" i="3" s="1"/>
  <c r="S713" i="3" s="1"/>
  <c r="AC713" i="3"/>
  <c r="AD713" i="3"/>
  <c r="AA713" i="3"/>
  <c r="T713" i="3" l="1"/>
  <c r="AH713" i="3" s="1"/>
  <c r="U712" i="3"/>
  <c r="Y711" i="3"/>
  <c r="D713" i="3" l="1"/>
  <c r="AG713" i="3"/>
  <c r="E713" i="3"/>
  <c r="H713" i="3" s="1"/>
  <c r="F713" i="3" l="1"/>
  <c r="G713" i="3"/>
  <c r="M713" i="3" s="1"/>
  <c r="N713" i="3" s="1"/>
  <c r="K713" i="3"/>
  <c r="AE713" i="3" s="1"/>
  <c r="I713" i="3" l="1"/>
  <c r="J713" i="3"/>
  <c r="L713" i="3" s="1"/>
  <c r="V713" i="3"/>
  <c r="A714" i="3"/>
  <c r="B714" i="3" s="1"/>
  <c r="W713" i="3" l="1"/>
  <c r="U713" i="3"/>
  <c r="Y712" i="3"/>
  <c r="AA714" i="3"/>
  <c r="P714" i="3"/>
  <c r="Q714" i="3" s="1"/>
  <c r="R714" i="3" s="1"/>
  <c r="S714" i="3" s="1"/>
  <c r="Z714" i="3"/>
  <c r="AC714" i="3"/>
  <c r="T714" i="3" l="1"/>
  <c r="AH714" i="3" s="1"/>
  <c r="D714" i="3" l="1"/>
  <c r="G714" i="3" s="1"/>
  <c r="E714" i="3"/>
  <c r="H714" i="3" s="1"/>
  <c r="K714" i="3" s="1"/>
  <c r="AE714" i="3" s="1"/>
  <c r="AG714" i="3"/>
  <c r="F714" i="3" l="1"/>
  <c r="V714" i="3"/>
  <c r="A715" i="3"/>
  <c r="B715" i="3" s="1"/>
  <c r="I714" i="3"/>
  <c r="J714" i="3"/>
  <c r="AD714" i="3" s="1"/>
  <c r="M714" i="3"/>
  <c r="N714" i="3" s="1"/>
  <c r="L714" i="3" l="1"/>
  <c r="W714" i="3"/>
  <c r="AC715" i="3"/>
  <c r="P715" i="3"/>
  <c r="Q715" i="3" s="1"/>
  <c r="R715" i="3" s="1"/>
  <c r="S715" i="3" s="1"/>
  <c r="Z715" i="3"/>
  <c r="AA715" i="3"/>
  <c r="AD715" i="3"/>
  <c r="U714" i="3" l="1"/>
  <c r="Y713" i="3"/>
  <c r="T715" i="3"/>
  <c r="AG715" i="3" s="1"/>
  <c r="AH715" i="3" l="1"/>
  <c r="D715" i="3"/>
  <c r="G715" i="3" s="1"/>
  <c r="E715" i="3"/>
  <c r="H715" i="3" s="1"/>
  <c r="F715" i="3" l="1"/>
  <c r="I715" i="3"/>
  <c r="J715" i="3"/>
  <c r="M715" i="3"/>
  <c r="N715" i="3" s="1"/>
  <c r="K715" i="3"/>
  <c r="AE715" i="3" s="1"/>
  <c r="V715" i="3" l="1"/>
  <c r="W715" i="3" s="1"/>
  <c r="A716" i="3"/>
  <c r="B716" i="3" s="1"/>
  <c r="L715" i="3"/>
  <c r="U715" i="3" l="1"/>
  <c r="Y714" i="3"/>
  <c r="AC716" i="3"/>
  <c r="Z716" i="3"/>
  <c r="P716" i="3"/>
  <c r="Q716" i="3" s="1"/>
  <c r="R716" i="3" s="1"/>
  <c r="S716" i="3" s="1"/>
  <c r="AA716" i="3"/>
  <c r="AD716" i="3"/>
  <c r="T716" i="3" l="1"/>
  <c r="D716" i="3" s="1"/>
  <c r="E716" i="3" l="1"/>
  <c r="H716" i="3" s="1"/>
  <c r="K716" i="3" s="1"/>
  <c r="AE716" i="3" s="1"/>
  <c r="AH716" i="3"/>
  <c r="AG716" i="3"/>
  <c r="G716" i="3"/>
  <c r="F716" i="3" l="1"/>
  <c r="I716" i="3"/>
  <c r="J716" i="3"/>
  <c r="M716" i="3"/>
  <c r="N716" i="3" s="1"/>
  <c r="V716" i="3"/>
  <c r="A717" i="3"/>
  <c r="B717" i="3" s="1"/>
  <c r="W716" i="3" l="1"/>
  <c r="L716" i="3"/>
  <c r="AC717" i="3"/>
  <c r="P717" i="3"/>
  <c r="Q717" i="3" s="1"/>
  <c r="R717" i="3" s="1"/>
  <c r="S717" i="3" s="1"/>
  <c r="AD717" i="3"/>
  <c r="Z717" i="3"/>
  <c r="AA717" i="3"/>
  <c r="U716" i="3" l="1"/>
  <c r="Y715" i="3"/>
  <c r="T717" i="3"/>
  <c r="AG717" i="3" s="1"/>
  <c r="E717" i="3" l="1"/>
  <c r="H717" i="3" s="1"/>
  <c r="K717" i="3" s="1"/>
  <c r="AE717" i="3" s="1"/>
  <c r="AH717" i="3"/>
  <c r="D717" i="3"/>
  <c r="V717" i="3" l="1"/>
  <c r="A718" i="3"/>
  <c r="B718" i="3" s="1"/>
  <c r="F717" i="3"/>
  <c r="G717" i="3"/>
  <c r="I717" i="3" l="1"/>
  <c r="W717" i="3" s="1"/>
  <c r="J717" i="3"/>
  <c r="M717" i="3"/>
  <c r="N717" i="3" s="1"/>
  <c r="P718" i="3"/>
  <c r="Q718" i="3" s="1"/>
  <c r="R718" i="3" s="1"/>
  <c r="S718" i="3" s="1"/>
  <c r="AC718" i="3"/>
  <c r="Z718" i="3"/>
  <c r="AD718" i="3"/>
  <c r="AA718" i="3"/>
  <c r="L717" i="3" l="1"/>
  <c r="T718" i="3"/>
  <c r="U717" i="3" l="1"/>
  <c r="E718" i="3" s="1"/>
  <c r="H718" i="3" s="1"/>
  <c r="AH718" i="3"/>
  <c r="AG718" i="3"/>
  <c r="Y716" i="3"/>
  <c r="K718" i="3" l="1"/>
  <c r="AE718" i="3" s="1"/>
  <c r="D718" i="3"/>
  <c r="V718" i="3" l="1"/>
  <c r="A719" i="3"/>
  <c r="B719" i="3" s="1"/>
  <c r="F718" i="3"/>
  <c r="G718" i="3"/>
  <c r="I718" i="3" l="1"/>
  <c r="W718" i="3" s="1"/>
  <c r="J718" i="3"/>
  <c r="M718" i="3"/>
  <c r="N718" i="3" s="1"/>
  <c r="AD719" i="3"/>
  <c r="Z719" i="3"/>
  <c r="P719" i="3"/>
  <c r="Q719" i="3" s="1"/>
  <c r="R719" i="3" s="1"/>
  <c r="S719" i="3" s="1"/>
  <c r="AA719" i="3"/>
  <c r="AC719" i="3"/>
  <c r="T719" i="3" l="1"/>
  <c r="L718" i="3"/>
  <c r="AG719" i="3" l="1"/>
  <c r="AH719" i="3"/>
  <c r="U718" i="3"/>
  <c r="E719" i="3" s="1"/>
  <c r="H719" i="3" s="1"/>
  <c r="Y717" i="3"/>
  <c r="D719" i="3" l="1"/>
  <c r="G719" i="3" s="1"/>
  <c r="K719" i="3"/>
  <c r="AE719" i="3" s="1"/>
  <c r="F719" i="3" l="1"/>
  <c r="I719" i="3"/>
  <c r="J719" i="3"/>
  <c r="M719" i="3"/>
  <c r="N719" i="3" s="1"/>
  <c r="V719" i="3"/>
  <c r="A720" i="3"/>
  <c r="B720" i="3" s="1"/>
  <c r="W719" i="3" l="1"/>
  <c r="L719" i="3"/>
  <c r="P720" i="3"/>
  <c r="Q720" i="3" s="1"/>
  <c r="R720" i="3" s="1"/>
  <c r="S720" i="3" s="1"/>
  <c r="AA720" i="3"/>
  <c r="AC720" i="3"/>
  <c r="Z720" i="3"/>
  <c r="AD720" i="3"/>
  <c r="U719" i="3" l="1"/>
  <c r="Y718" i="3"/>
  <c r="T720" i="3"/>
  <c r="AG720" i="3" s="1"/>
  <c r="E720" i="3" l="1"/>
  <c r="H720" i="3" s="1"/>
  <c r="K720" i="3" s="1"/>
  <c r="AE720" i="3" s="1"/>
  <c r="D720" i="3"/>
  <c r="AH720" i="3"/>
  <c r="V720" i="3" l="1"/>
  <c r="A721" i="3"/>
  <c r="B721" i="3" s="1"/>
  <c r="F720" i="3"/>
  <c r="G720" i="3"/>
  <c r="I720" i="3" l="1"/>
  <c r="W720" i="3" s="1"/>
  <c r="J720" i="3"/>
  <c r="M720" i="3"/>
  <c r="N720" i="3" s="1"/>
  <c r="AD721" i="3"/>
  <c r="AA721" i="3"/>
  <c r="Z721" i="3"/>
  <c r="AC721" i="3"/>
  <c r="P721" i="3"/>
  <c r="Q721" i="3" s="1"/>
  <c r="R721" i="3" s="1"/>
  <c r="S721" i="3" s="1"/>
  <c r="T721" i="3" l="1"/>
  <c r="L720" i="3"/>
  <c r="AG721" i="3" l="1"/>
  <c r="U720" i="3"/>
  <c r="D721" i="3" s="1"/>
  <c r="AH721" i="3"/>
  <c r="Y719" i="3"/>
  <c r="G721" i="3" l="1"/>
  <c r="E721" i="3"/>
  <c r="H721" i="3" s="1"/>
  <c r="F721" i="3" l="1"/>
  <c r="I721" i="3"/>
  <c r="J721" i="3"/>
  <c r="M721" i="3"/>
  <c r="N721" i="3" s="1"/>
  <c r="K721" i="3"/>
  <c r="AE721" i="3" s="1"/>
  <c r="V721" i="3" l="1"/>
  <c r="W721" i="3" s="1"/>
  <c r="A722" i="3"/>
  <c r="B722" i="3" s="1"/>
  <c r="L721" i="3"/>
  <c r="U721" i="3" l="1"/>
  <c r="Y720" i="3"/>
  <c r="AA722" i="3"/>
  <c r="AC722" i="3"/>
  <c r="P722" i="3"/>
  <c r="Q722" i="3" s="1"/>
  <c r="R722" i="3" s="1"/>
  <c r="S722" i="3" s="1"/>
  <c r="Z722" i="3"/>
  <c r="AD722" i="3"/>
  <c r="T722" i="3" l="1"/>
  <c r="AH722" i="3" s="1"/>
  <c r="E722" i="3" l="1"/>
  <c r="H722" i="3" s="1"/>
  <c r="K722" i="3" s="1"/>
  <c r="AE722" i="3" s="1"/>
  <c r="D722" i="3"/>
  <c r="AG722" i="3"/>
  <c r="V722" i="3" l="1"/>
  <c r="A723" i="3"/>
  <c r="B723" i="3" s="1"/>
  <c r="F722" i="3"/>
  <c r="G722" i="3"/>
  <c r="I722" i="3" l="1"/>
  <c r="W722" i="3" s="1"/>
  <c r="J722" i="3"/>
  <c r="M722" i="3"/>
  <c r="N722" i="3" s="1"/>
  <c r="Z723" i="3"/>
  <c r="AA723" i="3"/>
  <c r="AC723" i="3"/>
  <c r="P723" i="3"/>
  <c r="Q723" i="3" s="1"/>
  <c r="R723" i="3" s="1"/>
  <c r="S723" i="3" s="1"/>
  <c r="AD723" i="3"/>
  <c r="T723" i="3" l="1"/>
  <c r="L722" i="3"/>
  <c r="U722" i="3" l="1"/>
  <c r="E723" i="3" s="1"/>
  <c r="H723" i="3" s="1"/>
  <c r="AG723" i="3"/>
  <c r="AH723" i="3"/>
  <c r="Y721" i="3"/>
  <c r="D723" i="3" l="1"/>
  <c r="G723" i="3" s="1"/>
  <c r="K723" i="3"/>
  <c r="AE723" i="3" s="1"/>
  <c r="F723" i="3" l="1"/>
  <c r="V723" i="3"/>
  <c r="A724" i="3"/>
  <c r="B724" i="3" s="1"/>
  <c r="I723" i="3"/>
  <c r="J723" i="3"/>
  <c r="M723" i="3"/>
  <c r="N723" i="3" s="1"/>
  <c r="W723" i="3" l="1"/>
  <c r="L723" i="3"/>
  <c r="AA724" i="3"/>
  <c r="Z724" i="3"/>
  <c r="AC724" i="3"/>
  <c r="P724" i="3"/>
  <c r="Q724" i="3" s="1"/>
  <c r="R724" i="3" s="1"/>
  <c r="S724" i="3" s="1"/>
  <c r="T724" i="3" l="1"/>
  <c r="AH724" i="3" s="1"/>
  <c r="U723" i="3"/>
  <c r="Y722" i="3"/>
  <c r="D724" i="3" l="1"/>
  <c r="E724" i="3"/>
  <c r="H724" i="3" s="1"/>
  <c r="AG724" i="3"/>
  <c r="K724" i="3" l="1"/>
  <c r="AE724" i="3" s="1"/>
  <c r="F724" i="3"/>
  <c r="G724" i="3"/>
  <c r="I724" i="3" l="1"/>
  <c r="J724" i="3"/>
  <c r="AD724" i="3" s="1"/>
  <c r="M724" i="3"/>
  <c r="N724" i="3" s="1"/>
  <c r="V724" i="3"/>
  <c r="A725" i="3"/>
  <c r="B725" i="3" s="1"/>
  <c r="W724" i="3" l="1"/>
  <c r="L724" i="3"/>
  <c r="AC725" i="3"/>
  <c r="P725" i="3"/>
  <c r="Q725" i="3" s="1"/>
  <c r="R725" i="3" s="1"/>
  <c r="S725" i="3" s="1"/>
  <c r="Z725" i="3"/>
  <c r="AA725" i="3"/>
  <c r="AD725" i="3"/>
  <c r="U724" i="3" l="1"/>
  <c r="Y723" i="3"/>
  <c r="T725" i="3"/>
  <c r="AG725" i="3" s="1"/>
  <c r="AH725" i="3" l="1"/>
  <c r="D725" i="3"/>
  <c r="G725" i="3" s="1"/>
  <c r="E725" i="3"/>
  <c r="H725" i="3" s="1"/>
  <c r="F725" i="3" l="1"/>
  <c r="I725" i="3"/>
  <c r="J725" i="3"/>
  <c r="M725" i="3"/>
  <c r="N725" i="3" s="1"/>
  <c r="K725" i="3"/>
  <c r="AE725" i="3" s="1"/>
  <c r="V725" i="3" l="1"/>
  <c r="W725" i="3" s="1"/>
  <c r="A726" i="3"/>
  <c r="B726" i="3" s="1"/>
  <c r="L725" i="3"/>
  <c r="U725" i="3" l="1"/>
  <c r="Y724" i="3"/>
  <c r="Z726" i="3"/>
  <c r="P726" i="3"/>
  <c r="Q726" i="3" s="1"/>
  <c r="R726" i="3" s="1"/>
  <c r="S726" i="3" s="1"/>
  <c r="AA726" i="3"/>
  <c r="AD726" i="3"/>
  <c r="AC726" i="3"/>
  <c r="T726" i="3" l="1"/>
  <c r="AG726" i="3" s="1"/>
  <c r="D726" i="3" l="1"/>
  <c r="G726" i="3" s="1"/>
  <c r="E726" i="3"/>
  <c r="H726" i="3" s="1"/>
  <c r="K726" i="3" s="1"/>
  <c r="AE726" i="3" s="1"/>
  <c r="AH726" i="3"/>
  <c r="F726" i="3" l="1"/>
  <c r="I726" i="3"/>
  <c r="J726" i="3"/>
  <c r="M726" i="3"/>
  <c r="N726" i="3" s="1"/>
  <c r="V726" i="3"/>
  <c r="A727" i="3"/>
  <c r="B727" i="3" s="1"/>
  <c r="W726" i="3" l="1"/>
  <c r="L726" i="3"/>
  <c r="P727" i="3"/>
  <c r="Q727" i="3" s="1"/>
  <c r="R727" i="3" s="1"/>
  <c r="S727" i="3" s="1"/>
  <c r="Z727" i="3"/>
  <c r="AA727" i="3"/>
  <c r="AC727" i="3"/>
  <c r="AD727" i="3"/>
  <c r="U726" i="3" l="1"/>
  <c r="Y725" i="3"/>
  <c r="T727" i="3"/>
  <c r="AH727" i="3" s="1"/>
  <c r="E727" i="3" l="1"/>
  <c r="H727" i="3" s="1"/>
  <c r="K727" i="3" s="1"/>
  <c r="AE727" i="3" s="1"/>
  <c r="D727" i="3"/>
  <c r="AG727" i="3"/>
  <c r="F727" i="3" l="1"/>
  <c r="G727" i="3"/>
  <c r="M727" i="3" s="1"/>
  <c r="N727" i="3" s="1"/>
  <c r="V727" i="3"/>
  <c r="A728" i="3"/>
  <c r="B728" i="3" s="1"/>
  <c r="I727" i="3" l="1"/>
  <c r="W727" i="3" s="1"/>
  <c r="J727" i="3"/>
  <c r="L727" i="3" s="1"/>
  <c r="AA728" i="3"/>
  <c r="P728" i="3"/>
  <c r="Q728" i="3" s="1"/>
  <c r="R728" i="3" s="1"/>
  <c r="S728" i="3" s="1"/>
  <c r="AC728" i="3"/>
  <c r="Z728" i="3"/>
  <c r="AD728" i="3"/>
  <c r="U727" i="3" l="1"/>
  <c r="Y726" i="3"/>
  <c r="T728" i="3"/>
  <c r="D728" i="3" l="1"/>
  <c r="G728" i="3" s="1"/>
  <c r="AG728" i="3"/>
  <c r="E728" i="3"/>
  <c r="H728" i="3" s="1"/>
  <c r="AH728" i="3"/>
  <c r="F728" i="3" l="1"/>
  <c r="I728" i="3"/>
  <c r="J728" i="3"/>
  <c r="M728" i="3"/>
  <c r="N728" i="3" s="1"/>
  <c r="K728" i="3"/>
  <c r="AE728" i="3" s="1"/>
  <c r="V728" i="3" l="1"/>
  <c r="W728" i="3" s="1"/>
  <c r="A729" i="3"/>
  <c r="B729" i="3" s="1"/>
  <c r="L728" i="3"/>
  <c r="U728" i="3" l="1"/>
  <c r="Y727" i="3"/>
  <c r="P729" i="3"/>
  <c r="Q729" i="3" s="1"/>
  <c r="R729" i="3" s="1"/>
  <c r="S729" i="3" s="1"/>
  <c r="AA729" i="3"/>
  <c r="AD729" i="3"/>
  <c r="AC729" i="3"/>
  <c r="Z729" i="3"/>
  <c r="T729" i="3" l="1"/>
  <c r="E729" i="3" s="1"/>
  <c r="H729" i="3" s="1"/>
  <c r="AH729" i="3" l="1"/>
  <c r="D729" i="3"/>
  <c r="F729" i="3" s="1"/>
  <c r="AG729" i="3"/>
  <c r="K729" i="3"/>
  <c r="AE729" i="3" s="1"/>
  <c r="G729" i="3" l="1"/>
  <c r="I729" i="3" s="1"/>
  <c r="V729" i="3"/>
  <c r="A730" i="3"/>
  <c r="B730" i="3" s="1"/>
  <c r="W729" i="3" l="1"/>
  <c r="J729" i="3"/>
  <c r="L729" i="3" s="1"/>
  <c r="M729" i="3"/>
  <c r="N729" i="3" s="1"/>
  <c r="AA730" i="3"/>
  <c r="Z730" i="3"/>
  <c r="AD730" i="3"/>
  <c r="P730" i="3"/>
  <c r="Q730" i="3" s="1"/>
  <c r="R730" i="3" s="1"/>
  <c r="S730" i="3" s="1"/>
  <c r="AC730" i="3"/>
  <c r="U729" i="3" l="1"/>
  <c r="Y728" i="3"/>
  <c r="T730" i="3"/>
  <c r="AG730" i="3" s="1"/>
  <c r="D730" i="3" l="1"/>
  <c r="E730" i="3"/>
  <c r="H730" i="3" s="1"/>
  <c r="AH730" i="3"/>
  <c r="K730" i="3" l="1"/>
  <c r="AE730" i="3" s="1"/>
  <c r="F730" i="3"/>
  <c r="G730" i="3"/>
  <c r="I730" i="3" l="1"/>
  <c r="J730" i="3"/>
  <c r="M730" i="3"/>
  <c r="N730" i="3" s="1"/>
  <c r="V730" i="3"/>
  <c r="A731" i="3"/>
  <c r="B731" i="3" s="1"/>
  <c r="W730" i="3" l="1"/>
  <c r="L730" i="3"/>
  <c r="P731" i="3"/>
  <c r="Q731" i="3" s="1"/>
  <c r="R731" i="3" s="1"/>
  <c r="S731" i="3" s="1"/>
  <c r="Z731" i="3"/>
  <c r="AA731" i="3"/>
  <c r="AD731" i="3"/>
  <c r="AC731" i="3"/>
  <c r="U730" i="3" l="1"/>
  <c r="Y729" i="3"/>
  <c r="T731" i="3"/>
  <c r="AG731" i="3" s="1"/>
  <c r="E731" i="3" l="1"/>
  <c r="H731" i="3" s="1"/>
  <c r="K731" i="3" s="1"/>
  <c r="AE731" i="3" s="1"/>
  <c r="AH731" i="3"/>
  <c r="D731" i="3"/>
  <c r="F731" i="3" l="1"/>
  <c r="G731" i="3"/>
  <c r="J731" i="3" s="1"/>
  <c r="V731" i="3"/>
  <c r="A732" i="3"/>
  <c r="B732" i="3" s="1"/>
  <c r="M731" i="3" l="1"/>
  <c r="N731" i="3" s="1"/>
  <c r="I731" i="3"/>
  <c r="W731" i="3" s="1"/>
  <c r="L731" i="3"/>
  <c r="AC732" i="3"/>
  <c r="Z732" i="3"/>
  <c r="AD732" i="3"/>
  <c r="AA732" i="3"/>
  <c r="P732" i="3"/>
  <c r="Q732" i="3" s="1"/>
  <c r="R732" i="3" s="1"/>
  <c r="S732" i="3" s="1"/>
  <c r="U731" i="3" l="1"/>
  <c r="Y730" i="3"/>
  <c r="T732" i="3"/>
  <c r="E732" i="3" l="1"/>
  <c r="H732" i="3" s="1"/>
  <c r="K732" i="3" s="1"/>
  <c r="AE732" i="3" s="1"/>
  <c r="D732" i="3"/>
  <c r="G732" i="3" s="1"/>
  <c r="AH732" i="3"/>
  <c r="AG732" i="3"/>
  <c r="F732" i="3" l="1"/>
  <c r="I732" i="3"/>
  <c r="J732" i="3"/>
  <c r="M732" i="3"/>
  <c r="N732" i="3" s="1"/>
  <c r="V732" i="3"/>
  <c r="A733" i="3"/>
  <c r="B733" i="3" s="1"/>
  <c r="W732" i="3" l="1"/>
  <c r="L732" i="3"/>
  <c r="AC733" i="3"/>
  <c r="P733" i="3"/>
  <c r="Q733" i="3" s="1"/>
  <c r="R733" i="3" s="1"/>
  <c r="S733" i="3" s="1"/>
  <c r="AA733" i="3"/>
  <c r="Z733" i="3"/>
  <c r="AD733" i="3"/>
  <c r="T733" i="3" l="1"/>
  <c r="AH733" i="3" s="1"/>
  <c r="U732" i="3"/>
  <c r="Y731" i="3"/>
  <c r="D733" i="3" l="1"/>
  <c r="G733" i="3" s="1"/>
  <c r="E733" i="3"/>
  <c r="H733" i="3" s="1"/>
  <c r="AG733" i="3"/>
  <c r="F733" i="3" l="1"/>
  <c r="I733" i="3"/>
  <c r="J733" i="3"/>
  <c r="M733" i="3"/>
  <c r="N733" i="3" s="1"/>
  <c r="K733" i="3"/>
  <c r="AE733" i="3" s="1"/>
  <c r="V733" i="3" l="1"/>
  <c r="W733" i="3" s="1"/>
  <c r="A734" i="3"/>
  <c r="B734" i="3" s="1"/>
  <c r="L733" i="3"/>
  <c r="U733" i="3" l="1"/>
  <c r="Y732" i="3"/>
  <c r="P734" i="3"/>
  <c r="Q734" i="3" s="1"/>
  <c r="R734" i="3" s="1"/>
  <c r="S734" i="3" s="1"/>
  <c r="AC734" i="3"/>
  <c r="AA734" i="3"/>
  <c r="Z734" i="3"/>
  <c r="T734" i="3" l="1"/>
  <c r="AG734" i="3" s="1"/>
  <c r="D734" i="3" l="1"/>
  <c r="E734" i="3"/>
  <c r="H734" i="3" s="1"/>
  <c r="K734" i="3" s="1"/>
  <c r="AE734" i="3" s="1"/>
  <c r="AH734" i="3"/>
  <c r="F734" i="3" l="1"/>
  <c r="G734" i="3"/>
  <c r="M734" i="3" s="1"/>
  <c r="N734" i="3" s="1"/>
  <c r="V734" i="3"/>
  <c r="A735" i="3"/>
  <c r="B735" i="3" s="1"/>
  <c r="I734" i="3" l="1"/>
  <c r="W734" i="3" s="1"/>
  <c r="J734" i="3"/>
  <c r="AA735" i="3"/>
  <c r="Z735" i="3"/>
  <c r="P735" i="3"/>
  <c r="Q735" i="3" s="1"/>
  <c r="R735" i="3" s="1"/>
  <c r="S735" i="3" s="1"/>
  <c r="AC735" i="3"/>
  <c r="AD735" i="3"/>
  <c r="L734" i="3" l="1"/>
  <c r="Y733" i="3" s="1"/>
  <c r="AD734" i="3"/>
  <c r="T735" i="3"/>
  <c r="U734" i="3" l="1"/>
  <c r="E735" i="3" s="1"/>
  <c r="H735" i="3" s="1"/>
  <c r="AH735" i="3"/>
  <c r="AG735" i="3"/>
  <c r="D735" i="3" l="1"/>
  <c r="G735" i="3" s="1"/>
  <c r="M735" i="3" s="1"/>
  <c r="N735" i="3" s="1"/>
  <c r="K735" i="3"/>
  <c r="AE735" i="3" s="1"/>
  <c r="F735" i="3" l="1"/>
  <c r="I735" i="3"/>
  <c r="J735" i="3"/>
  <c r="L735" i="3" s="1"/>
  <c r="V735" i="3"/>
  <c r="A736" i="3"/>
  <c r="B736" i="3" s="1"/>
  <c r="W735" i="3" l="1"/>
  <c r="U735" i="3"/>
  <c r="Y734" i="3"/>
  <c r="Z736" i="3"/>
  <c r="P736" i="3"/>
  <c r="Q736" i="3" s="1"/>
  <c r="R736" i="3" s="1"/>
  <c r="S736" i="3" s="1"/>
  <c r="AA736" i="3"/>
  <c r="AD736" i="3"/>
  <c r="AC736" i="3"/>
  <c r="T736" i="3" l="1"/>
  <c r="E736" i="3" s="1"/>
  <c r="H736" i="3" s="1"/>
  <c r="AH736" i="3" l="1"/>
  <c r="D736" i="3"/>
  <c r="F736" i="3" s="1"/>
  <c r="K736" i="3"/>
  <c r="AE736" i="3" s="1"/>
  <c r="AG736" i="3"/>
  <c r="G736" i="3" l="1"/>
  <c r="M736" i="3" s="1"/>
  <c r="N736" i="3" s="1"/>
  <c r="V736" i="3"/>
  <c r="A737" i="3"/>
  <c r="B737" i="3" s="1"/>
  <c r="I736" i="3" l="1"/>
  <c r="W736" i="3" s="1"/>
  <c r="J736" i="3"/>
  <c r="L736" i="3" s="1"/>
  <c r="AC737" i="3"/>
  <c r="P737" i="3"/>
  <c r="Q737" i="3" s="1"/>
  <c r="R737" i="3" s="1"/>
  <c r="S737" i="3" s="1"/>
  <c r="AD737" i="3"/>
  <c r="Z737" i="3"/>
  <c r="AA737" i="3"/>
  <c r="U736" i="3" l="1"/>
  <c r="Y735" i="3"/>
  <c r="T737" i="3"/>
  <c r="AH737" i="3" s="1"/>
  <c r="D737" i="3" l="1"/>
  <c r="E737" i="3"/>
  <c r="H737" i="3" s="1"/>
  <c r="AG737" i="3"/>
  <c r="F737" i="3" l="1"/>
  <c r="G737" i="3"/>
  <c r="K737" i="3"/>
  <c r="AE737" i="3" s="1"/>
  <c r="V737" i="3" l="1"/>
  <c r="A738" i="3"/>
  <c r="B738" i="3" s="1"/>
  <c r="I737" i="3"/>
  <c r="J737" i="3"/>
  <c r="M737" i="3"/>
  <c r="N737" i="3" s="1"/>
  <c r="W737" i="3" l="1"/>
  <c r="L737" i="3"/>
  <c r="AA738" i="3"/>
  <c r="P738" i="3"/>
  <c r="Q738" i="3" s="1"/>
  <c r="R738" i="3" s="1"/>
  <c r="S738" i="3" s="1"/>
  <c r="AC738" i="3"/>
  <c r="Z738" i="3"/>
  <c r="AD738" i="3"/>
  <c r="U737" i="3" l="1"/>
  <c r="Y736" i="3"/>
  <c r="T738" i="3"/>
  <c r="E738" i="3" l="1"/>
  <c r="H738" i="3" s="1"/>
  <c r="K738" i="3" s="1"/>
  <c r="AE738" i="3" s="1"/>
  <c r="D738" i="3"/>
  <c r="AG738" i="3"/>
  <c r="AH738" i="3"/>
  <c r="V738" i="3" l="1"/>
  <c r="A739" i="3"/>
  <c r="B739" i="3" s="1"/>
  <c r="F738" i="3"/>
  <c r="G738" i="3"/>
  <c r="I738" i="3" l="1"/>
  <c r="W738" i="3" s="1"/>
  <c r="J738" i="3"/>
  <c r="M738" i="3"/>
  <c r="N738" i="3" s="1"/>
  <c r="P739" i="3"/>
  <c r="Q739" i="3" s="1"/>
  <c r="R739" i="3" s="1"/>
  <c r="S739" i="3" s="1"/>
  <c r="AC739" i="3"/>
  <c r="AA739" i="3"/>
  <c r="AD739" i="3"/>
  <c r="Z739" i="3"/>
  <c r="T739" i="3" l="1"/>
  <c r="L738" i="3"/>
  <c r="AH739" i="3" l="1"/>
  <c r="U738" i="3"/>
  <c r="E739" i="3" s="1"/>
  <c r="H739" i="3" s="1"/>
  <c r="AG739" i="3"/>
  <c r="Y737" i="3"/>
  <c r="D739" i="3" l="1"/>
  <c r="G739" i="3" s="1"/>
  <c r="K739" i="3"/>
  <c r="AE739" i="3" s="1"/>
  <c r="F739" i="3" l="1"/>
  <c r="I739" i="3"/>
  <c r="J739" i="3"/>
  <c r="M739" i="3"/>
  <c r="N739" i="3" s="1"/>
  <c r="V739" i="3"/>
  <c r="A740" i="3"/>
  <c r="B740" i="3" s="1"/>
  <c r="W739" i="3" l="1"/>
  <c r="L739" i="3"/>
  <c r="P740" i="3"/>
  <c r="Q740" i="3" s="1"/>
  <c r="R740" i="3" s="1"/>
  <c r="S740" i="3" s="1"/>
  <c r="Z740" i="3"/>
  <c r="AC740" i="3"/>
  <c r="AD740" i="3"/>
  <c r="AA740" i="3"/>
  <c r="U739" i="3" l="1"/>
  <c r="Y738" i="3"/>
  <c r="T740" i="3"/>
  <c r="E740" i="3" l="1"/>
  <c r="H740" i="3" s="1"/>
  <c r="K740" i="3" s="1"/>
  <c r="AE740" i="3" s="1"/>
  <c r="D740" i="3"/>
  <c r="G740" i="3" s="1"/>
  <c r="AH740" i="3"/>
  <c r="AG740" i="3"/>
  <c r="F740" i="3" l="1"/>
  <c r="I740" i="3"/>
  <c r="J740" i="3"/>
  <c r="M740" i="3"/>
  <c r="N740" i="3" s="1"/>
  <c r="V740" i="3"/>
  <c r="A741" i="3"/>
  <c r="B741" i="3" s="1"/>
  <c r="W740" i="3" l="1"/>
  <c r="L740" i="3"/>
  <c r="AA741" i="3"/>
  <c r="P741" i="3"/>
  <c r="Q741" i="3" s="1"/>
  <c r="R741" i="3" s="1"/>
  <c r="S741" i="3" s="1"/>
  <c r="AD741" i="3"/>
  <c r="Z741" i="3"/>
  <c r="AC741" i="3"/>
  <c r="T741" i="3" l="1"/>
  <c r="AG741" i="3" s="1"/>
  <c r="U740" i="3"/>
  <c r="Y739" i="3"/>
  <c r="E741" i="3" l="1"/>
  <c r="H741" i="3" s="1"/>
  <c r="D741" i="3"/>
  <c r="AH741" i="3"/>
  <c r="K741" i="3" l="1"/>
  <c r="AE741" i="3" s="1"/>
  <c r="F741" i="3"/>
  <c r="G741" i="3"/>
  <c r="V741" i="3" l="1"/>
  <c r="A742" i="3"/>
  <c r="B742" i="3" s="1"/>
  <c r="I741" i="3"/>
  <c r="J741" i="3"/>
  <c r="M741" i="3"/>
  <c r="N741" i="3" s="1"/>
  <c r="L741" i="3" l="1"/>
  <c r="W741" i="3"/>
  <c r="AC742" i="3"/>
  <c r="P742" i="3"/>
  <c r="Q742" i="3" s="1"/>
  <c r="R742" i="3" s="1"/>
  <c r="S742" i="3" s="1"/>
  <c r="AD742" i="3"/>
  <c r="Z742" i="3"/>
  <c r="AA742" i="3"/>
  <c r="U741" i="3" l="1"/>
  <c r="Y740" i="3"/>
  <c r="T742" i="3"/>
  <c r="AG742" i="3" s="1"/>
  <c r="E742" i="3" l="1"/>
  <c r="H742" i="3" s="1"/>
  <c r="K742" i="3" s="1"/>
  <c r="AE742" i="3" s="1"/>
  <c r="AH742" i="3"/>
  <c r="D742" i="3"/>
  <c r="F742" i="3" l="1"/>
  <c r="G742" i="3"/>
  <c r="V742" i="3"/>
  <c r="A743" i="3"/>
  <c r="B743" i="3" s="1"/>
  <c r="I742" i="3" l="1"/>
  <c r="W742" i="3" s="1"/>
  <c r="J742" i="3"/>
  <c r="M742" i="3"/>
  <c r="N742" i="3" s="1"/>
  <c r="Z743" i="3"/>
  <c r="AA743" i="3"/>
  <c r="P743" i="3"/>
  <c r="Q743" i="3" s="1"/>
  <c r="R743" i="3" s="1"/>
  <c r="S743" i="3" s="1"/>
  <c r="AC743" i="3"/>
  <c r="AD743" i="3"/>
  <c r="T743" i="3" l="1"/>
  <c r="L742" i="3"/>
  <c r="U742" i="3" l="1"/>
  <c r="E743" i="3" s="1"/>
  <c r="H743" i="3" s="1"/>
  <c r="AH743" i="3"/>
  <c r="AG743" i="3"/>
  <c r="Y741" i="3"/>
  <c r="D743" i="3" l="1"/>
  <c r="G743" i="3" s="1"/>
  <c r="K743" i="3"/>
  <c r="AE743" i="3" s="1"/>
  <c r="F743" i="3" l="1"/>
  <c r="I743" i="3"/>
  <c r="J743" i="3"/>
  <c r="M743" i="3"/>
  <c r="N743" i="3" s="1"/>
  <c r="V743" i="3"/>
  <c r="A744" i="3"/>
  <c r="B744" i="3" s="1"/>
  <c r="W743" i="3" l="1"/>
  <c r="L743" i="3"/>
  <c r="AA744" i="3"/>
  <c r="P744" i="3"/>
  <c r="Q744" i="3" s="1"/>
  <c r="R744" i="3" s="1"/>
  <c r="S744" i="3" s="1"/>
  <c r="AC744" i="3"/>
  <c r="Z744" i="3"/>
  <c r="U743" i="3" l="1"/>
  <c r="Y742" i="3"/>
  <c r="T744" i="3"/>
  <c r="AG744" i="3" s="1"/>
  <c r="E744" i="3" l="1"/>
  <c r="H744" i="3" s="1"/>
  <c r="K744" i="3" s="1"/>
  <c r="AE744" i="3" s="1"/>
  <c r="D744" i="3"/>
  <c r="AH744" i="3"/>
  <c r="F744" i="3" l="1"/>
  <c r="G744" i="3"/>
  <c r="I744" i="3" s="1"/>
  <c r="V744" i="3"/>
  <c r="A745" i="3"/>
  <c r="B745" i="3" s="1"/>
  <c r="J744" i="3" l="1"/>
  <c r="M744" i="3"/>
  <c r="N744" i="3" s="1"/>
  <c r="W744" i="3"/>
  <c r="P745" i="3"/>
  <c r="Q745" i="3" s="1"/>
  <c r="R745" i="3" s="1"/>
  <c r="S745" i="3" s="1"/>
  <c r="AA745" i="3"/>
  <c r="AC745" i="3"/>
  <c r="AD745" i="3"/>
  <c r="Z745" i="3"/>
  <c r="L744" i="3" l="1"/>
  <c r="U744" i="3" s="1"/>
  <c r="AD744" i="3"/>
  <c r="T745" i="3"/>
  <c r="Y743" i="3" l="1"/>
  <c r="AG745" i="3"/>
  <c r="E745" i="3"/>
  <c r="H745" i="3" s="1"/>
  <c r="K745" i="3" s="1"/>
  <c r="AE745" i="3" s="1"/>
  <c r="D745" i="3"/>
  <c r="AH745" i="3"/>
  <c r="F745" i="3" l="1"/>
  <c r="G745" i="3"/>
  <c r="M745" i="3" s="1"/>
  <c r="N745" i="3" s="1"/>
  <c r="V745" i="3"/>
  <c r="A746" i="3"/>
  <c r="B746" i="3" s="1"/>
  <c r="I745" i="3" l="1"/>
  <c r="W745" i="3" s="1"/>
  <c r="J745" i="3"/>
  <c r="L745" i="3" s="1"/>
  <c r="Z746" i="3"/>
  <c r="AD746" i="3"/>
  <c r="P746" i="3"/>
  <c r="Q746" i="3" s="1"/>
  <c r="R746" i="3" s="1"/>
  <c r="S746" i="3" s="1"/>
  <c r="AA746" i="3"/>
  <c r="AC746" i="3"/>
  <c r="U745" i="3" l="1"/>
  <c r="Y744" i="3"/>
  <c r="T746" i="3"/>
  <c r="D746" i="3" l="1"/>
  <c r="G746" i="3" s="1"/>
  <c r="AG746" i="3"/>
  <c r="E746" i="3"/>
  <c r="H746" i="3" s="1"/>
  <c r="AH746" i="3"/>
  <c r="F746" i="3" l="1"/>
  <c r="I746" i="3"/>
  <c r="J746" i="3"/>
  <c r="M746" i="3"/>
  <c r="N746" i="3" s="1"/>
  <c r="K746" i="3"/>
  <c r="AE746" i="3" s="1"/>
  <c r="V746" i="3" l="1"/>
  <c r="W746" i="3" s="1"/>
  <c r="A747" i="3"/>
  <c r="B747" i="3" s="1"/>
  <c r="L746" i="3"/>
  <c r="U746" i="3" l="1"/>
  <c r="Y745" i="3"/>
  <c r="AA747" i="3"/>
  <c r="AD747" i="3"/>
  <c r="Z747" i="3"/>
  <c r="AC747" i="3"/>
  <c r="P747" i="3"/>
  <c r="Q747" i="3" s="1"/>
  <c r="R747" i="3" s="1"/>
  <c r="S747" i="3" s="1"/>
  <c r="T747" i="3" l="1"/>
  <c r="D747" i="3" s="1"/>
  <c r="AG747" i="3" l="1"/>
  <c r="E747" i="3"/>
  <c r="H747" i="3" s="1"/>
  <c r="K747" i="3" s="1"/>
  <c r="AE747" i="3" s="1"/>
  <c r="AH747" i="3"/>
  <c r="G747" i="3"/>
  <c r="F747" i="3" l="1"/>
  <c r="I747" i="3"/>
  <c r="J747" i="3"/>
  <c r="M747" i="3"/>
  <c r="N747" i="3" s="1"/>
  <c r="V747" i="3"/>
  <c r="A748" i="3"/>
  <c r="B748" i="3" s="1"/>
  <c r="W747" i="3" l="1"/>
  <c r="L747" i="3"/>
  <c r="AC748" i="3"/>
  <c r="P748" i="3"/>
  <c r="Q748" i="3" s="1"/>
  <c r="R748" i="3" s="1"/>
  <c r="S748" i="3" s="1"/>
  <c r="AD748" i="3"/>
  <c r="Z748" i="3"/>
  <c r="AA748" i="3"/>
  <c r="U747" i="3" l="1"/>
  <c r="Y746" i="3"/>
  <c r="T748" i="3"/>
  <c r="E748" i="3" l="1"/>
  <c r="H748" i="3" s="1"/>
  <c r="K748" i="3" s="1"/>
  <c r="AE748" i="3" s="1"/>
  <c r="D748" i="3"/>
  <c r="AH748" i="3"/>
  <c r="AG748" i="3"/>
  <c r="V748" i="3" l="1"/>
  <c r="A749" i="3"/>
  <c r="B749" i="3" s="1"/>
  <c r="F748" i="3"/>
  <c r="G748" i="3"/>
  <c r="I748" i="3" l="1"/>
  <c r="W748" i="3" s="1"/>
  <c r="J748" i="3"/>
  <c r="M748" i="3"/>
  <c r="N748" i="3" s="1"/>
  <c r="AA749" i="3"/>
  <c r="Z749" i="3"/>
  <c r="P749" i="3"/>
  <c r="Q749" i="3" s="1"/>
  <c r="R749" i="3" s="1"/>
  <c r="S749" i="3" s="1"/>
  <c r="AC749" i="3"/>
  <c r="AD749" i="3"/>
  <c r="T749" i="3" l="1"/>
  <c r="L748" i="3"/>
  <c r="U748" i="3" l="1"/>
  <c r="E749" i="3" s="1"/>
  <c r="H749" i="3" s="1"/>
  <c r="AG749" i="3"/>
  <c r="AH749" i="3"/>
  <c r="Y747" i="3"/>
  <c r="K749" i="3" l="1"/>
  <c r="AE749" i="3" s="1"/>
  <c r="D749" i="3"/>
  <c r="V749" i="3" l="1"/>
  <c r="A750" i="3"/>
  <c r="B750" i="3" s="1"/>
  <c r="F749" i="3"/>
  <c r="G749" i="3"/>
  <c r="I749" i="3" l="1"/>
  <c r="W749" i="3" s="1"/>
  <c r="J749" i="3"/>
  <c r="M749" i="3"/>
  <c r="N749" i="3" s="1"/>
  <c r="AA750" i="3"/>
  <c r="AC750" i="3"/>
  <c r="Z750" i="3"/>
  <c r="AD750" i="3"/>
  <c r="P750" i="3"/>
  <c r="Q750" i="3" s="1"/>
  <c r="R750" i="3" s="1"/>
  <c r="S750" i="3" s="1"/>
  <c r="T750" i="3" l="1"/>
  <c r="L749" i="3"/>
  <c r="AH750" i="3" l="1"/>
  <c r="AG750" i="3"/>
  <c r="U749" i="3"/>
  <c r="D750" i="3" s="1"/>
  <c r="Y748" i="3"/>
  <c r="G750" i="3" l="1"/>
  <c r="E750" i="3"/>
  <c r="H750" i="3" s="1"/>
  <c r="F750" i="3" l="1"/>
  <c r="I750" i="3"/>
  <c r="J750" i="3"/>
  <c r="M750" i="3"/>
  <c r="N750" i="3" s="1"/>
  <c r="K750" i="3"/>
  <c r="AE750" i="3" s="1"/>
  <c r="V750" i="3" l="1"/>
  <c r="W750" i="3" s="1"/>
  <c r="A751" i="3"/>
  <c r="B751" i="3" s="1"/>
  <c r="L750" i="3"/>
  <c r="U750" i="3" l="1"/>
  <c r="Y749" i="3"/>
  <c r="P751" i="3"/>
  <c r="Q751" i="3" s="1"/>
  <c r="R751" i="3" s="1"/>
  <c r="S751" i="3" s="1"/>
  <c r="Z751" i="3"/>
  <c r="AA751" i="3"/>
  <c r="AC751" i="3"/>
  <c r="AD751" i="3"/>
  <c r="T751" i="3" l="1"/>
  <c r="AH751" i="3" s="1"/>
  <c r="E751" i="3" l="1"/>
  <c r="H751" i="3" s="1"/>
  <c r="K751" i="3" s="1"/>
  <c r="AE751" i="3" s="1"/>
  <c r="AG751" i="3"/>
  <c r="D751" i="3"/>
  <c r="F751" i="3" l="1"/>
  <c r="G751" i="3"/>
  <c r="V751" i="3"/>
  <c r="A752" i="3"/>
  <c r="B752" i="3" s="1"/>
  <c r="AA752" i="3" l="1"/>
  <c r="AD752" i="3"/>
  <c r="Z752" i="3"/>
  <c r="AC752" i="3"/>
  <c r="P752" i="3"/>
  <c r="Q752" i="3" s="1"/>
  <c r="R752" i="3" s="1"/>
  <c r="S752" i="3" s="1"/>
  <c r="I751" i="3"/>
  <c r="W751" i="3" s="1"/>
  <c r="J751" i="3"/>
  <c r="M751" i="3"/>
  <c r="N751" i="3" s="1"/>
  <c r="L751" i="3" l="1"/>
  <c r="T752" i="3"/>
  <c r="U751" i="3" l="1"/>
  <c r="E752" i="3" s="1"/>
  <c r="H752" i="3" s="1"/>
  <c r="AG752" i="3"/>
  <c r="AH752" i="3"/>
  <c r="Y750" i="3"/>
  <c r="K752" i="3" l="1"/>
  <c r="AE752" i="3" s="1"/>
  <c r="D752" i="3"/>
  <c r="V752" i="3" l="1"/>
  <c r="A753" i="3"/>
  <c r="B753" i="3" s="1"/>
  <c r="F752" i="3"/>
  <c r="G752" i="3"/>
  <c r="I752" i="3" l="1"/>
  <c r="W752" i="3" s="1"/>
  <c r="J752" i="3"/>
  <c r="M752" i="3"/>
  <c r="N752" i="3" s="1"/>
  <c r="AD753" i="3"/>
  <c r="AA753" i="3"/>
  <c r="Z753" i="3"/>
  <c r="P753" i="3"/>
  <c r="Q753" i="3" s="1"/>
  <c r="R753" i="3" s="1"/>
  <c r="S753" i="3" s="1"/>
  <c r="AC753" i="3"/>
  <c r="T753" i="3" l="1"/>
  <c r="L752" i="3"/>
  <c r="AG753" i="3" l="1"/>
  <c r="U752" i="3"/>
  <c r="E753" i="3" s="1"/>
  <c r="H753" i="3" s="1"/>
  <c r="AH753" i="3"/>
  <c r="Y751" i="3"/>
  <c r="K753" i="3" l="1"/>
  <c r="AE753" i="3" s="1"/>
  <c r="D753" i="3"/>
  <c r="V753" i="3" l="1"/>
  <c r="A754" i="3"/>
  <c r="B754" i="3" s="1"/>
  <c r="F753" i="3"/>
  <c r="G753" i="3"/>
  <c r="I753" i="3" l="1"/>
  <c r="W753" i="3" s="1"/>
  <c r="J753" i="3"/>
  <c r="M753" i="3"/>
  <c r="N753" i="3" s="1"/>
  <c r="AC754" i="3"/>
  <c r="P754" i="3"/>
  <c r="Q754" i="3" s="1"/>
  <c r="R754" i="3" s="1"/>
  <c r="S754" i="3" s="1"/>
  <c r="Z754" i="3"/>
  <c r="AA754" i="3"/>
  <c r="T754" i="3" l="1"/>
  <c r="L753" i="3"/>
  <c r="AG754" i="3" l="1"/>
  <c r="AH754" i="3"/>
  <c r="U753" i="3"/>
  <c r="E754" i="3" s="1"/>
  <c r="H754" i="3" s="1"/>
  <c r="Y752" i="3"/>
  <c r="D754" i="3" l="1"/>
  <c r="G754" i="3" s="1"/>
  <c r="K754" i="3"/>
  <c r="AE754" i="3" s="1"/>
  <c r="F754" i="3" l="1"/>
  <c r="I754" i="3"/>
  <c r="J754" i="3"/>
  <c r="AD754" i="3" s="1"/>
  <c r="M754" i="3"/>
  <c r="N754" i="3" s="1"/>
  <c r="V754" i="3"/>
  <c r="A755" i="3"/>
  <c r="B755" i="3" s="1"/>
  <c r="W754" i="3" l="1"/>
  <c r="L754" i="3"/>
  <c r="AD755" i="3"/>
  <c r="AC755" i="3"/>
  <c r="AA755" i="3"/>
  <c r="P755" i="3"/>
  <c r="Q755" i="3" s="1"/>
  <c r="R755" i="3" s="1"/>
  <c r="S755" i="3" s="1"/>
  <c r="Z755" i="3"/>
  <c r="T755" i="3" l="1"/>
  <c r="U754" i="3"/>
  <c r="Y753" i="3"/>
  <c r="E755" i="3" l="1"/>
  <c r="H755" i="3" s="1"/>
  <c r="K755" i="3" s="1"/>
  <c r="AE755" i="3" s="1"/>
  <c r="AH755" i="3"/>
  <c r="AG755" i="3"/>
  <c r="D755" i="3"/>
  <c r="F755" i="3" l="1"/>
  <c r="G755" i="3"/>
  <c r="V755" i="3"/>
  <c r="A756" i="3"/>
  <c r="B756" i="3" s="1"/>
  <c r="P756" i="3" l="1"/>
  <c r="Q756" i="3" s="1"/>
  <c r="R756" i="3" s="1"/>
  <c r="S756" i="3" s="1"/>
  <c r="Z756" i="3"/>
  <c r="AA756" i="3"/>
  <c r="AC756" i="3"/>
  <c r="AD756" i="3"/>
  <c r="I755" i="3"/>
  <c r="W755" i="3" s="1"/>
  <c r="J755" i="3"/>
  <c r="M755" i="3"/>
  <c r="N755" i="3" s="1"/>
  <c r="T756" i="3" l="1"/>
  <c r="L755" i="3"/>
  <c r="AG756" i="3" l="1"/>
  <c r="U755" i="3"/>
  <c r="E756" i="3" s="1"/>
  <c r="H756" i="3" s="1"/>
  <c r="AH756" i="3"/>
  <c r="Y754" i="3"/>
  <c r="D756" i="3" l="1"/>
  <c r="F756" i="3" s="1"/>
  <c r="K756" i="3"/>
  <c r="AE756" i="3" s="1"/>
  <c r="G756" i="3" l="1"/>
  <c r="M756" i="3" s="1"/>
  <c r="N756" i="3" s="1"/>
  <c r="V756" i="3"/>
  <c r="A757" i="3"/>
  <c r="B757" i="3" s="1"/>
  <c r="I756" i="3" l="1"/>
  <c r="W756" i="3" s="1"/>
  <c r="J756" i="3"/>
  <c r="L756" i="3" s="1"/>
  <c r="AD757" i="3"/>
  <c r="AC757" i="3"/>
  <c r="P757" i="3"/>
  <c r="Q757" i="3" s="1"/>
  <c r="R757" i="3" s="1"/>
  <c r="S757" i="3" s="1"/>
  <c r="Z757" i="3"/>
  <c r="AA757" i="3"/>
  <c r="T757" i="3" l="1"/>
  <c r="U756" i="3"/>
  <c r="Y755" i="3"/>
  <c r="E757" i="3" l="1"/>
  <c r="H757" i="3" s="1"/>
  <c r="K757" i="3" s="1"/>
  <c r="AE757" i="3" s="1"/>
  <c r="AH757" i="3"/>
  <c r="D757" i="3"/>
  <c r="AG757" i="3"/>
  <c r="V757" i="3" l="1"/>
  <c r="A758" i="3"/>
  <c r="B758" i="3" s="1"/>
  <c r="F757" i="3"/>
  <c r="G757" i="3"/>
  <c r="I757" i="3" l="1"/>
  <c r="W757" i="3" s="1"/>
  <c r="J757" i="3"/>
  <c r="M757" i="3"/>
  <c r="N757" i="3" s="1"/>
  <c r="AA758" i="3"/>
  <c r="Z758" i="3"/>
  <c r="AD758" i="3"/>
  <c r="AC758" i="3"/>
  <c r="P758" i="3"/>
  <c r="Q758" i="3" s="1"/>
  <c r="R758" i="3" s="1"/>
  <c r="S758" i="3" s="1"/>
  <c r="T758" i="3" l="1"/>
  <c r="L757" i="3"/>
  <c r="AG758" i="3" l="1"/>
  <c r="U757" i="3"/>
  <c r="D758" i="3" s="1"/>
  <c r="AH758" i="3"/>
  <c r="Y756" i="3"/>
  <c r="E758" i="3" l="1"/>
  <c r="H758" i="3" s="1"/>
  <c r="K758" i="3" s="1"/>
  <c r="AE758" i="3" s="1"/>
  <c r="G758" i="3"/>
  <c r="F758" i="3" l="1"/>
  <c r="V758" i="3"/>
  <c r="A759" i="3"/>
  <c r="B759" i="3" s="1"/>
  <c r="I758" i="3"/>
  <c r="J758" i="3"/>
  <c r="M758" i="3"/>
  <c r="N758" i="3" s="1"/>
  <c r="L758" i="3" l="1"/>
  <c r="W758" i="3"/>
  <c r="AD759" i="3"/>
  <c r="P759" i="3"/>
  <c r="Q759" i="3" s="1"/>
  <c r="R759" i="3" s="1"/>
  <c r="S759" i="3" s="1"/>
  <c r="Z759" i="3"/>
  <c r="AA759" i="3"/>
  <c r="AC759" i="3"/>
  <c r="U758" i="3" l="1"/>
  <c r="Y757" i="3"/>
  <c r="T759" i="3"/>
  <c r="D759" i="3" l="1"/>
  <c r="G759" i="3" s="1"/>
  <c r="AG759" i="3"/>
  <c r="E759" i="3"/>
  <c r="H759" i="3" s="1"/>
  <c r="AH759" i="3"/>
  <c r="F759" i="3" l="1"/>
  <c r="I759" i="3"/>
  <c r="J759" i="3"/>
  <c r="M759" i="3"/>
  <c r="N759" i="3" s="1"/>
  <c r="K759" i="3"/>
  <c r="AE759" i="3" s="1"/>
  <c r="V759" i="3" l="1"/>
  <c r="W759" i="3" s="1"/>
  <c r="A760" i="3"/>
  <c r="B760" i="3" s="1"/>
  <c r="L759" i="3"/>
  <c r="U759" i="3" l="1"/>
  <c r="Y758" i="3"/>
  <c r="AA760" i="3"/>
  <c r="AC760" i="3"/>
  <c r="Z760" i="3"/>
  <c r="P760" i="3"/>
  <c r="Q760" i="3" s="1"/>
  <c r="R760" i="3" s="1"/>
  <c r="S760" i="3" s="1"/>
  <c r="AD760" i="3"/>
  <c r="T760" i="3" l="1"/>
  <c r="E760" i="3" s="1"/>
  <c r="H760" i="3" s="1"/>
  <c r="AH760" i="3" l="1"/>
  <c r="AG760" i="3"/>
  <c r="D760" i="3"/>
  <c r="G760" i="3" s="1"/>
  <c r="K760" i="3"/>
  <c r="AE760" i="3" s="1"/>
  <c r="F760" i="3" l="1"/>
  <c r="I760" i="3"/>
  <c r="J760" i="3"/>
  <c r="M760" i="3"/>
  <c r="N760" i="3" s="1"/>
  <c r="V760" i="3"/>
  <c r="A761" i="3"/>
  <c r="B761" i="3" s="1"/>
  <c r="W760" i="3" l="1"/>
  <c r="L760" i="3"/>
  <c r="P761" i="3"/>
  <c r="Q761" i="3" s="1"/>
  <c r="R761" i="3" s="1"/>
  <c r="S761" i="3" s="1"/>
  <c r="Z761" i="3"/>
  <c r="AA761" i="3"/>
  <c r="AD761" i="3"/>
  <c r="AC761" i="3"/>
  <c r="T761" i="3" l="1"/>
  <c r="U760" i="3"/>
  <c r="Y759" i="3"/>
  <c r="D761" i="3" l="1"/>
  <c r="G761" i="3" s="1"/>
  <c r="AG761" i="3"/>
  <c r="AH761" i="3"/>
  <c r="E761" i="3"/>
  <c r="H761" i="3" s="1"/>
  <c r="F761" i="3" l="1"/>
  <c r="I761" i="3"/>
  <c r="J761" i="3"/>
  <c r="M761" i="3"/>
  <c r="N761" i="3" s="1"/>
  <c r="K761" i="3"/>
  <c r="AE761" i="3" s="1"/>
  <c r="V761" i="3" l="1"/>
  <c r="W761" i="3" s="1"/>
  <c r="A762" i="3"/>
  <c r="B762" i="3" s="1"/>
  <c r="L761" i="3"/>
  <c r="U761" i="3" l="1"/>
  <c r="Y760" i="3"/>
  <c r="AA762" i="3"/>
  <c r="Z762" i="3"/>
  <c r="AC762" i="3"/>
  <c r="P762" i="3"/>
  <c r="Q762" i="3" s="1"/>
  <c r="R762" i="3" s="1"/>
  <c r="S762" i="3" s="1"/>
  <c r="AD762" i="3"/>
  <c r="T762" i="3" l="1"/>
  <c r="D762" i="3" s="1"/>
  <c r="E762" i="3" l="1"/>
  <c r="H762" i="3" s="1"/>
  <c r="K762" i="3" s="1"/>
  <c r="AE762" i="3" s="1"/>
  <c r="AH762" i="3"/>
  <c r="AG762" i="3"/>
  <c r="G762" i="3"/>
  <c r="F762" i="3" l="1"/>
  <c r="I762" i="3"/>
  <c r="J762" i="3"/>
  <c r="M762" i="3"/>
  <c r="N762" i="3" s="1"/>
  <c r="V762" i="3"/>
  <c r="A763" i="3"/>
  <c r="B763" i="3" s="1"/>
  <c r="W762" i="3" l="1"/>
  <c r="L762" i="3"/>
  <c r="AC763" i="3"/>
  <c r="Z763" i="3"/>
  <c r="AA763" i="3"/>
  <c r="P763" i="3"/>
  <c r="Q763" i="3" s="1"/>
  <c r="R763" i="3" s="1"/>
  <c r="S763" i="3" s="1"/>
  <c r="AD763" i="3"/>
  <c r="U762" i="3" l="1"/>
  <c r="Y761" i="3"/>
  <c r="T763" i="3"/>
  <c r="D763" i="3" l="1"/>
  <c r="G763" i="3" s="1"/>
  <c r="AG763" i="3"/>
  <c r="AH763" i="3"/>
  <c r="E763" i="3"/>
  <c r="H763" i="3" s="1"/>
  <c r="K763" i="3" s="1"/>
  <c r="AE763" i="3" s="1"/>
  <c r="F763" i="3" l="1"/>
  <c r="I763" i="3"/>
  <c r="J763" i="3"/>
  <c r="M763" i="3"/>
  <c r="N763" i="3" s="1"/>
  <c r="V763" i="3"/>
  <c r="A764" i="3"/>
  <c r="B764" i="3" s="1"/>
  <c r="W763" i="3" l="1"/>
  <c r="L763" i="3"/>
  <c r="Z764" i="3"/>
  <c r="P764" i="3"/>
  <c r="Q764" i="3" s="1"/>
  <c r="R764" i="3" s="1"/>
  <c r="S764" i="3" s="1"/>
  <c r="AC764" i="3"/>
  <c r="AA764" i="3"/>
  <c r="U763" i="3" l="1"/>
  <c r="Y762" i="3"/>
  <c r="T764" i="3"/>
  <c r="E764" i="3" l="1"/>
  <c r="H764" i="3" s="1"/>
  <c r="K764" i="3" s="1"/>
  <c r="AE764" i="3" s="1"/>
  <c r="AG764" i="3"/>
  <c r="D764" i="3"/>
  <c r="AH764" i="3"/>
  <c r="F764" i="3" l="1"/>
  <c r="G764" i="3"/>
  <c r="V764" i="3"/>
  <c r="A765" i="3"/>
  <c r="B765" i="3" s="1"/>
  <c r="P765" i="3" l="1"/>
  <c r="Q765" i="3" s="1"/>
  <c r="R765" i="3" s="1"/>
  <c r="S765" i="3" s="1"/>
  <c r="Z765" i="3"/>
  <c r="AA765" i="3"/>
  <c r="AC765" i="3"/>
  <c r="AD765" i="3"/>
  <c r="I764" i="3"/>
  <c r="W764" i="3" s="1"/>
  <c r="J764" i="3"/>
  <c r="AD764" i="3" s="1"/>
  <c r="M764" i="3"/>
  <c r="N764" i="3" s="1"/>
  <c r="T765" i="3" l="1"/>
  <c r="L764" i="3"/>
  <c r="AG765" i="3" l="1"/>
  <c r="AH765" i="3"/>
  <c r="U764" i="3"/>
  <c r="D765" i="3" s="1"/>
  <c r="Y763" i="3"/>
  <c r="E765" i="3" l="1"/>
  <c r="H765" i="3" s="1"/>
  <c r="K765" i="3" s="1"/>
  <c r="AE765" i="3" s="1"/>
  <c r="G765" i="3"/>
  <c r="F765" i="3" l="1"/>
  <c r="I765" i="3"/>
  <c r="J765" i="3"/>
  <c r="M765" i="3"/>
  <c r="N765" i="3" s="1"/>
  <c r="V765" i="3"/>
  <c r="A766" i="3"/>
  <c r="B766" i="3" s="1"/>
  <c r="W765" i="3" l="1"/>
  <c r="L765" i="3"/>
  <c r="AD766" i="3"/>
  <c r="P766" i="3"/>
  <c r="Q766" i="3" s="1"/>
  <c r="R766" i="3" s="1"/>
  <c r="S766" i="3" s="1"/>
  <c r="AA766" i="3"/>
  <c r="Z766" i="3"/>
  <c r="AC766" i="3"/>
  <c r="U765" i="3" l="1"/>
  <c r="Y764" i="3"/>
  <c r="T766" i="3"/>
  <c r="E766" i="3" l="1"/>
  <c r="H766" i="3" s="1"/>
  <c r="K766" i="3" s="1"/>
  <c r="AE766" i="3" s="1"/>
  <c r="D766" i="3"/>
  <c r="AG766" i="3"/>
  <c r="AH766" i="3"/>
  <c r="V766" i="3" l="1"/>
  <c r="A767" i="3"/>
  <c r="B767" i="3" s="1"/>
  <c r="F766" i="3"/>
  <c r="G766" i="3"/>
  <c r="I766" i="3" l="1"/>
  <c r="W766" i="3" s="1"/>
  <c r="J766" i="3"/>
  <c r="M766" i="3"/>
  <c r="N766" i="3" s="1"/>
  <c r="P767" i="3"/>
  <c r="Q767" i="3" s="1"/>
  <c r="R767" i="3" s="1"/>
  <c r="S767" i="3" s="1"/>
  <c r="AC767" i="3"/>
  <c r="AD767" i="3"/>
  <c r="AA767" i="3"/>
  <c r="Z767" i="3"/>
  <c r="T767" i="3" l="1"/>
  <c r="L766" i="3"/>
  <c r="AH767" i="3" l="1"/>
  <c r="AG767" i="3"/>
  <c r="U766" i="3"/>
  <c r="D767" i="3" s="1"/>
  <c r="Y765" i="3"/>
  <c r="E767" i="3" l="1"/>
  <c r="H767" i="3" s="1"/>
  <c r="K767" i="3" s="1"/>
  <c r="AE767" i="3" s="1"/>
  <c r="G767" i="3"/>
  <c r="F767" i="3" l="1"/>
  <c r="I767" i="3"/>
  <c r="J767" i="3"/>
  <c r="M767" i="3"/>
  <c r="N767" i="3" s="1"/>
  <c r="V767" i="3"/>
  <c r="A768" i="3"/>
  <c r="B768" i="3" s="1"/>
  <c r="W767" i="3" l="1"/>
  <c r="L767" i="3"/>
  <c r="AC768" i="3"/>
  <c r="AA768" i="3"/>
  <c r="AD768" i="3"/>
  <c r="P768" i="3"/>
  <c r="Q768" i="3" s="1"/>
  <c r="R768" i="3" s="1"/>
  <c r="S768" i="3" s="1"/>
  <c r="Z768" i="3"/>
  <c r="T768" i="3" l="1"/>
  <c r="AG768" i="3" s="1"/>
  <c r="U767" i="3"/>
  <c r="Y766" i="3"/>
  <c r="D768" i="3" l="1"/>
  <c r="G768" i="3" s="1"/>
  <c r="AH768" i="3"/>
  <c r="E768" i="3"/>
  <c r="H768" i="3" s="1"/>
  <c r="K768" i="3" l="1"/>
  <c r="AE768" i="3" s="1"/>
  <c r="I768" i="3"/>
  <c r="J768" i="3"/>
  <c r="M768" i="3"/>
  <c r="N768" i="3" s="1"/>
  <c r="F768" i="3"/>
  <c r="L768" i="3" l="1"/>
  <c r="V768" i="3"/>
  <c r="W768" i="3" s="1"/>
  <c r="A769" i="3"/>
  <c r="B769" i="3" s="1"/>
  <c r="AD769" i="3" l="1"/>
  <c r="AC769" i="3"/>
  <c r="Z769" i="3"/>
  <c r="P769" i="3"/>
  <c r="Q769" i="3" s="1"/>
  <c r="R769" i="3" s="1"/>
  <c r="S769" i="3" s="1"/>
  <c r="AA769" i="3"/>
  <c r="U768" i="3"/>
  <c r="Y767" i="3"/>
  <c r="T769" i="3" l="1"/>
  <c r="AG769" i="3" l="1"/>
  <c r="D769" i="3"/>
  <c r="AH769" i="3"/>
  <c r="E769" i="3"/>
  <c r="H769" i="3" s="1"/>
  <c r="F769" i="3" l="1"/>
  <c r="G769" i="3"/>
  <c r="K769" i="3"/>
  <c r="AE769" i="3" s="1"/>
  <c r="V769" i="3" l="1"/>
  <c r="A770" i="3"/>
  <c r="B770" i="3" s="1"/>
  <c r="I769" i="3"/>
  <c r="J769" i="3"/>
  <c r="M769" i="3"/>
  <c r="N769" i="3" s="1"/>
  <c r="W769" i="3" l="1"/>
  <c r="L769" i="3"/>
  <c r="AC770" i="3"/>
  <c r="P770" i="3"/>
  <c r="Q770" i="3" s="1"/>
  <c r="R770" i="3" s="1"/>
  <c r="S770" i="3" s="1"/>
  <c r="AD770" i="3"/>
  <c r="Z770" i="3"/>
  <c r="AA770" i="3"/>
  <c r="U769" i="3" l="1"/>
  <c r="Y768" i="3"/>
  <c r="T770" i="3"/>
  <c r="AG770" i="3" s="1"/>
  <c r="E770" i="3" l="1"/>
  <c r="H770" i="3" s="1"/>
  <c r="K770" i="3" s="1"/>
  <c r="AE770" i="3" s="1"/>
  <c r="D770" i="3"/>
  <c r="AH770" i="3"/>
  <c r="F770" i="3" l="1"/>
  <c r="G770" i="3"/>
  <c r="M770" i="3" s="1"/>
  <c r="N770" i="3" s="1"/>
  <c r="V770" i="3"/>
  <c r="A771" i="3"/>
  <c r="B771" i="3" s="1"/>
  <c r="I770" i="3" l="1"/>
  <c r="W770" i="3" s="1"/>
  <c r="J770" i="3"/>
  <c r="L770" i="3" s="1"/>
  <c r="AA771" i="3"/>
  <c r="AC771" i="3"/>
  <c r="P771" i="3"/>
  <c r="Q771" i="3" s="1"/>
  <c r="R771" i="3" s="1"/>
  <c r="S771" i="3" s="1"/>
  <c r="Z771" i="3"/>
  <c r="AD771" i="3"/>
  <c r="U770" i="3" l="1"/>
  <c r="Y769" i="3"/>
  <c r="T771" i="3"/>
  <c r="AH771" i="3" s="1"/>
  <c r="E771" i="3" l="1"/>
  <c r="H771" i="3" s="1"/>
  <c r="AG771" i="3"/>
  <c r="D771" i="3"/>
  <c r="K771" i="3" l="1"/>
  <c r="AE771" i="3" s="1"/>
  <c r="F771" i="3"/>
  <c r="G771" i="3"/>
  <c r="V771" i="3" l="1"/>
  <c r="A772" i="3"/>
  <c r="B772" i="3" s="1"/>
  <c r="I771" i="3"/>
  <c r="J771" i="3"/>
  <c r="M771" i="3"/>
  <c r="N771" i="3" s="1"/>
  <c r="L771" i="3" l="1"/>
  <c r="W771" i="3"/>
  <c r="AD772" i="3"/>
  <c r="AA772" i="3"/>
  <c r="Z772" i="3"/>
  <c r="AC772" i="3"/>
  <c r="P772" i="3"/>
  <c r="Q772" i="3" s="1"/>
  <c r="R772" i="3" s="1"/>
  <c r="S772" i="3" s="1"/>
  <c r="U771" i="3" l="1"/>
  <c r="Y770" i="3"/>
  <c r="T772" i="3"/>
  <c r="E772" i="3" l="1"/>
  <c r="H772" i="3" s="1"/>
  <c r="K772" i="3" s="1"/>
  <c r="AE772" i="3" s="1"/>
  <c r="D772" i="3"/>
  <c r="G772" i="3" s="1"/>
  <c r="AG772" i="3"/>
  <c r="AH772" i="3"/>
  <c r="F772" i="3" l="1"/>
  <c r="V772" i="3"/>
  <c r="A773" i="3"/>
  <c r="B773" i="3" s="1"/>
  <c r="I772" i="3"/>
  <c r="J772" i="3"/>
  <c r="M772" i="3"/>
  <c r="N772" i="3" s="1"/>
  <c r="W772" i="3" l="1"/>
  <c r="L772" i="3"/>
  <c r="AA773" i="3"/>
  <c r="P773" i="3"/>
  <c r="Q773" i="3" s="1"/>
  <c r="R773" i="3" s="1"/>
  <c r="S773" i="3" s="1"/>
  <c r="Z773" i="3"/>
  <c r="AD773" i="3"/>
  <c r="AC773" i="3"/>
  <c r="U772" i="3" l="1"/>
  <c r="Y771" i="3"/>
  <c r="T773" i="3"/>
  <c r="AG773" i="3" s="1"/>
  <c r="D773" i="3" l="1"/>
  <c r="E773" i="3"/>
  <c r="H773" i="3" s="1"/>
  <c r="K773" i="3" s="1"/>
  <c r="AE773" i="3" s="1"/>
  <c r="AH773" i="3"/>
  <c r="F773" i="3" l="1"/>
  <c r="G773" i="3"/>
  <c r="M773" i="3" s="1"/>
  <c r="N773" i="3" s="1"/>
  <c r="V773" i="3"/>
  <c r="A774" i="3"/>
  <c r="B774" i="3" s="1"/>
  <c r="I773" i="3" l="1"/>
  <c r="W773" i="3" s="1"/>
  <c r="J773" i="3"/>
  <c r="L773" i="3" s="1"/>
  <c r="AC774" i="3"/>
  <c r="P774" i="3"/>
  <c r="Q774" i="3" s="1"/>
  <c r="R774" i="3" s="1"/>
  <c r="S774" i="3" s="1"/>
  <c r="AA774" i="3"/>
  <c r="Z774" i="3"/>
  <c r="U773" i="3" l="1"/>
  <c r="Y772" i="3"/>
  <c r="T774" i="3"/>
  <c r="AG774" i="3" s="1"/>
  <c r="E774" i="3" l="1"/>
  <c r="H774" i="3" s="1"/>
  <c r="K774" i="3" s="1"/>
  <c r="AE774" i="3" s="1"/>
  <c r="AH774" i="3"/>
  <c r="D774" i="3"/>
  <c r="F774" i="3" l="1"/>
  <c r="G774" i="3"/>
  <c r="M774" i="3" s="1"/>
  <c r="N774" i="3" s="1"/>
  <c r="V774" i="3"/>
  <c r="A775" i="3"/>
  <c r="B775" i="3" s="1"/>
  <c r="I774" i="3" l="1"/>
  <c r="W774" i="3" s="1"/>
  <c r="J774" i="3"/>
  <c r="P775" i="3"/>
  <c r="Q775" i="3" s="1"/>
  <c r="R775" i="3" s="1"/>
  <c r="S775" i="3" s="1"/>
  <c r="Z775" i="3"/>
  <c r="AD775" i="3"/>
  <c r="AA775" i="3"/>
  <c r="AC775" i="3"/>
  <c r="L774" i="3" l="1"/>
  <c r="Y773" i="3" s="1"/>
  <c r="AD774" i="3"/>
  <c r="T775" i="3"/>
  <c r="U774" i="3" l="1"/>
  <c r="D775" i="3" s="1"/>
  <c r="AG775" i="3"/>
  <c r="AH775" i="3"/>
  <c r="E775" i="3" l="1"/>
  <c r="H775" i="3" s="1"/>
  <c r="K775" i="3" s="1"/>
  <c r="AE775" i="3" s="1"/>
  <c r="G775" i="3"/>
  <c r="M775" i="3" l="1"/>
  <c r="N775" i="3" s="1"/>
  <c r="A776" i="3"/>
  <c r="B776" i="3" s="1"/>
  <c r="AD776" i="3" s="1"/>
  <c r="V775" i="3"/>
  <c r="F775" i="3"/>
  <c r="I775" i="3"/>
  <c r="J775" i="3"/>
  <c r="L775" i="3" s="1"/>
  <c r="W775" i="3" l="1"/>
  <c r="P776" i="3"/>
  <c r="Q776" i="3" s="1"/>
  <c r="R776" i="3" s="1"/>
  <c r="S776" i="3" s="1"/>
  <c r="T776" i="3" s="1"/>
  <c r="AA776" i="3"/>
  <c r="AC776" i="3"/>
  <c r="Z776" i="3"/>
  <c r="U775" i="3"/>
  <c r="Y774" i="3"/>
  <c r="AG776" i="3" l="1"/>
  <c r="AH776" i="3"/>
  <c r="E776" i="3"/>
  <c r="H776" i="3" s="1"/>
  <c r="K776" i="3" s="1"/>
  <c r="AE776" i="3" s="1"/>
  <c r="D776" i="3"/>
  <c r="G776" i="3" s="1"/>
  <c r="F776" i="3" l="1"/>
  <c r="I776" i="3"/>
  <c r="J776" i="3"/>
  <c r="M776" i="3"/>
  <c r="N776" i="3" s="1"/>
  <c r="V776" i="3"/>
  <c r="A777" i="3"/>
  <c r="B777" i="3" s="1"/>
  <c r="W776" i="3" l="1"/>
  <c r="L776" i="3"/>
  <c r="Z777" i="3"/>
  <c r="AA777" i="3"/>
  <c r="P777" i="3"/>
  <c r="Q777" i="3" s="1"/>
  <c r="R777" i="3" s="1"/>
  <c r="S777" i="3" s="1"/>
  <c r="AD777" i="3"/>
  <c r="AC777" i="3"/>
  <c r="U776" i="3" l="1"/>
  <c r="Y775" i="3"/>
  <c r="T777" i="3"/>
  <c r="AH777" i="3" s="1"/>
  <c r="E777" i="3" l="1"/>
  <c r="H777" i="3" s="1"/>
  <c r="D777" i="3"/>
  <c r="AG777" i="3"/>
  <c r="K777" i="3" l="1"/>
  <c r="AE777" i="3" s="1"/>
  <c r="F777" i="3"/>
  <c r="G777" i="3"/>
  <c r="I777" i="3" l="1"/>
  <c r="J777" i="3"/>
  <c r="M777" i="3"/>
  <c r="N777" i="3" s="1"/>
  <c r="V777" i="3"/>
  <c r="A778" i="3"/>
  <c r="B778" i="3" s="1"/>
  <c r="L777" i="3" l="1"/>
  <c r="W777" i="3"/>
  <c r="P778" i="3"/>
  <c r="Q778" i="3" s="1"/>
  <c r="R778" i="3" s="1"/>
  <c r="S778" i="3" s="1"/>
  <c r="Z778" i="3"/>
  <c r="AD778" i="3"/>
  <c r="AA778" i="3"/>
  <c r="AC778" i="3"/>
  <c r="U777" i="3" l="1"/>
  <c r="Y776" i="3"/>
  <c r="T778" i="3"/>
  <c r="AH778" i="3" s="1"/>
  <c r="E778" i="3" l="1"/>
  <c r="H778" i="3" s="1"/>
  <c r="K778" i="3" s="1"/>
  <c r="AE778" i="3" s="1"/>
  <c r="AG778" i="3"/>
  <c r="D778" i="3"/>
  <c r="G778" i="3" s="1"/>
  <c r="F778" i="3" l="1"/>
  <c r="I778" i="3"/>
  <c r="J778" i="3"/>
  <c r="M778" i="3"/>
  <c r="N778" i="3" s="1"/>
  <c r="V778" i="3"/>
  <c r="A779" i="3"/>
  <c r="B779" i="3" s="1"/>
  <c r="W778" i="3" l="1"/>
  <c r="L778" i="3"/>
  <c r="P779" i="3"/>
  <c r="Q779" i="3" s="1"/>
  <c r="R779" i="3" s="1"/>
  <c r="S779" i="3" s="1"/>
  <c r="AA779" i="3"/>
  <c r="AC779" i="3"/>
  <c r="AD779" i="3"/>
  <c r="Z779" i="3"/>
  <c r="U778" i="3" l="1"/>
  <c r="Y777" i="3"/>
  <c r="T779" i="3"/>
  <c r="E779" i="3" l="1"/>
  <c r="H779" i="3" s="1"/>
  <c r="K779" i="3" s="1"/>
  <c r="AE779" i="3" s="1"/>
  <c r="AG779" i="3"/>
  <c r="AH779" i="3"/>
  <c r="D779" i="3"/>
  <c r="G779" i="3" s="1"/>
  <c r="F779" i="3" l="1"/>
  <c r="I779" i="3"/>
  <c r="J779" i="3"/>
  <c r="M779" i="3"/>
  <c r="N779" i="3" s="1"/>
  <c r="V779" i="3"/>
  <c r="A780" i="3"/>
  <c r="B780" i="3" s="1"/>
  <c r="W779" i="3" l="1"/>
  <c r="L779" i="3"/>
  <c r="P780" i="3"/>
  <c r="Q780" i="3" s="1"/>
  <c r="R780" i="3" s="1"/>
  <c r="S780" i="3" s="1"/>
  <c r="AD780" i="3"/>
  <c r="AA780" i="3"/>
  <c r="Z780" i="3"/>
  <c r="AC780" i="3"/>
  <c r="U779" i="3" l="1"/>
  <c r="Y778" i="3"/>
  <c r="T780" i="3"/>
  <c r="D780" i="3" l="1"/>
  <c r="G780" i="3" s="1"/>
  <c r="AH780" i="3"/>
  <c r="E780" i="3"/>
  <c r="H780" i="3" s="1"/>
  <c r="K780" i="3" s="1"/>
  <c r="AE780" i="3" s="1"/>
  <c r="AG780" i="3"/>
  <c r="F780" i="3" l="1"/>
  <c r="I780" i="3"/>
  <c r="J780" i="3"/>
  <c r="M780" i="3"/>
  <c r="N780" i="3" s="1"/>
  <c r="V780" i="3"/>
  <c r="A781" i="3"/>
  <c r="B781" i="3" s="1"/>
  <c r="W780" i="3" l="1"/>
  <c r="L780" i="3"/>
  <c r="P781" i="3"/>
  <c r="Q781" i="3" s="1"/>
  <c r="R781" i="3" s="1"/>
  <c r="S781" i="3" s="1"/>
  <c r="AD781" i="3"/>
  <c r="Z781" i="3"/>
  <c r="AA781" i="3"/>
  <c r="AC781" i="3"/>
  <c r="T781" i="3" l="1"/>
  <c r="U780" i="3"/>
  <c r="Y779" i="3"/>
  <c r="E781" i="3" l="1"/>
  <c r="H781" i="3" s="1"/>
  <c r="K781" i="3" s="1"/>
  <c r="AE781" i="3" s="1"/>
  <c r="AG781" i="3"/>
  <c r="AH781" i="3"/>
  <c r="D781" i="3"/>
  <c r="F781" i="3" l="1"/>
  <c r="G781" i="3"/>
  <c r="V781" i="3"/>
  <c r="A782" i="3"/>
  <c r="B782" i="3" s="1"/>
  <c r="P782" i="3" l="1"/>
  <c r="Q782" i="3" s="1"/>
  <c r="R782" i="3" s="1"/>
  <c r="S782" i="3" s="1"/>
  <c r="AC782" i="3"/>
  <c r="AD782" i="3"/>
  <c r="AA782" i="3"/>
  <c r="Z782" i="3"/>
  <c r="I781" i="3"/>
  <c r="W781" i="3" s="1"/>
  <c r="J781" i="3"/>
  <c r="M781" i="3"/>
  <c r="N781" i="3" s="1"/>
  <c r="T782" i="3" l="1"/>
  <c r="L781" i="3"/>
  <c r="U781" i="3" l="1"/>
  <c r="D782" i="3" s="1"/>
  <c r="AH782" i="3"/>
  <c r="AG782" i="3"/>
  <c r="Y780" i="3"/>
  <c r="E782" i="3" l="1"/>
  <c r="H782" i="3" s="1"/>
  <c r="K782" i="3" s="1"/>
  <c r="AE782" i="3" s="1"/>
  <c r="G782" i="3"/>
  <c r="F782" i="3" l="1"/>
  <c r="I782" i="3"/>
  <c r="J782" i="3"/>
  <c r="M782" i="3"/>
  <c r="N782" i="3" s="1"/>
  <c r="V782" i="3"/>
  <c r="A783" i="3"/>
  <c r="B783" i="3" s="1"/>
  <c r="W782" i="3" l="1"/>
  <c r="L782" i="3"/>
  <c r="AA783" i="3"/>
  <c r="Z783" i="3"/>
  <c r="P783" i="3"/>
  <c r="Q783" i="3" s="1"/>
  <c r="R783" i="3" s="1"/>
  <c r="S783" i="3" s="1"/>
  <c r="AD783" i="3"/>
  <c r="AC783" i="3"/>
  <c r="U782" i="3" l="1"/>
  <c r="Y781" i="3"/>
  <c r="T783" i="3"/>
  <c r="AH783" i="3" s="1"/>
  <c r="AG783" i="3" l="1"/>
  <c r="D783" i="3"/>
  <c r="G783" i="3" s="1"/>
  <c r="E783" i="3"/>
  <c r="H783" i="3" s="1"/>
  <c r="K783" i="3" s="1"/>
  <c r="AE783" i="3" s="1"/>
  <c r="F783" i="3" l="1"/>
  <c r="I783" i="3"/>
  <c r="J783" i="3"/>
  <c r="M783" i="3"/>
  <c r="N783" i="3" s="1"/>
  <c r="V783" i="3"/>
  <c r="A784" i="3"/>
  <c r="B784" i="3" s="1"/>
  <c r="W783" i="3" l="1"/>
  <c r="L783" i="3"/>
  <c r="AC784" i="3"/>
  <c r="Z784" i="3"/>
  <c r="P784" i="3"/>
  <c r="Q784" i="3" s="1"/>
  <c r="R784" i="3" s="1"/>
  <c r="S784" i="3" s="1"/>
  <c r="AA784" i="3"/>
  <c r="T784" i="3" l="1"/>
  <c r="AG784" i="3" s="1"/>
  <c r="U783" i="3"/>
  <c r="Y782" i="3"/>
  <c r="E784" i="3" l="1"/>
  <c r="H784" i="3" s="1"/>
  <c r="AH784" i="3"/>
  <c r="D784" i="3"/>
  <c r="K784" i="3" l="1"/>
  <c r="AE784" i="3" s="1"/>
  <c r="F784" i="3"/>
  <c r="G784" i="3"/>
  <c r="V784" i="3" l="1"/>
  <c r="A785" i="3"/>
  <c r="B785" i="3" s="1"/>
  <c r="I784" i="3"/>
  <c r="J784" i="3"/>
  <c r="AD784" i="3" s="1"/>
  <c r="M784" i="3"/>
  <c r="N784" i="3" s="1"/>
  <c r="W784" i="3" l="1"/>
  <c r="L784" i="3"/>
  <c r="AA785" i="3"/>
  <c r="AD785" i="3"/>
  <c r="P785" i="3"/>
  <c r="Q785" i="3" s="1"/>
  <c r="R785" i="3" s="1"/>
  <c r="S785" i="3" s="1"/>
  <c r="AC785" i="3"/>
  <c r="Z785" i="3"/>
  <c r="U784" i="3" l="1"/>
  <c r="Y783" i="3"/>
  <c r="T785" i="3"/>
  <c r="AH785" i="3" s="1"/>
  <c r="E785" i="3" l="1"/>
  <c r="H785" i="3" s="1"/>
  <c r="AG785" i="3"/>
  <c r="D785" i="3"/>
  <c r="K785" i="3" l="1"/>
  <c r="AE785" i="3" s="1"/>
  <c r="F785" i="3"/>
  <c r="G785" i="3"/>
  <c r="I785" i="3" l="1"/>
  <c r="J785" i="3"/>
  <c r="M785" i="3"/>
  <c r="N785" i="3" s="1"/>
  <c r="V785" i="3"/>
  <c r="A786" i="3"/>
  <c r="B786" i="3" s="1"/>
  <c r="W785" i="3" l="1"/>
  <c r="L785" i="3"/>
  <c r="Z786" i="3"/>
  <c r="AD786" i="3"/>
  <c r="AA786" i="3"/>
  <c r="P786" i="3"/>
  <c r="Q786" i="3" s="1"/>
  <c r="R786" i="3" s="1"/>
  <c r="S786" i="3" s="1"/>
  <c r="AC786" i="3"/>
  <c r="U785" i="3" l="1"/>
  <c r="Y784" i="3"/>
  <c r="T786" i="3"/>
  <c r="E786" i="3" l="1"/>
  <c r="H786" i="3" s="1"/>
  <c r="K786" i="3" s="1"/>
  <c r="AE786" i="3" s="1"/>
  <c r="AG786" i="3"/>
  <c r="D786" i="3"/>
  <c r="G786" i="3" s="1"/>
  <c r="AH786" i="3"/>
  <c r="F786" i="3" l="1"/>
  <c r="I786" i="3"/>
  <c r="J786" i="3"/>
  <c r="M786" i="3"/>
  <c r="N786" i="3" s="1"/>
  <c r="V786" i="3"/>
  <c r="A787" i="3"/>
  <c r="B787" i="3" s="1"/>
  <c r="L786" i="3" l="1"/>
  <c r="W786" i="3"/>
  <c r="AC787" i="3"/>
  <c r="P787" i="3"/>
  <c r="Q787" i="3" s="1"/>
  <c r="R787" i="3" s="1"/>
  <c r="S787" i="3" s="1"/>
  <c r="Z787" i="3"/>
  <c r="AD787" i="3"/>
  <c r="AA787" i="3"/>
  <c r="U786" i="3" l="1"/>
  <c r="Y785" i="3"/>
  <c r="T787" i="3"/>
  <c r="D787" i="3" l="1"/>
  <c r="G787" i="3" s="1"/>
  <c r="AH787" i="3"/>
  <c r="E787" i="3"/>
  <c r="H787" i="3" s="1"/>
  <c r="AG787" i="3"/>
  <c r="F787" i="3" l="1"/>
  <c r="I787" i="3"/>
  <c r="J787" i="3"/>
  <c r="M787" i="3"/>
  <c r="N787" i="3" s="1"/>
  <c r="K787" i="3"/>
  <c r="AE787" i="3" s="1"/>
  <c r="V787" i="3" l="1"/>
  <c r="W787" i="3" s="1"/>
  <c r="A788" i="3"/>
  <c r="B788" i="3" s="1"/>
  <c r="L787" i="3"/>
  <c r="U787" i="3" l="1"/>
  <c r="Y786" i="3"/>
  <c r="AC788" i="3"/>
  <c r="Z788" i="3"/>
  <c r="AD788" i="3"/>
  <c r="AA788" i="3"/>
  <c r="P788" i="3"/>
  <c r="Q788" i="3" s="1"/>
  <c r="R788" i="3" s="1"/>
  <c r="S788" i="3" s="1"/>
  <c r="T788" i="3" l="1"/>
  <c r="E788" i="3" s="1"/>
  <c r="H788" i="3" s="1"/>
  <c r="D788" i="3" l="1"/>
  <c r="F788" i="3" s="1"/>
  <c r="AG788" i="3"/>
  <c r="AH788" i="3"/>
  <c r="K788" i="3"/>
  <c r="AE788" i="3" s="1"/>
  <c r="G788" i="3" l="1"/>
  <c r="I788" i="3" s="1"/>
  <c r="V788" i="3"/>
  <c r="A789" i="3"/>
  <c r="B789" i="3" s="1"/>
  <c r="M788" i="3" l="1"/>
  <c r="N788" i="3" s="1"/>
  <c r="J788" i="3"/>
  <c r="L788" i="3" s="1"/>
  <c r="W788" i="3"/>
  <c r="P789" i="3"/>
  <c r="Q789" i="3" s="1"/>
  <c r="R789" i="3" s="1"/>
  <c r="S789" i="3" s="1"/>
  <c r="AC789" i="3"/>
  <c r="AD789" i="3"/>
  <c r="AA789" i="3"/>
  <c r="Z789" i="3"/>
  <c r="U788" i="3" l="1"/>
  <c r="Y787" i="3"/>
  <c r="T789" i="3"/>
  <c r="D789" i="3" l="1"/>
  <c r="G789" i="3" s="1"/>
  <c r="E789" i="3"/>
  <c r="H789" i="3" s="1"/>
  <c r="AH789" i="3"/>
  <c r="AG789" i="3"/>
  <c r="F789" i="3" l="1"/>
  <c r="I789" i="3"/>
  <c r="J789" i="3"/>
  <c r="M789" i="3"/>
  <c r="N789" i="3" s="1"/>
  <c r="K789" i="3"/>
  <c r="AE789" i="3" s="1"/>
  <c r="L789" i="3" l="1"/>
  <c r="V789" i="3"/>
  <c r="W789" i="3" s="1"/>
  <c r="A790" i="3"/>
  <c r="B790" i="3" s="1"/>
  <c r="AA790" i="3" l="1"/>
  <c r="AC790" i="3"/>
  <c r="Z790" i="3"/>
  <c r="AD790" i="3"/>
  <c r="P790" i="3"/>
  <c r="Q790" i="3" s="1"/>
  <c r="R790" i="3" s="1"/>
  <c r="S790" i="3" s="1"/>
  <c r="U789" i="3"/>
  <c r="Y788" i="3"/>
  <c r="T790" i="3" l="1"/>
  <c r="D790" i="3" s="1"/>
  <c r="AG790" i="3" l="1"/>
  <c r="G790" i="3"/>
  <c r="AH790" i="3"/>
  <c r="E790" i="3"/>
  <c r="H790" i="3" s="1"/>
  <c r="F790" i="3" l="1"/>
  <c r="I790" i="3"/>
  <c r="J790" i="3"/>
  <c r="M790" i="3"/>
  <c r="N790" i="3" s="1"/>
  <c r="K790" i="3"/>
  <c r="AE790" i="3" s="1"/>
  <c r="V790" i="3" l="1"/>
  <c r="W790" i="3" s="1"/>
  <c r="A791" i="3"/>
  <c r="B791" i="3" s="1"/>
  <c r="L790" i="3"/>
  <c r="U790" i="3" l="1"/>
  <c r="Y789" i="3"/>
  <c r="AD791" i="3"/>
  <c r="P791" i="3"/>
  <c r="Q791" i="3" s="1"/>
  <c r="R791" i="3" s="1"/>
  <c r="S791" i="3" s="1"/>
  <c r="AA791" i="3"/>
  <c r="AC791" i="3"/>
  <c r="Z791" i="3"/>
  <c r="T791" i="3" l="1"/>
  <c r="AG791" i="3" s="1"/>
  <c r="E791" i="3" l="1"/>
  <c r="H791" i="3" s="1"/>
  <c r="K791" i="3" s="1"/>
  <c r="AE791" i="3" s="1"/>
  <c r="D791" i="3"/>
  <c r="G791" i="3" s="1"/>
  <c r="AH791" i="3"/>
  <c r="F791" i="3" l="1"/>
  <c r="I791" i="3"/>
  <c r="J791" i="3"/>
  <c r="M791" i="3"/>
  <c r="N791" i="3" s="1"/>
  <c r="V791" i="3"/>
  <c r="A792" i="3"/>
  <c r="B792" i="3" s="1"/>
  <c r="W791" i="3" l="1"/>
  <c r="L791" i="3"/>
  <c r="P792" i="3"/>
  <c r="Q792" i="3" s="1"/>
  <c r="R792" i="3" s="1"/>
  <c r="S792" i="3" s="1"/>
  <c r="AC792" i="3"/>
  <c r="AD792" i="3"/>
  <c r="Z792" i="3"/>
  <c r="AA792" i="3"/>
  <c r="U791" i="3" l="1"/>
  <c r="Y790" i="3"/>
  <c r="T792" i="3"/>
  <c r="AG792" i="3" s="1"/>
  <c r="AH792" i="3" l="1"/>
  <c r="D792" i="3"/>
  <c r="E792" i="3"/>
  <c r="H792" i="3" s="1"/>
  <c r="F792" i="3" l="1"/>
  <c r="G792" i="3"/>
  <c r="K792" i="3"/>
  <c r="AE792" i="3" s="1"/>
  <c r="I792" i="3" l="1"/>
  <c r="J792" i="3"/>
  <c r="M792" i="3"/>
  <c r="N792" i="3" s="1"/>
  <c r="V792" i="3"/>
  <c r="A793" i="3"/>
  <c r="B793" i="3" s="1"/>
  <c r="L792" i="3" l="1"/>
  <c r="W792" i="3"/>
  <c r="AD793" i="3"/>
  <c r="AC793" i="3"/>
  <c r="Z793" i="3"/>
  <c r="P793" i="3"/>
  <c r="Q793" i="3" s="1"/>
  <c r="R793" i="3" s="1"/>
  <c r="S793" i="3" s="1"/>
  <c r="AA793" i="3"/>
  <c r="T793" i="3" l="1"/>
  <c r="U792" i="3"/>
  <c r="Y791" i="3"/>
  <c r="E793" i="3" l="1"/>
  <c r="H793" i="3" s="1"/>
  <c r="K793" i="3" s="1"/>
  <c r="AE793" i="3" s="1"/>
  <c r="D793" i="3"/>
  <c r="AG793" i="3"/>
  <c r="AH793" i="3"/>
  <c r="F793" i="3" l="1"/>
  <c r="G793" i="3"/>
  <c r="M793" i="3" s="1"/>
  <c r="N793" i="3" s="1"/>
  <c r="V793" i="3"/>
  <c r="A794" i="3"/>
  <c r="B794" i="3" s="1"/>
  <c r="I793" i="3" l="1"/>
  <c r="W793" i="3" s="1"/>
  <c r="J793" i="3"/>
  <c r="L793" i="3" s="1"/>
  <c r="Z794" i="3"/>
  <c r="AC794" i="3"/>
  <c r="P794" i="3"/>
  <c r="Q794" i="3" s="1"/>
  <c r="R794" i="3" s="1"/>
  <c r="S794" i="3" s="1"/>
  <c r="AA794" i="3"/>
  <c r="T794" i="3" l="1"/>
  <c r="AH794" i="3" s="1"/>
  <c r="U793" i="3"/>
  <c r="Y792" i="3"/>
  <c r="AG794" i="3" l="1"/>
  <c r="D794" i="3"/>
  <c r="E794" i="3"/>
  <c r="H794" i="3" s="1"/>
  <c r="F794" i="3" l="1"/>
  <c r="G794" i="3"/>
  <c r="K794" i="3"/>
  <c r="AE794" i="3" s="1"/>
  <c r="I794" i="3" l="1"/>
  <c r="J794" i="3"/>
  <c r="AD794" i="3" s="1"/>
  <c r="M794" i="3"/>
  <c r="N794" i="3" s="1"/>
  <c r="V794" i="3"/>
  <c r="A795" i="3"/>
  <c r="B795" i="3" s="1"/>
  <c r="L794" i="3" l="1"/>
  <c r="W794" i="3"/>
  <c r="P795" i="3"/>
  <c r="Q795" i="3" s="1"/>
  <c r="R795" i="3" s="1"/>
  <c r="S795" i="3" s="1"/>
  <c r="AD795" i="3"/>
  <c r="Z795" i="3"/>
  <c r="AA795" i="3"/>
  <c r="AC795" i="3"/>
  <c r="T795" i="3" l="1"/>
  <c r="U794" i="3"/>
  <c r="Y793" i="3"/>
  <c r="D795" i="3" l="1"/>
  <c r="G795" i="3" s="1"/>
  <c r="E795" i="3"/>
  <c r="H795" i="3" s="1"/>
  <c r="K795" i="3" s="1"/>
  <c r="AE795" i="3" s="1"/>
  <c r="AH795" i="3"/>
  <c r="AG795" i="3"/>
  <c r="F795" i="3" l="1"/>
  <c r="I795" i="3"/>
  <c r="J795" i="3"/>
  <c r="M795" i="3"/>
  <c r="N795" i="3" s="1"/>
  <c r="V795" i="3"/>
  <c r="A796" i="3"/>
  <c r="B796" i="3" s="1"/>
  <c r="W795" i="3" l="1"/>
  <c r="L795" i="3"/>
  <c r="Z796" i="3"/>
  <c r="AA796" i="3"/>
  <c r="AD796" i="3"/>
  <c r="AC796" i="3"/>
  <c r="P796" i="3"/>
  <c r="Q796" i="3" s="1"/>
  <c r="R796" i="3" s="1"/>
  <c r="S796" i="3" s="1"/>
  <c r="T796" i="3" l="1"/>
  <c r="U795" i="3"/>
  <c r="Y794" i="3"/>
  <c r="E796" i="3" l="1"/>
  <c r="H796" i="3" s="1"/>
  <c r="K796" i="3" s="1"/>
  <c r="AE796" i="3" s="1"/>
  <c r="AH796" i="3"/>
  <c r="AG796" i="3"/>
  <c r="D796" i="3"/>
  <c r="F796" i="3" l="1"/>
  <c r="G796" i="3"/>
  <c r="V796" i="3"/>
  <c r="A797" i="3"/>
  <c r="B797" i="3" s="1"/>
  <c r="I796" i="3" l="1"/>
  <c r="W796" i="3" s="1"/>
  <c r="J796" i="3"/>
  <c r="M796" i="3"/>
  <c r="N796" i="3" s="1"/>
  <c r="P797" i="3"/>
  <c r="Q797" i="3" s="1"/>
  <c r="R797" i="3" s="1"/>
  <c r="S797" i="3" s="1"/>
  <c r="AA797" i="3"/>
  <c r="AC797" i="3"/>
  <c r="Z797" i="3"/>
  <c r="AD797" i="3"/>
  <c r="T797" i="3" l="1"/>
  <c r="L796" i="3"/>
  <c r="AH797" i="3" l="1"/>
  <c r="AG797" i="3"/>
  <c r="U796" i="3"/>
  <c r="E797" i="3" s="1"/>
  <c r="H797" i="3" s="1"/>
  <c r="Y795" i="3"/>
  <c r="D797" i="3" l="1"/>
  <c r="G797" i="3" s="1"/>
  <c r="K797" i="3"/>
  <c r="AE797" i="3" s="1"/>
  <c r="F797" i="3" l="1"/>
  <c r="I797" i="3"/>
  <c r="J797" i="3"/>
  <c r="M797" i="3"/>
  <c r="N797" i="3" s="1"/>
  <c r="V797" i="3"/>
  <c r="A798" i="3"/>
  <c r="B798" i="3" s="1"/>
  <c r="W797" i="3" l="1"/>
  <c r="L797" i="3"/>
  <c r="Z798" i="3"/>
  <c r="AA798" i="3"/>
  <c r="P798" i="3"/>
  <c r="Q798" i="3" s="1"/>
  <c r="R798" i="3" s="1"/>
  <c r="S798" i="3" s="1"/>
  <c r="AC798" i="3"/>
  <c r="AD798" i="3"/>
  <c r="T798" i="3" l="1"/>
  <c r="U797" i="3"/>
  <c r="Y796" i="3"/>
  <c r="E798" i="3" l="1"/>
  <c r="H798" i="3" s="1"/>
  <c r="K798" i="3" s="1"/>
  <c r="AE798" i="3" s="1"/>
  <c r="D798" i="3"/>
  <c r="G798" i="3" s="1"/>
  <c r="AH798" i="3"/>
  <c r="AG798" i="3"/>
  <c r="F798" i="3" l="1"/>
  <c r="I798" i="3"/>
  <c r="J798" i="3"/>
  <c r="M798" i="3"/>
  <c r="N798" i="3" s="1"/>
  <c r="V798" i="3"/>
  <c r="A799" i="3"/>
  <c r="B799" i="3" s="1"/>
  <c r="W798" i="3" l="1"/>
  <c r="L798" i="3"/>
  <c r="Z799" i="3"/>
  <c r="P799" i="3"/>
  <c r="Q799" i="3" s="1"/>
  <c r="R799" i="3" s="1"/>
  <c r="S799" i="3" s="1"/>
  <c r="AD799" i="3"/>
  <c r="AC799" i="3"/>
  <c r="AA799" i="3"/>
  <c r="T799" i="3" l="1"/>
  <c r="AH799" i="3" s="1"/>
  <c r="U798" i="3"/>
  <c r="Y797" i="3"/>
  <c r="AG799" i="3" l="1"/>
  <c r="E799" i="3"/>
  <c r="H799" i="3" s="1"/>
  <c r="D799" i="3"/>
  <c r="K799" i="3" l="1"/>
  <c r="AE799" i="3" s="1"/>
  <c r="F799" i="3"/>
  <c r="G799" i="3"/>
  <c r="V799" i="3" l="1"/>
  <c r="A800" i="3"/>
  <c r="B800" i="3" s="1"/>
  <c r="I799" i="3"/>
  <c r="J799" i="3"/>
  <c r="M799" i="3"/>
  <c r="N799" i="3" s="1"/>
  <c r="W799" i="3" l="1"/>
  <c r="L799" i="3"/>
  <c r="AC800" i="3"/>
  <c r="AA800" i="3"/>
  <c r="P800" i="3"/>
  <c r="Q800" i="3" s="1"/>
  <c r="R800" i="3" s="1"/>
  <c r="S800" i="3" s="1"/>
  <c r="AD800" i="3"/>
  <c r="Z800" i="3"/>
  <c r="U799" i="3" l="1"/>
  <c r="Y798" i="3"/>
  <c r="T800" i="3"/>
  <c r="E800" i="3" l="1"/>
  <c r="H800" i="3" s="1"/>
  <c r="K800" i="3" s="1"/>
  <c r="AE800" i="3" s="1"/>
  <c r="D800" i="3"/>
  <c r="AG800" i="3"/>
  <c r="AH800" i="3"/>
  <c r="V800" i="3" l="1"/>
  <c r="A801" i="3"/>
  <c r="B801" i="3" s="1"/>
  <c r="F800" i="3"/>
  <c r="G800" i="3"/>
  <c r="I800" i="3" l="1"/>
  <c r="W800" i="3" s="1"/>
  <c r="J800" i="3"/>
  <c r="M800" i="3"/>
  <c r="N800" i="3" s="1"/>
  <c r="AA801" i="3"/>
  <c r="AD801" i="3"/>
  <c r="Z801" i="3"/>
  <c r="P801" i="3"/>
  <c r="Q801" i="3" s="1"/>
  <c r="R801" i="3" s="1"/>
  <c r="S801" i="3" s="1"/>
  <c r="AC801" i="3"/>
  <c r="L800" i="3" l="1"/>
  <c r="T801" i="3"/>
  <c r="AG801" i="3" l="1"/>
  <c r="AH801" i="3"/>
  <c r="U800" i="3"/>
  <c r="E801" i="3" s="1"/>
  <c r="H801" i="3" s="1"/>
  <c r="Y799" i="3"/>
  <c r="D801" i="3" l="1"/>
  <c r="G801" i="3" s="1"/>
  <c r="K801" i="3"/>
  <c r="AE801" i="3" s="1"/>
  <c r="F801" i="3" l="1"/>
  <c r="I801" i="3"/>
  <c r="J801" i="3"/>
  <c r="M801" i="3"/>
  <c r="N801" i="3" s="1"/>
  <c r="V801" i="3"/>
  <c r="A802" i="3"/>
  <c r="B802" i="3" s="1"/>
  <c r="W801" i="3" l="1"/>
  <c r="L801" i="3"/>
  <c r="Z802" i="3"/>
  <c r="P802" i="3"/>
  <c r="Q802" i="3" s="1"/>
  <c r="R802" i="3" s="1"/>
  <c r="S802" i="3" s="1"/>
  <c r="AA802" i="3"/>
  <c r="AD802" i="3"/>
  <c r="AC802" i="3"/>
  <c r="U801" i="3" l="1"/>
  <c r="Y800" i="3"/>
  <c r="T802" i="3"/>
  <c r="AG802" i="3" s="1"/>
  <c r="E802" i="3" l="1"/>
  <c r="H802" i="3" s="1"/>
  <c r="D802" i="3"/>
  <c r="AH802" i="3"/>
  <c r="K802" i="3" l="1"/>
  <c r="AE802" i="3" s="1"/>
  <c r="F802" i="3"/>
  <c r="G802" i="3"/>
  <c r="I802" i="3" l="1"/>
  <c r="J802" i="3"/>
  <c r="M802" i="3"/>
  <c r="N802" i="3" s="1"/>
  <c r="V802" i="3"/>
  <c r="A803" i="3"/>
  <c r="B803" i="3" s="1"/>
  <c r="L802" i="3" l="1"/>
  <c r="W802" i="3"/>
  <c r="Z803" i="3"/>
  <c r="AD803" i="3"/>
  <c r="AA803" i="3"/>
  <c r="AC803" i="3"/>
  <c r="P803" i="3"/>
  <c r="Q803" i="3" s="1"/>
  <c r="R803" i="3" s="1"/>
  <c r="S803" i="3" s="1"/>
  <c r="U802" i="3" l="1"/>
  <c r="Y801" i="3"/>
  <c r="T803" i="3"/>
  <c r="AG803" i="3" s="1"/>
  <c r="AH803" i="3" l="1"/>
  <c r="D803" i="3"/>
  <c r="E803" i="3"/>
  <c r="H803" i="3" s="1"/>
  <c r="F803" i="3" l="1"/>
  <c r="G803" i="3"/>
  <c r="K803" i="3"/>
  <c r="AE803" i="3" s="1"/>
  <c r="V803" i="3" l="1"/>
  <c r="A804" i="3"/>
  <c r="B804" i="3" s="1"/>
  <c r="I803" i="3"/>
  <c r="J803" i="3"/>
  <c r="M803" i="3"/>
  <c r="N803" i="3" s="1"/>
  <c r="L803" i="3" l="1"/>
  <c r="W803" i="3"/>
  <c r="AC804" i="3"/>
  <c r="P804" i="3"/>
  <c r="Q804" i="3" s="1"/>
  <c r="R804" i="3" s="1"/>
  <c r="S804" i="3" s="1"/>
  <c r="AA804" i="3"/>
  <c r="Z804" i="3"/>
  <c r="U803" i="3" l="1"/>
  <c r="Y802" i="3"/>
  <c r="T804" i="3"/>
  <c r="AH804" i="3" s="1"/>
  <c r="D804" i="3" l="1"/>
  <c r="G804" i="3" s="1"/>
  <c r="AG804" i="3"/>
  <c r="E804" i="3"/>
  <c r="H804" i="3" s="1"/>
  <c r="K804" i="3" s="1"/>
  <c r="AE804" i="3" s="1"/>
  <c r="F804" i="3" l="1"/>
  <c r="I804" i="3"/>
  <c r="J804" i="3"/>
  <c r="AD804" i="3" s="1"/>
  <c r="M804" i="3"/>
  <c r="N804" i="3" s="1"/>
  <c r="V804" i="3"/>
  <c r="A805" i="3"/>
  <c r="B805" i="3" s="1"/>
  <c r="W804" i="3" l="1"/>
  <c r="L804" i="3"/>
  <c r="Z805" i="3"/>
  <c r="P805" i="3"/>
  <c r="Q805" i="3" s="1"/>
  <c r="R805" i="3" s="1"/>
  <c r="S805" i="3" s="1"/>
  <c r="AD805" i="3"/>
  <c r="AC805" i="3"/>
  <c r="AA805" i="3"/>
  <c r="T805" i="3" l="1"/>
  <c r="AH805" i="3" s="1"/>
  <c r="U804" i="3"/>
  <c r="Y803" i="3"/>
  <c r="E805" i="3" l="1"/>
  <c r="H805" i="3" s="1"/>
  <c r="AG805" i="3"/>
  <c r="D805" i="3"/>
  <c r="K805" i="3" l="1"/>
  <c r="AE805" i="3" s="1"/>
  <c r="F805" i="3"/>
  <c r="G805" i="3"/>
  <c r="I805" i="3" l="1"/>
  <c r="J805" i="3"/>
  <c r="M805" i="3"/>
  <c r="N805" i="3" s="1"/>
  <c r="V805" i="3"/>
  <c r="A806" i="3"/>
  <c r="B806" i="3" s="1"/>
  <c r="W805" i="3" l="1"/>
  <c r="L805" i="3"/>
  <c r="Z806" i="3"/>
  <c r="AA806" i="3"/>
  <c r="P806" i="3"/>
  <c r="Q806" i="3" s="1"/>
  <c r="R806" i="3" s="1"/>
  <c r="S806" i="3" s="1"/>
  <c r="AC806" i="3"/>
  <c r="AD806" i="3"/>
  <c r="T806" i="3" l="1"/>
  <c r="U805" i="3"/>
  <c r="Y804" i="3"/>
  <c r="D806" i="3" l="1"/>
  <c r="G806" i="3" s="1"/>
  <c r="AH806" i="3"/>
  <c r="AG806" i="3"/>
  <c r="E806" i="3"/>
  <c r="H806" i="3" s="1"/>
  <c r="K806" i="3" l="1"/>
  <c r="AE806" i="3" s="1"/>
  <c r="I806" i="3"/>
  <c r="J806" i="3"/>
  <c r="M806" i="3"/>
  <c r="N806" i="3" s="1"/>
  <c r="F806" i="3"/>
  <c r="L806" i="3" l="1"/>
  <c r="V806" i="3"/>
  <c r="W806" i="3" s="1"/>
  <c r="A807" i="3"/>
  <c r="B807" i="3" s="1"/>
  <c r="AC807" i="3" l="1"/>
  <c r="P807" i="3"/>
  <c r="Q807" i="3" s="1"/>
  <c r="R807" i="3" s="1"/>
  <c r="S807" i="3" s="1"/>
  <c r="AA807" i="3"/>
  <c r="AD807" i="3"/>
  <c r="Z807" i="3"/>
  <c r="U806" i="3"/>
  <c r="Y805" i="3"/>
  <c r="T807" i="3" l="1"/>
  <c r="AH807" i="3" l="1"/>
  <c r="AG807" i="3"/>
  <c r="E807" i="3"/>
  <c r="H807" i="3" s="1"/>
  <c r="D807" i="3"/>
  <c r="K807" i="3" l="1"/>
  <c r="AE807" i="3" s="1"/>
  <c r="F807" i="3"/>
  <c r="G807" i="3"/>
  <c r="I807" i="3" l="1"/>
  <c r="J807" i="3"/>
  <c r="M807" i="3"/>
  <c r="N807" i="3" s="1"/>
  <c r="V807" i="3"/>
  <c r="A808" i="3"/>
  <c r="B808" i="3" s="1"/>
  <c r="W807" i="3" l="1"/>
  <c r="L807" i="3"/>
  <c r="P808" i="3"/>
  <c r="Q808" i="3" s="1"/>
  <c r="R808" i="3" s="1"/>
  <c r="S808" i="3" s="1"/>
  <c r="AA808" i="3"/>
  <c r="Z808" i="3"/>
  <c r="AD808" i="3"/>
  <c r="AC808" i="3"/>
  <c r="U807" i="3" l="1"/>
  <c r="Y806" i="3"/>
  <c r="T808" i="3"/>
  <c r="AH808" i="3" s="1"/>
  <c r="D808" i="3" l="1"/>
  <c r="G808" i="3" s="1"/>
  <c r="E808" i="3"/>
  <c r="H808" i="3" s="1"/>
  <c r="K808" i="3" s="1"/>
  <c r="AE808" i="3" s="1"/>
  <c r="AG808" i="3"/>
  <c r="F808" i="3" l="1"/>
  <c r="I808" i="3"/>
  <c r="J808" i="3"/>
  <c r="M808" i="3"/>
  <c r="N808" i="3" s="1"/>
  <c r="V808" i="3"/>
  <c r="A809" i="3"/>
  <c r="B809" i="3" s="1"/>
  <c r="W808" i="3" l="1"/>
  <c r="AC809" i="3"/>
  <c r="Z809" i="3"/>
  <c r="AA809" i="3"/>
  <c r="P809" i="3"/>
  <c r="Q809" i="3" s="1"/>
  <c r="R809" i="3" s="1"/>
  <c r="S809" i="3" s="1"/>
  <c r="AD809" i="3"/>
  <c r="L808" i="3"/>
  <c r="T809" i="3" l="1"/>
  <c r="U808" i="3"/>
  <c r="Y807" i="3"/>
  <c r="E809" i="3" l="1"/>
  <c r="H809" i="3" s="1"/>
  <c r="K809" i="3" s="1"/>
  <c r="AE809" i="3" s="1"/>
  <c r="AG809" i="3"/>
  <c r="D809" i="3"/>
  <c r="AH809" i="3"/>
  <c r="V809" i="3" l="1"/>
  <c r="A810" i="3"/>
  <c r="B810" i="3" s="1"/>
  <c r="F809" i="3"/>
  <c r="G809" i="3"/>
  <c r="I809" i="3" l="1"/>
  <c r="W809" i="3" s="1"/>
  <c r="J809" i="3"/>
  <c r="M809" i="3"/>
  <c r="N809" i="3" s="1"/>
  <c r="AD810" i="3"/>
  <c r="P810" i="3"/>
  <c r="Q810" i="3" s="1"/>
  <c r="R810" i="3" s="1"/>
  <c r="S810" i="3" s="1"/>
  <c r="AA810" i="3"/>
  <c r="AC810" i="3"/>
  <c r="Z810" i="3"/>
  <c r="T810" i="3" l="1"/>
  <c r="L809" i="3"/>
  <c r="AH810" i="3" l="1"/>
  <c r="AG810" i="3"/>
  <c r="U809" i="3"/>
  <c r="E810" i="3" s="1"/>
  <c r="H810" i="3" s="1"/>
  <c r="Y808" i="3"/>
  <c r="D810" i="3" l="1"/>
  <c r="G810" i="3" s="1"/>
  <c r="K810" i="3"/>
  <c r="AE810" i="3" s="1"/>
  <c r="F810" i="3" l="1"/>
  <c r="I810" i="3"/>
  <c r="J810" i="3"/>
  <c r="M810" i="3"/>
  <c r="N810" i="3" s="1"/>
  <c r="V810" i="3"/>
  <c r="A811" i="3"/>
  <c r="B811" i="3" s="1"/>
  <c r="L810" i="3" l="1"/>
  <c r="W810" i="3"/>
  <c r="AA811" i="3"/>
  <c r="P811" i="3"/>
  <c r="Q811" i="3" s="1"/>
  <c r="R811" i="3" s="1"/>
  <c r="S811" i="3" s="1"/>
  <c r="Z811" i="3"/>
  <c r="AD811" i="3"/>
  <c r="AC811" i="3"/>
  <c r="U810" i="3" l="1"/>
  <c r="Y809" i="3"/>
  <c r="T811" i="3"/>
  <c r="E811" i="3" l="1"/>
  <c r="H811" i="3" s="1"/>
  <c r="K811" i="3" s="1"/>
  <c r="AE811" i="3" s="1"/>
  <c r="AH811" i="3"/>
  <c r="AG811" i="3"/>
  <c r="D811" i="3"/>
  <c r="V811" i="3" l="1"/>
  <c r="A812" i="3"/>
  <c r="B812" i="3" s="1"/>
  <c r="F811" i="3"/>
  <c r="G811" i="3"/>
  <c r="I811" i="3" l="1"/>
  <c r="W811" i="3" s="1"/>
  <c r="J811" i="3"/>
  <c r="M811" i="3"/>
  <c r="N811" i="3" s="1"/>
  <c r="Z812" i="3"/>
  <c r="AA812" i="3"/>
  <c r="AD812" i="3"/>
  <c r="P812" i="3"/>
  <c r="Q812" i="3" s="1"/>
  <c r="R812" i="3" s="1"/>
  <c r="S812" i="3" s="1"/>
  <c r="AC812" i="3"/>
  <c r="T812" i="3" l="1"/>
  <c r="L811" i="3"/>
  <c r="AG812" i="3" l="1"/>
  <c r="U811" i="3"/>
  <c r="D812" i="3" s="1"/>
  <c r="AH812" i="3"/>
  <c r="Y810" i="3"/>
  <c r="G812" i="3" l="1"/>
  <c r="E812" i="3"/>
  <c r="H812" i="3" s="1"/>
  <c r="I812" i="3" l="1"/>
  <c r="J812" i="3"/>
  <c r="M812" i="3"/>
  <c r="N812" i="3" s="1"/>
  <c r="F812" i="3"/>
  <c r="K812" i="3"/>
  <c r="AE812" i="3" s="1"/>
  <c r="L812" i="3" l="1"/>
  <c r="V812" i="3"/>
  <c r="W812" i="3" s="1"/>
  <c r="A813" i="3"/>
  <c r="B813" i="3" s="1"/>
  <c r="U812" i="3" l="1"/>
  <c r="Y811" i="3"/>
  <c r="AA813" i="3"/>
  <c r="P813" i="3"/>
  <c r="Q813" i="3" s="1"/>
  <c r="R813" i="3" s="1"/>
  <c r="S813" i="3" s="1"/>
  <c r="Z813" i="3"/>
  <c r="AC813" i="3"/>
  <c r="AD813" i="3"/>
  <c r="T813" i="3" l="1"/>
  <c r="AG813" i="3" s="1"/>
  <c r="AH813" i="3" l="1"/>
  <c r="D813" i="3"/>
  <c r="E813" i="3"/>
  <c r="H813" i="3" s="1"/>
  <c r="F813" i="3" l="1"/>
  <c r="G813" i="3"/>
  <c r="K813" i="3"/>
  <c r="AE813" i="3" s="1"/>
  <c r="I813" i="3" l="1"/>
  <c r="J813" i="3"/>
  <c r="M813" i="3"/>
  <c r="N813" i="3" s="1"/>
  <c r="V813" i="3"/>
  <c r="A814" i="3"/>
  <c r="B814" i="3" s="1"/>
  <c r="W813" i="3" l="1"/>
  <c r="L813" i="3"/>
  <c r="P814" i="3"/>
  <c r="Q814" i="3" s="1"/>
  <c r="R814" i="3" s="1"/>
  <c r="S814" i="3" s="1"/>
  <c r="AA814" i="3"/>
  <c r="Z814" i="3"/>
  <c r="AC814" i="3"/>
  <c r="U813" i="3" l="1"/>
  <c r="Y812" i="3"/>
  <c r="T814" i="3"/>
  <c r="D814" i="3" l="1"/>
  <c r="G814" i="3" s="1"/>
  <c r="E814" i="3"/>
  <c r="H814" i="3" s="1"/>
  <c r="K814" i="3" s="1"/>
  <c r="AE814" i="3" s="1"/>
  <c r="AH814" i="3"/>
  <c r="AG814" i="3"/>
  <c r="F814" i="3" l="1"/>
  <c r="I814" i="3"/>
  <c r="J814" i="3"/>
  <c r="AD814" i="3" s="1"/>
  <c r="M814" i="3"/>
  <c r="N814" i="3" s="1"/>
  <c r="V814" i="3"/>
  <c r="A815" i="3"/>
  <c r="B815" i="3" s="1"/>
  <c r="W814" i="3" l="1"/>
  <c r="L814" i="3"/>
  <c r="AA815" i="3"/>
  <c r="AD815" i="3"/>
  <c r="AC815" i="3"/>
  <c r="Z815" i="3"/>
  <c r="P815" i="3"/>
  <c r="Q815" i="3" s="1"/>
  <c r="R815" i="3" s="1"/>
  <c r="S815" i="3" s="1"/>
  <c r="T815" i="3" l="1"/>
  <c r="AH815" i="3" s="1"/>
  <c r="U814" i="3"/>
  <c r="Y813" i="3"/>
  <c r="AG815" i="3" l="1"/>
  <c r="E815" i="3"/>
  <c r="H815" i="3" s="1"/>
  <c r="D815" i="3"/>
  <c r="K815" i="3" l="1"/>
  <c r="AE815" i="3" s="1"/>
  <c r="F815" i="3"/>
  <c r="G815" i="3"/>
  <c r="V815" i="3" l="1"/>
  <c r="A816" i="3"/>
  <c r="B816" i="3" s="1"/>
  <c r="I815" i="3"/>
  <c r="J815" i="3"/>
  <c r="M815" i="3"/>
  <c r="N815" i="3" s="1"/>
  <c r="W815" i="3" l="1"/>
  <c r="L815" i="3"/>
  <c r="P816" i="3"/>
  <c r="Q816" i="3" s="1"/>
  <c r="R816" i="3" s="1"/>
  <c r="S816" i="3" s="1"/>
  <c r="AC816" i="3"/>
  <c r="AD816" i="3"/>
  <c r="AA816" i="3"/>
  <c r="Z816" i="3"/>
  <c r="T816" i="3" l="1"/>
  <c r="U815" i="3"/>
  <c r="Y814" i="3"/>
  <c r="E816" i="3" l="1"/>
  <c r="H816" i="3" s="1"/>
  <c r="K816" i="3" s="1"/>
  <c r="AE816" i="3" s="1"/>
  <c r="D816" i="3"/>
  <c r="G816" i="3" s="1"/>
  <c r="AG816" i="3"/>
  <c r="AH816" i="3"/>
  <c r="F816" i="3" l="1"/>
  <c r="I816" i="3"/>
  <c r="J816" i="3"/>
  <c r="M816" i="3"/>
  <c r="N816" i="3" s="1"/>
  <c r="V816" i="3"/>
  <c r="A817" i="3"/>
  <c r="B817" i="3" s="1"/>
  <c r="W816" i="3" l="1"/>
  <c r="L816" i="3"/>
  <c r="P817" i="3"/>
  <c r="Q817" i="3" s="1"/>
  <c r="R817" i="3" s="1"/>
  <c r="S817" i="3" s="1"/>
  <c r="AD817" i="3"/>
  <c r="Z817" i="3"/>
  <c r="AA817" i="3"/>
  <c r="AC817" i="3"/>
  <c r="U816" i="3" l="1"/>
  <c r="Y815" i="3"/>
  <c r="T817" i="3"/>
  <c r="AG817" i="3" s="1"/>
  <c r="E817" i="3" l="1"/>
  <c r="H817" i="3" s="1"/>
  <c r="AH817" i="3"/>
  <c r="D817" i="3"/>
  <c r="F817" i="3" l="1"/>
  <c r="G817" i="3"/>
  <c r="K817" i="3"/>
  <c r="AE817" i="3" s="1"/>
  <c r="V817" i="3" l="1"/>
  <c r="A818" i="3"/>
  <c r="B818" i="3" s="1"/>
  <c r="I817" i="3"/>
  <c r="J817" i="3"/>
  <c r="M817" i="3"/>
  <c r="N817" i="3" s="1"/>
  <c r="W817" i="3" l="1"/>
  <c r="L817" i="3"/>
  <c r="AD818" i="3"/>
  <c r="Z818" i="3"/>
  <c r="AA818" i="3"/>
  <c r="P818" i="3"/>
  <c r="Q818" i="3" s="1"/>
  <c r="R818" i="3" s="1"/>
  <c r="S818" i="3" s="1"/>
  <c r="AC818" i="3"/>
  <c r="T818" i="3" l="1"/>
  <c r="U817" i="3"/>
  <c r="Y816" i="3"/>
  <c r="E818" i="3" l="1"/>
  <c r="H818" i="3" s="1"/>
  <c r="K818" i="3" s="1"/>
  <c r="AE818" i="3" s="1"/>
  <c r="D818" i="3"/>
  <c r="G818" i="3" s="1"/>
  <c r="AH818" i="3"/>
  <c r="AG818" i="3"/>
  <c r="F818" i="3" l="1"/>
  <c r="V818" i="3"/>
  <c r="A819" i="3"/>
  <c r="B819" i="3" s="1"/>
  <c r="I818" i="3"/>
  <c r="J818" i="3"/>
  <c r="M818" i="3"/>
  <c r="N818" i="3" s="1"/>
  <c r="W818" i="3" l="1"/>
  <c r="L818" i="3"/>
  <c r="AD819" i="3"/>
  <c r="AC819" i="3"/>
  <c r="AA819" i="3"/>
  <c r="Z819" i="3"/>
  <c r="P819" i="3"/>
  <c r="Q819" i="3" s="1"/>
  <c r="R819" i="3" s="1"/>
  <c r="S819" i="3" s="1"/>
  <c r="T819" i="3" l="1"/>
  <c r="AG819" i="3" s="1"/>
  <c r="U818" i="3"/>
  <c r="Y817" i="3"/>
  <c r="AH819" i="3" l="1"/>
  <c r="E819" i="3"/>
  <c r="H819" i="3" s="1"/>
  <c r="K819" i="3" s="1"/>
  <c r="AE819" i="3" s="1"/>
  <c r="D819" i="3"/>
  <c r="V819" i="3" l="1"/>
  <c r="A820" i="3"/>
  <c r="B820" i="3" s="1"/>
  <c r="F819" i="3"/>
  <c r="G819" i="3"/>
  <c r="I819" i="3" l="1"/>
  <c r="W819" i="3" s="1"/>
  <c r="J819" i="3"/>
  <c r="M819" i="3"/>
  <c r="N819" i="3" s="1"/>
  <c r="Z820" i="3"/>
  <c r="AD820" i="3"/>
  <c r="AA820" i="3"/>
  <c r="P820" i="3"/>
  <c r="Q820" i="3" s="1"/>
  <c r="R820" i="3" s="1"/>
  <c r="S820" i="3" s="1"/>
  <c r="AC820" i="3"/>
  <c r="T820" i="3" l="1"/>
  <c r="L819" i="3"/>
  <c r="U819" i="3" l="1"/>
  <c r="E820" i="3" s="1"/>
  <c r="H820" i="3" s="1"/>
  <c r="AG820" i="3"/>
  <c r="AH820" i="3"/>
  <c r="Y818" i="3"/>
  <c r="D820" i="3" l="1"/>
  <c r="G820" i="3" s="1"/>
  <c r="K820" i="3"/>
  <c r="AE820" i="3" s="1"/>
  <c r="F820" i="3" l="1"/>
  <c r="I820" i="3"/>
  <c r="J820" i="3"/>
  <c r="M820" i="3"/>
  <c r="N820" i="3" s="1"/>
  <c r="V820" i="3"/>
  <c r="A821" i="3"/>
  <c r="B821" i="3" s="1"/>
  <c r="W820" i="3" l="1"/>
  <c r="L820" i="3"/>
  <c r="P821" i="3"/>
  <c r="Q821" i="3" s="1"/>
  <c r="R821" i="3" s="1"/>
  <c r="S821" i="3" s="1"/>
  <c r="AA821" i="3"/>
  <c r="Z821" i="3"/>
  <c r="AD821" i="3"/>
  <c r="AC821" i="3"/>
  <c r="U820" i="3" l="1"/>
  <c r="Y819" i="3"/>
  <c r="T821" i="3"/>
  <c r="AH821" i="3" s="1"/>
  <c r="AG821" i="3" l="1"/>
  <c r="D821" i="3"/>
  <c r="G821" i="3" s="1"/>
  <c r="E821" i="3"/>
  <c r="H821" i="3" s="1"/>
  <c r="F821" i="3" l="1"/>
  <c r="K821" i="3"/>
  <c r="AE821" i="3" s="1"/>
  <c r="I821" i="3"/>
  <c r="J821" i="3"/>
  <c r="M821" i="3"/>
  <c r="N821" i="3" s="1"/>
  <c r="L821" i="3" l="1"/>
  <c r="V821" i="3"/>
  <c r="W821" i="3" s="1"/>
  <c r="A822" i="3"/>
  <c r="B822" i="3" s="1"/>
  <c r="P822" i="3" l="1"/>
  <c r="Q822" i="3" s="1"/>
  <c r="R822" i="3" s="1"/>
  <c r="S822" i="3" s="1"/>
  <c r="AA822" i="3"/>
  <c r="Z822" i="3"/>
  <c r="AC822" i="3"/>
  <c r="AD822" i="3"/>
  <c r="U821" i="3"/>
  <c r="Y820" i="3"/>
  <c r="T822" i="3" l="1"/>
  <c r="AH822" i="3" s="1"/>
  <c r="D822" i="3" l="1"/>
  <c r="E822" i="3"/>
  <c r="H822" i="3" s="1"/>
  <c r="AG822" i="3"/>
  <c r="K822" i="3" l="1"/>
  <c r="AE822" i="3" s="1"/>
  <c r="F822" i="3"/>
  <c r="G822" i="3"/>
  <c r="I822" i="3" l="1"/>
  <c r="J822" i="3"/>
  <c r="M822" i="3"/>
  <c r="N822" i="3" s="1"/>
  <c r="V822" i="3"/>
  <c r="A823" i="3"/>
  <c r="B823" i="3" s="1"/>
  <c r="W822" i="3" l="1"/>
  <c r="L822" i="3"/>
  <c r="AC823" i="3"/>
  <c r="Z823" i="3"/>
  <c r="P823" i="3"/>
  <c r="Q823" i="3" s="1"/>
  <c r="R823" i="3" s="1"/>
  <c r="S823" i="3" s="1"/>
  <c r="AD823" i="3"/>
  <c r="AA823" i="3"/>
  <c r="U822" i="3" l="1"/>
  <c r="Y821" i="3"/>
  <c r="T823" i="3"/>
  <c r="D823" i="3" l="1"/>
  <c r="G823" i="3" s="1"/>
  <c r="E823" i="3"/>
  <c r="H823" i="3" s="1"/>
  <c r="AG823" i="3"/>
  <c r="AH823" i="3"/>
  <c r="F823" i="3" l="1"/>
  <c r="I823" i="3"/>
  <c r="J823" i="3"/>
  <c r="M823" i="3"/>
  <c r="N823" i="3" s="1"/>
  <c r="K823" i="3"/>
  <c r="AE823" i="3" s="1"/>
  <c r="V823" i="3" l="1"/>
  <c r="W823" i="3" s="1"/>
  <c r="A824" i="3"/>
  <c r="B824" i="3" s="1"/>
  <c r="L823" i="3"/>
  <c r="U823" i="3" l="1"/>
  <c r="Y822" i="3"/>
  <c r="Z824" i="3"/>
  <c r="P824" i="3"/>
  <c r="Q824" i="3" s="1"/>
  <c r="R824" i="3" s="1"/>
  <c r="S824" i="3" s="1"/>
  <c r="AC824" i="3"/>
  <c r="AA824" i="3"/>
  <c r="T824" i="3" l="1"/>
  <c r="D824" i="3" s="1"/>
  <c r="AH824" i="3" l="1"/>
  <c r="E824" i="3"/>
  <c r="H824" i="3" s="1"/>
  <c r="K824" i="3" s="1"/>
  <c r="AE824" i="3" s="1"/>
  <c r="AG824" i="3"/>
  <c r="G824" i="3"/>
  <c r="F824" i="3" l="1"/>
  <c r="V824" i="3"/>
  <c r="A825" i="3"/>
  <c r="B825" i="3" s="1"/>
  <c r="I824" i="3"/>
  <c r="J824" i="3"/>
  <c r="AD824" i="3" s="1"/>
  <c r="M824" i="3"/>
  <c r="N824" i="3" s="1"/>
  <c r="L824" i="3" l="1"/>
  <c r="W824" i="3"/>
  <c r="Z825" i="3"/>
  <c r="AC825" i="3"/>
  <c r="P825" i="3"/>
  <c r="Q825" i="3" s="1"/>
  <c r="R825" i="3" s="1"/>
  <c r="S825" i="3" s="1"/>
  <c r="AA825" i="3"/>
  <c r="AD825" i="3"/>
  <c r="T825" i="3" l="1"/>
  <c r="AG825" i="3" s="1"/>
  <c r="U824" i="3"/>
  <c r="Y823" i="3"/>
  <c r="D825" i="3" l="1"/>
  <c r="E825" i="3"/>
  <c r="H825" i="3" s="1"/>
  <c r="AH825" i="3"/>
  <c r="F825" i="3" l="1"/>
  <c r="G825" i="3"/>
  <c r="K825" i="3"/>
  <c r="AE825" i="3" s="1"/>
  <c r="I825" i="3" l="1"/>
  <c r="J825" i="3"/>
  <c r="M825" i="3"/>
  <c r="N825" i="3" s="1"/>
  <c r="V825" i="3"/>
  <c r="A826" i="3"/>
  <c r="B826" i="3" s="1"/>
  <c r="W825" i="3" l="1"/>
  <c r="L825" i="3"/>
  <c r="P826" i="3"/>
  <c r="Q826" i="3" s="1"/>
  <c r="R826" i="3" s="1"/>
  <c r="S826" i="3" s="1"/>
  <c r="Z826" i="3"/>
  <c r="AA826" i="3"/>
  <c r="AD826" i="3"/>
  <c r="AC826" i="3"/>
  <c r="U825" i="3" l="1"/>
  <c r="Y824" i="3"/>
  <c r="T826" i="3"/>
  <c r="AG826" i="3" s="1"/>
  <c r="E826" i="3" l="1"/>
  <c r="H826" i="3" s="1"/>
  <c r="K826" i="3" s="1"/>
  <c r="AE826" i="3" s="1"/>
  <c r="AH826" i="3"/>
  <c r="D826" i="3"/>
  <c r="G826" i="3" s="1"/>
  <c r="F826" i="3" l="1"/>
  <c r="I826" i="3"/>
  <c r="J826" i="3"/>
  <c r="M826" i="3"/>
  <c r="N826" i="3" s="1"/>
  <c r="V826" i="3"/>
  <c r="A827" i="3"/>
  <c r="B827" i="3" s="1"/>
  <c r="W826" i="3" l="1"/>
  <c r="L826" i="3"/>
  <c r="Z827" i="3"/>
  <c r="AA827" i="3"/>
  <c r="AD827" i="3"/>
  <c r="P827" i="3"/>
  <c r="Q827" i="3" s="1"/>
  <c r="R827" i="3" s="1"/>
  <c r="S827" i="3" s="1"/>
  <c r="AC827" i="3"/>
  <c r="U826" i="3" l="1"/>
  <c r="Y825" i="3"/>
  <c r="T827" i="3"/>
  <c r="AH827" i="3" s="1"/>
  <c r="D827" i="3" l="1"/>
  <c r="G827" i="3" s="1"/>
  <c r="E827" i="3"/>
  <c r="H827" i="3" s="1"/>
  <c r="K827" i="3" s="1"/>
  <c r="AE827" i="3" s="1"/>
  <c r="AG827" i="3"/>
  <c r="F827" i="3" l="1"/>
  <c r="V827" i="3"/>
  <c r="A828" i="3"/>
  <c r="B828" i="3" s="1"/>
  <c r="I827" i="3"/>
  <c r="J827" i="3"/>
  <c r="M827" i="3"/>
  <c r="N827" i="3" s="1"/>
  <c r="W827" i="3" l="1"/>
  <c r="L827" i="3"/>
  <c r="AD828" i="3"/>
  <c r="P828" i="3"/>
  <c r="Q828" i="3" s="1"/>
  <c r="R828" i="3" s="1"/>
  <c r="S828" i="3" s="1"/>
  <c r="AC828" i="3"/>
  <c r="AA828" i="3"/>
  <c r="Z828" i="3"/>
  <c r="U827" i="3" l="1"/>
  <c r="Y826" i="3"/>
  <c r="T828" i="3"/>
  <c r="D828" i="3" l="1"/>
  <c r="G828" i="3" s="1"/>
  <c r="AG828" i="3"/>
  <c r="AH828" i="3"/>
  <c r="E828" i="3"/>
  <c r="H828" i="3" s="1"/>
  <c r="F828" i="3" l="1"/>
  <c r="I828" i="3"/>
  <c r="J828" i="3"/>
  <c r="M828" i="3"/>
  <c r="N828" i="3" s="1"/>
  <c r="K828" i="3"/>
  <c r="AE828" i="3" s="1"/>
  <c r="V828" i="3" l="1"/>
  <c r="W828" i="3" s="1"/>
  <c r="A829" i="3"/>
  <c r="B829" i="3" s="1"/>
  <c r="L828" i="3"/>
  <c r="U828" i="3" l="1"/>
  <c r="Y827" i="3"/>
  <c r="AC829" i="3"/>
  <c r="Z829" i="3"/>
  <c r="AA829" i="3"/>
  <c r="P829" i="3"/>
  <c r="Q829" i="3" s="1"/>
  <c r="R829" i="3" s="1"/>
  <c r="S829" i="3" s="1"/>
  <c r="AD829" i="3"/>
  <c r="T829" i="3" l="1"/>
  <c r="E829" i="3" s="1"/>
  <c r="H829" i="3" s="1"/>
  <c r="AH829" i="3" l="1"/>
  <c r="D829" i="3"/>
  <c r="G829" i="3" s="1"/>
  <c r="AG829" i="3"/>
  <c r="K829" i="3"/>
  <c r="AE829" i="3" s="1"/>
  <c r="F829" i="3" l="1"/>
  <c r="I829" i="3"/>
  <c r="J829" i="3"/>
  <c r="M829" i="3"/>
  <c r="N829" i="3" s="1"/>
  <c r="V829" i="3"/>
  <c r="A830" i="3"/>
  <c r="B830" i="3" s="1"/>
  <c r="W829" i="3" l="1"/>
  <c r="L829" i="3"/>
  <c r="AA830" i="3"/>
  <c r="Z830" i="3"/>
  <c r="AC830" i="3"/>
  <c r="AD830" i="3"/>
  <c r="P830" i="3"/>
  <c r="Q830" i="3" s="1"/>
  <c r="R830" i="3" s="1"/>
  <c r="S830" i="3" s="1"/>
  <c r="U829" i="3" l="1"/>
  <c r="Y828" i="3"/>
  <c r="T830" i="3"/>
  <c r="D830" i="3" l="1"/>
  <c r="G830" i="3" s="1"/>
  <c r="E830" i="3"/>
  <c r="H830" i="3" s="1"/>
  <c r="AG830" i="3"/>
  <c r="AH830" i="3"/>
  <c r="F830" i="3" l="1"/>
  <c r="I830" i="3"/>
  <c r="J830" i="3"/>
  <c r="M830" i="3"/>
  <c r="N830" i="3" s="1"/>
  <c r="K830" i="3"/>
  <c r="AE830" i="3" s="1"/>
  <c r="V830" i="3" l="1"/>
  <c r="W830" i="3" s="1"/>
  <c r="A831" i="3"/>
  <c r="B831" i="3" s="1"/>
  <c r="L830" i="3"/>
  <c r="U830" i="3" l="1"/>
  <c r="Y829" i="3"/>
  <c r="Z831" i="3"/>
  <c r="P831" i="3"/>
  <c r="Q831" i="3" s="1"/>
  <c r="R831" i="3" s="1"/>
  <c r="S831" i="3" s="1"/>
  <c r="AA831" i="3"/>
  <c r="AD831" i="3"/>
  <c r="AC831" i="3"/>
  <c r="T831" i="3" l="1"/>
  <c r="AH831" i="3" s="1"/>
  <c r="E831" i="3" l="1"/>
  <c r="H831" i="3" s="1"/>
  <c r="K831" i="3" s="1"/>
  <c r="AE831" i="3" s="1"/>
  <c r="D831" i="3"/>
  <c r="G831" i="3" s="1"/>
  <c r="AG831" i="3"/>
  <c r="F831" i="3" l="1"/>
  <c r="I831" i="3"/>
  <c r="J831" i="3"/>
  <c r="M831" i="3"/>
  <c r="N831" i="3" s="1"/>
  <c r="V831" i="3"/>
  <c r="A832" i="3"/>
  <c r="B832" i="3" s="1"/>
  <c r="W831" i="3" l="1"/>
  <c r="L831" i="3"/>
  <c r="P832" i="3"/>
  <c r="Q832" i="3" s="1"/>
  <c r="R832" i="3" s="1"/>
  <c r="S832" i="3" s="1"/>
  <c r="AC832" i="3"/>
  <c r="AD832" i="3"/>
  <c r="Z832" i="3"/>
  <c r="AA832" i="3"/>
  <c r="U831" i="3" l="1"/>
  <c r="Y830" i="3"/>
  <c r="T832" i="3"/>
  <c r="AH832" i="3" s="1"/>
  <c r="D832" i="3" l="1"/>
  <c r="G832" i="3" s="1"/>
  <c r="AG832" i="3"/>
  <c r="E832" i="3"/>
  <c r="H832" i="3" s="1"/>
  <c r="K832" i="3" l="1"/>
  <c r="AE832" i="3" s="1"/>
  <c r="I832" i="3"/>
  <c r="J832" i="3"/>
  <c r="M832" i="3"/>
  <c r="N832" i="3" s="1"/>
  <c r="F832" i="3"/>
  <c r="L832" i="3" l="1"/>
  <c r="V832" i="3"/>
  <c r="W832" i="3" s="1"/>
  <c r="A833" i="3"/>
  <c r="B833" i="3" s="1"/>
  <c r="U832" i="3" l="1"/>
  <c r="Y831" i="3"/>
  <c r="Z833" i="3"/>
  <c r="AC833" i="3"/>
  <c r="P833" i="3"/>
  <c r="Q833" i="3" s="1"/>
  <c r="R833" i="3" s="1"/>
  <c r="S833" i="3" s="1"/>
  <c r="AD833" i="3"/>
  <c r="AA833" i="3"/>
  <c r="T833" i="3" l="1"/>
  <c r="AH833" i="3" s="1"/>
  <c r="E833" i="3" l="1"/>
  <c r="H833" i="3" s="1"/>
  <c r="K833" i="3" s="1"/>
  <c r="AE833" i="3" s="1"/>
  <c r="AG833" i="3"/>
  <c r="D833" i="3"/>
  <c r="G833" i="3" s="1"/>
  <c r="F833" i="3" l="1"/>
  <c r="I833" i="3"/>
  <c r="J833" i="3"/>
  <c r="M833" i="3"/>
  <c r="N833" i="3" s="1"/>
  <c r="V833" i="3"/>
  <c r="A834" i="3"/>
  <c r="B834" i="3" s="1"/>
  <c r="L833" i="3" l="1"/>
  <c r="W833" i="3"/>
  <c r="AC834" i="3"/>
  <c r="P834" i="3"/>
  <c r="Q834" i="3" s="1"/>
  <c r="R834" i="3" s="1"/>
  <c r="S834" i="3" s="1"/>
  <c r="AA834" i="3"/>
  <c r="Z834" i="3"/>
  <c r="U833" i="3" l="1"/>
  <c r="Y832" i="3"/>
  <c r="T834" i="3"/>
  <c r="D834" i="3" l="1"/>
  <c r="G834" i="3" s="1"/>
  <c r="E834" i="3"/>
  <c r="H834" i="3" s="1"/>
  <c r="K834" i="3" s="1"/>
  <c r="AE834" i="3" s="1"/>
  <c r="AH834" i="3"/>
  <c r="AG834" i="3"/>
  <c r="F834" i="3" l="1"/>
  <c r="V834" i="3"/>
  <c r="A835" i="3"/>
  <c r="B835" i="3" s="1"/>
  <c r="I834" i="3"/>
  <c r="J834" i="3"/>
  <c r="AD834" i="3" s="1"/>
  <c r="M834" i="3"/>
  <c r="N834" i="3" s="1"/>
  <c r="W834" i="3" l="1"/>
  <c r="L834" i="3"/>
  <c r="Z835" i="3"/>
  <c r="P835" i="3"/>
  <c r="Q835" i="3" s="1"/>
  <c r="R835" i="3" s="1"/>
  <c r="S835" i="3" s="1"/>
  <c r="AD835" i="3"/>
  <c r="AC835" i="3"/>
  <c r="AA835" i="3"/>
  <c r="T835" i="3" l="1"/>
  <c r="U834" i="3"/>
  <c r="Y833" i="3"/>
  <c r="E835" i="3" l="1"/>
  <c r="H835" i="3" s="1"/>
  <c r="K835" i="3" s="1"/>
  <c r="AE835" i="3" s="1"/>
  <c r="AH835" i="3"/>
  <c r="AG835" i="3"/>
  <c r="D835" i="3"/>
  <c r="F835" i="3" l="1"/>
  <c r="G835" i="3"/>
  <c r="V835" i="3"/>
  <c r="A836" i="3"/>
  <c r="B836" i="3" s="1"/>
  <c r="I835" i="3" l="1"/>
  <c r="W835" i="3" s="1"/>
  <c r="J835" i="3"/>
  <c r="M835" i="3"/>
  <c r="N835" i="3" s="1"/>
  <c r="Z836" i="3"/>
  <c r="AA836" i="3"/>
  <c r="AC836" i="3"/>
  <c r="P836" i="3"/>
  <c r="Q836" i="3" s="1"/>
  <c r="R836" i="3" s="1"/>
  <c r="S836" i="3" s="1"/>
  <c r="AD836" i="3"/>
  <c r="T836" i="3" l="1"/>
  <c r="L835" i="3"/>
  <c r="AG836" i="3" l="1"/>
  <c r="U835" i="3"/>
  <c r="D836" i="3" s="1"/>
  <c r="AH836" i="3"/>
  <c r="Y834" i="3"/>
  <c r="E836" i="3" l="1"/>
  <c r="H836" i="3" s="1"/>
  <c r="K836" i="3" s="1"/>
  <c r="AE836" i="3" s="1"/>
  <c r="G836" i="3"/>
  <c r="F836" i="3" l="1"/>
  <c r="V836" i="3"/>
  <c r="A837" i="3"/>
  <c r="B837" i="3" s="1"/>
  <c r="I836" i="3"/>
  <c r="J836" i="3"/>
  <c r="M836" i="3"/>
  <c r="N836" i="3" s="1"/>
  <c r="L836" i="3" l="1"/>
  <c r="W836" i="3"/>
  <c r="P837" i="3"/>
  <c r="Q837" i="3" s="1"/>
  <c r="R837" i="3" s="1"/>
  <c r="S837" i="3" s="1"/>
  <c r="AD837" i="3"/>
  <c r="AA837" i="3"/>
  <c r="AC837" i="3"/>
  <c r="Z837" i="3"/>
  <c r="U836" i="3" l="1"/>
  <c r="Y835" i="3"/>
  <c r="T837" i="3"/>
  <c r="AH837" i="3" s="1"/>
  <c r="E837" i="3" l="1"/>
  <c r="H837" i="3" s="1"/>
  <c r="K837" i="3" s="1"/>
  <c r="AE837" i="3" s="1"/>
  <c r="D837" i="3"/>
  <c r="G837" i="3" s="1"/>
  <c r="AG837" i="3"/>
  <c r="F837" i="3" l="1"/>
  <c r="I837" i="3"/>
  <c r="J837" i="3"/>
  <c r="M837" i="3"/>
  <c r="N837" i="3" s="1"/>
  <c r="V837" i="3"/>
  <c r="A838" i="3"/>
  <c r="B838" i="3" s="1"/>
  <c r="W837" i="3" l="1"/>
  <c r="L837" i="3"/>
  <c r="P838" i="3"/>
  <c r="Q838" i="3" s="1"/>
  <c r="R838" i="3" s="1"/>
  <c r="S838" i="3" s="1"/>
  <c r="AA838" i="3"/>
  <c r="AC838" i="3"/>
  <c r="Z838" i="3"/>
  <c r="AD838" i="3"/>
  <c r="U837" i="3" l="1"/>
  <c r="Y836" i="3"/>
  <c r="T838" i="3"/>
  <c r="AH838" i="3" s="1"/>
  <c r="E838" i="3" l="1"/>
  <c r="H838" i="3" s="1"/>
  <c r="D838" i="3"/>
  <c r="AG838" i="3"/>
  <c r="K838" i="3" l="1"/>
  <c r="AE838" i="3" s="1"/>
  <c r="F838" i="3"/>
  <c r="G838" i="3"/>
  <c r="V838" i="3" l="1"/>
  <c r="A839" i="3"/>
  <c r="B839" i="3" s="1"/>
  <c r="I838" i="3"/>
  <c r="J838" i="3"/>
  <c r="M838" i="3"/>
  <c r="N838" i="3" s="1"/>
  <c r="W838" i="3" l="1"/>
  <c r="L838" i="3"/>
  <c r="AC839" i="3"/>
  <c r="Z839" i="3"/>
  <c r="AA839" i="3"/>
  <c r="P839" i="3"/>
  <c r="Q839" i="3" s="1"/>
  <c r="R839" i="3" s="1"/>
  <c r="S839" i="3" s="1"/>
  <c r="AD839" i="3"/>
  <c r="U838" i="3" l="1"/>
  <c r="Y837" i="3"/>
  <c r="T839" i="3"/>
  <c r="AG839" i="3" s="1"/>
  <c r="D839" i="3" l="1"/>
  <c r="E839" i="3"/>
  <c r="H839" i="3" s="1"/>
  <c r="AH839" i="3"/>
  <c r="F839" i="3" l="1"/>
  <c r="G839" i="3"/>
  <c r="K839" i="3"/>
  <c r="AE839" i="3" s="1"/>
  <c r="V839" i="3" l="1"/>
  <c r="A840" i="3"/>
  <c r="B840" i="3" s="1"/>
  <c r="I839" i="3"/>
  <c r="J839" i="3"/>
  <c r="M839" i="3"/>
  <c r="N839" i="3" s="1"/>
  <c r="W839" i="3" l="1"/>
  <c r="L839" i="3"/>
  <c r="AC840" i="3"/>
  <c r="P840" i="3"/>
  <c r="Q840" i="3" s="1"/>
  <c r="R840" i="3" s="1"/>
  <c r="S840" i="3" s="1"/>
  <c r="AA840" i="3"/>
  <c r="Z840" i="3"/>
  <c r="AD840" i="3"/>
  <c r="T840" i="3" l="1"/>
  <c r="U839" i="3"/>
  <c r="Y838" i="3"/>
  <c r="D840" i="3" l="1"/>
  <c r="G840" i="3" s="1"/>
  <c r="AG840" i="3"/>
  <c r="E840" i="3"/>
  <c r="H840" i="3" s="1"/>
  <c r="AH840" i="3"/>
  <c r="K840" i="3" l="1"/>
  <c r="AE840" i="3" s="1"/>
  <c r="I840" i="3"/>
  <c r="J840" i="3"/>
  <c r="M840" i="3"/>
  <c r="N840" i="3" s="1"/>
  <c r="F840" i="3"/>
  <c r="L840" i="3" l="1"/>
  <c r="V840" i="3"/>
  <c r="W840" i="3" s="1"/>
  <c r="A841" i="3"/>
  <c r="B841" i="3" s="1"/>
  <c r="U840" i="3" l="1"/>
  <c r="Y839" i="3"/>
  <c r="AA841" i="3"/>
  <c r="Z841" i="3"/>
  <c r="AD841" i="3"/>
  <c r="AC841" i="3"/>
  <c r="P841" i="3"/>
  <c r="Q841" i="3" s="1"/>
  <c r="R841" i="3" s="1"/>
  <c r="S841" i="3" s="1"/>
  <c r="T841" i="3" l="1"/>
  <c r="AH841" i="3" s="1"/>
  <c r="E841" i="3" l="1"/>
  <c r="H841" i="3" s="1"/>
  <c r="K841" i="3" s="1"/>
  <c r="AE841" i="3" s="1"/>
  <c r="AG841" i="3"/>
  <c r="D841" i="3"/>
  <c r="G841" i="3" s="1"/>
  <c r="F841" i="3" l="1"/>
  <c r="I841" i="3"/>
  <c r="J841" i="3"/>
  <c r="M841" i="3"/>
  <c r="N841" i="3" s="1"/>
  <c r="V841" i="3"/>
  <c r="A842" i="3"/>
  <c r="B842" i="3" s="1"/>
  <c r="W841" i="3" l="1"/>
  <c r="L841" i="3"/>
  <c r="P842" i="3"/>
  <c r="Q842" i="3" s="1"/>
  <c r="R842" i="3" s="1"/>
  <c r="S842" i="3" s="1"/>
  <c r="AD842" i="3"/>
  <c r="Z842" i="3"/>
  <c r="AC842" i="3"/>
  <c r="AA842" i="3"/>
  <c r="U841" i="3" l="1"/>
  <c r="Y840" i="3"/>
  <c r="T842" i="3"/>
  <c r="AG842" i="3" s="1"/>
  <c r="D842" i="3" l="1"/>
  <c r="G842" i="3" s="1"/>
  <c r="E842" i="3"/>
  <c r="H842" i="3" s="1"/>
  <c r="K842" i="3" s="1"/>
  <c r="AE842" i="3" s="1"/>
  <c r="AH842" i="3"/>
  <c r="F842" i="3" l="1"/>
  <c r="V842" i="3"/>
  <c r="A843" i="3"/>
  <c r="B843" i="3" s="1"/>
  <c r="I842" i="3"/>
  <c r="J842" i="3"/>
  <c r="M842" i="3"/>
  <c r="N842" i="3" s="1"/>
  <c r="W842" i="3" l="1"/>
  <c r="L842" i="3"/>
  <c r="AC843" i="3"/>
  <c r="AD843" i="3"/>
  <c r="AA843" i="3"/>
  <c r="Z843" i="3"/>
  <c r="P843" i="3"/>
  <c r="Q843" i="3" s="1"/>
  <c r="R843" i="3" s="1"/>
  <c r="S843" i="3" s="1"/>
  <c r="U842" i="3" l="1"/>
  <c r="Y841" i="3"/>
  <c r="T843" i="3"/>
  <c r="AG843" i="3" s="1"/>
  <c r="D843" i="3" l="1"/>
  <c r="E843" i="3"/>
  <c r="H843" i="3" s="1"/>
  <c r="AH843" i="3"/>
  <c r="F843" i="3" l="1"/>
  <c r="G843" i="3"/>
  <c r="K843" i="3"/>
  <c r="AE843" i="3" s="1"/>
  <c r="V843" i="3" l="1"/>
  <c r="A844" i="3"/>
  <c r="B844" i="3" s="1"/>
  <c r="I843" i="3"/>
  <c r="J843" i="3"/>
  <c r="M843" i="3"/>
  <c r="N843" i="3" s="1"/>
  <c r="W843" i="3" l="1"/>
  <c r="L843" i="3"/>
  <c r="AC844" i="3"/>
  <c r="P844" i="3"/>
  <c r="Q844" i="3" s="1"/>
  <c r="R844" i="3" s="1"/>
  <c r="S844" i="3" s="1"/>
  <c r="Z844" i="3"/>
  <c r="AA844" i="3"/>
  <c r="U843" i="3" l="1"/>
  <c r="Y842" i="3"/>
  <c r="T844" i="3"/>
  <c r="AH844" i="3" s="1"/>
  <c r="AG844" i="3" l="1"/>
  <c r="E844" i="3"/>
  <c r="H844" i="3" s="1"/>
  <c r="K844" i="3" s="1"/>
  <c r="AE844" i="3" s="1"/>
  <c r="D844" i="3"/>
  <c r="V844" i="3" l="1"/>
  <c r="A845" i="3"/>
  <c r="B845" i="3" s="1"/>
  <c r="F844" i="3"/>
  <c r="G844" i="3"/>
  <c r="I844" i="3" l="1"/>
  <c r="W844" i="3" s="1"/>
  <c r="J844" i="3"/>
  <c r="AD844" i="3" s="1"/>
  <c r="M844" i="3"/>
  <c r="N844" i="3" s="1"/>
  <c r="AC845" i="3"/>
  <c r="P845" i="3"/>
  <c r="Q845" i="3" s="1"/>
  <c r="R845" i="3" s="1"/>
  <c r="S845" i="3" s="1"/>
  <c r="Z845" i="3"/>
  <c r="AA845" i="3"/>
  <c r="T845" i="3" l="1"/>
  <c r="L844" i="3"/>
  <c r="AH845" i="3" l="1"/>
  <c r="U844" i="3"/>
  <c r="D845" i="3" s="1"/>
  <c r="AG845" i="3"/>
  <c r="Y843" i="3"/>
  <c r="E845" i="3" l="1"/>
  <c r="H845" i="3" s="1"/>
  <c r="K845" i="3" s="1"/>
  <c r="AE845" i="3" s="1"/>
  <c r="G845" i="3"/>
  <c r="F845" i="3" l="1"/>
  <c r="I845" i="3"/>
  <c r="J845" i="3"/>
  <c r="AD845" i="3" s="1"/>
  <c r="M845" i="3"/>
  <c r="N845" i="3" s="1"/>
  <c r="V845" i="3"/>
  <c r="A846" i="3"/>
  <c r="B846" i="3" s="1"/>
  <c r="W845" i="3" l="1"/>
  <c r="L845" i="3"/>
  <c r="P846" i="3"/>
  <c r="Q846" i="3" s="1"/>
  <c r="R846" i="3" s="1"/>
  <c r="S846" i="3" s="1"/>
  <c r="AC846" i="3"/>
  <c r="Z846" i="3"/>
  <c r="AA846" i="3"/>
  <c r="U845" i="3" l="1"/>
  <c r="Y844" i="3"/>
  <c r="T846" i="3"/>
  <c r="AH846" i="3" s="1"/>
  <c r="D846" i="3" l="1"/>
  <c r="G846" i="3" s="1"/>
  <c r="E846" i="3"/>
  <c r="H846" i="3" s="1"/>
  <c r="K846" i="3" s="1"/>
  <c r="AE846" i="3" s="1"/>
  <c r="AG846" i="3"/>
  <c r="F846" i="3" l="1"/>
  <c r="I846" i="3"/>
  <c r="J846" i="3"/>
  <c r="AD846" i="3" s="1"/>
  <c r="M846" i="3"/>
  <c r="N846" i="3" s="1"/>
  <c r="V846" i="3"/>
  <c r="A847" i="3"/>
  <c r="B847" i="3" s="1"/>
  <c r="W846" i="3" l="1"/>
  <c r="L846" i="3"/>
  <c r="AC847" i="3"/>
  <c r="P847" i="3"/>
  <c r="Q847" i="3" s="1"/>
  <c r="R847" i="3" s="1"/>
  <c r="S847" i="3" s="1"/>
  <c r="AA847" i="3"/>
  <c r="Z847" i="3"/>
  <c r="U846" i="3" l="1"/>
  <c r="Y845" i="3"/>
  <c r="T847" i="3"/>
  <c r="D847" i="3" l="1"/>
  <c r="G847" i="3" s="1"/>
  <c r="E847" i="3"/>
  <c r="H847" i="3" s="1"/>
  <c r="K847" i="3" s="1"/>
  <c r="AE847" i="3" s="1"/>
  <c r="AH847" i="3"/>
  <c r="AG847" i="3"/>
  <c r="F847" i="3" l="1"/>
  <c r="I847" i="3"/>
  <c r="J847" i="3"/>
  <c r="AD847" i="3" s="1"/>
  <c r="M847" i="3"/>
  <c r="N847" i="3" s="1"/>
  <c r="V847" i="3"/>
  <c r="A848" i="3"/>
  <c r="B848" i="3" s="1"/>
  <c r="W847" i="3" l="1"/>
  <c r="L847" i="3"/>
  <c r="AA848" i="3"/>
  <c r="P848" i="3"/>
  <c r="Q848" i="3" s="1"/>
  <c r="R848" i="3" s="1"/>
  <c r="S848" i="3" s="1"/>
  <c r="Z848" i="3"/>
  <c r="AC848" i="3"/>
  <c r="U847" i="3" l="1"/>
  <c r="Y846" i="3"/>
  <c r="T848" i="3"/>
  <c r="AG848" i="3" s="1"/>
  <c r="D848" i="3" l="1"/>
  <c r="AH848" i="3"/>
  <c r="E848" i="3"/>
  <c r="H848" i="3" s="1"/>
  <c r="F848" i="3" l="1"/>
  <c r="G848" i="3"/>
  <c r="K848" i="3"/>
  <c r="AE848" i="3" s="1"/>
  <c r="V848" i="3" l="1"/>
  <c r="A849" i="3"/>
  <c r="B849" i="3" s="1"/>
  <c r="I848" i="3"/>
  <c r="J848" i="3"/>
  <c r="AD848" i="3" s="1"/>
  <c r="M848" i="3"/>
  <c r="N848" i="3" s="1"/>
  <c r="W848" i="3" l="1"/>
  <c r="L848" i="3"/>
  <c r="P849" i="3"/>
  <c r="Q849" i="3" s="1"/>
  <c r="R849" i="3" s="1"/>
  <c r="S849" i="3" s="1"/>
  <c r="AC849" i="3"/>
  <c r="Z849" i="3"/>
  <c r="AA849" i="3"/>
  <c r="U848" i="3" l="1"/>
  <c r="Y847" i="3"/>
  <c r="T849" i="3"/>
  <c r="AG849" i="3" s="1"/>
  <c r="E849" i="3" l="1"/>
  <c r="H849" i="3" s="1"/>
  <c r="K849" i="3" s="1"/>
  <c r="AE849" i="3" s="1"/>
  <c r="D849" i="3"/>
  <c r="G849" i="3" s="1"/>
  <c r="AH849" i="3"/>
  <c r="F849" i="3" l="1"/>
  <c r="V849" i="3"/>
  <c r="A850" i="3"/>
  <c r="B850" i="3" s="1"/>
  <c r="I849" i="3"/>
  <c r="J849" i="3"/>
  <c r="AD849" i="3" s="1"/>
  <c r="M849" i="3"/>
  <c r="N849" i="3" s="1"/>
  <c r="W849" i="3" l="1"/>
  <c r="L849" i="3"/>
  <c r="AA850" i="3"/>
  <c r="AC850" i="3"/>
  <c r="P850" i="3"/>
  <c r="Q850" i="3" s="1"/>
  <c r="R850" i="3" s="1"/>
  <c r="S850" i="3" s="1"/>
  <c r="Z850" i="3"/>
  <c r="T850" i="3" l="1"/>
  <c r="AG850" i="3" s="1"/>
  <c r="U849" i="3"/>
  <c r="Y848" i="3"/>
  <c r="E850" i="3" l="1"/>
  <c r="H850" i="3" s="1"/>
  <c r="D850" i="3"/>
  <c r="AH850" i="3"/>
  <c r="K850" i="3" l="1"/>
  <c r="AE850" i="3" s="1"/>
  <c r="F850" i="3"/>
  <c r="G850" i="3"/>
  <c r="I850" i="3" l="1"/>
  <c r="J850" i="3"/>
  <c r="AD850" i="3" s="1"/>
  <c r="M850" i="3"/>
  <c r="N850" i="3" s="1"/>
  <c r="V850" i="3"/>
  <c r="A851" i="3"/>
  <c r="B851" i="3" s="1"/>
  <c r="W850" i="3" l="1"/>
  <c r="L850" i="3"/>
  <c r="P851" i="3"/>
  <c r="Q851" i="3" s="1"/>
  <c r="R851" i="3" s="1"/>
  <c r="S851" i="3" s="1"/>
  <c r="AA851" i="3"/>
  <c r="AC851" i="3"/>
  <c r="Z851" i="3"/>
  <c r="U850" i="3" l="1"/>
  <c r="Y849" i="3"/>
  <c r="T851" i="3"/>
  <c r="AH851" i="3" s="1"/>
  <c r="E851" i="3" l="1"/>
  <c r="H851" i="3" s="1"/>
  <c r="K851" i="3" s="1"/>
  <c r="AE851" i="3" s="1"/>
  <c r="AG851" i="3"/>
  <c r="D851" i="3"/>
  <c r="F851" i="3" l="1"/>
  <c r="G851" i="3"/>
  <c r="M851" i="3" s="1"/>
  <c r="N851" i="3" s="1"/>
  <c r="V851" i="3"/>
  <c r="A852" i="3"/>
  <c r="B852" i="3" s="1"/>
  <c r="I851" i="3" l="1"/>
  <c r="W851" i="3" s="1"/>
  <c r="J851" i="3"/>
  <c r="AC852" i="3"/>
  <c r="AA852" i="3"/>
  <c r="P852" i="3"/>
  <c r="Q852" i="3" s="1"/>
  <c r="R852" i="3" s="1"/>
  <c r="S852" i="3" s="1"/>
  <c r="Z852" i="3"/>
  <c r="L851" i="3" l="1"/>
  <c r="U851" i="3" s="1"/>
  <c r="AD851" i="3"/>
  <c r="T852" i="3"/>
  <c r="Y850" i="3" l="1"/>
  <c r="D852" i="3"/>
  <c r="G852" i="3" s="1"/>
  <c r="AH852" i="3"/>
  <c r="E852" i="3"/>
  <c r="H852" i="3" s="1"/>
  <c r="AG852" i="3"/>
  <c r="F852" i="3" l="1"/>
  <c r="I852" i="3"/>
  <c r="J852" i="3"/>
  <c r="AD852" i="3" s="1"/>
  <c r="M852" i="3"/>
  <c r="N852" i="3" s="1"/>
  <c r="K852" i="3"/>
  <c r="AE852" i="3" s="1"/>
  <c r="L852" i="3" l="1"/>
  <c r="V852" i="3"/>
  <c r="W852" i="3" s="1"/>
  <c r="A853" i="3"/>
  <c r="B853" i="3" s="1"/>
  <c r="U852" i="3" l="1"/>
  <c r="Y851" i="3"/>
  <c r="AC853" i="3"/>
  <c r="P853" i="3"/>
  <c r="Q853" i="3" s="1"/>
  <c r="R853" i="3" s="1"/>
  <c r="S853" i="3" s="1"/>
  <c r="Z853" i="3"/>
  <c r="AA853" i="3"/>
  <c r="T853" i="3" l="1"/>
  <c r="AG853" i="3" s="1"/>
  <c r="E853" i="3" l="1"/>
  <c r="H853" i="3" s="1"/>
  <c r="AH853" i="3"/>
  <c r="D853" i="3"/>
  <c r="K853" i="3" l="1"/>
  <c r="AE853" i="3" s="1"/>
  <c r="F853" i="3"/>
  <c r="G853" i="3"/>
  <c r="I853" i="3" l="1"/>
  <c r="J853" i="3"/>
  <c r="AD853" i="3" s="1"/>
  <c r="M853" i="3"/>
  <c r="N853" i="3" s="1"/>
  <c r="V853" i="3"/>
  <c r="A854" i="3"/>
  <c r="B854" i="3" s="1"/>
  <c r="W853" i="3" l="1"/>
  <c r="L853" i="3"/>
  <c r="Z854" i="3"/>
  <c r="P854" i="3"/>
  <c r="Q854" i="3" s="1"/>
  <c r="R854" i="3" s="1"/>
  <c r="S854" i="3" s="1"/>
  <c r="AC854" i="3"/>
  <c r="AA854" i="3"/>
  <c r="U853" i="3" l="1"/>
  <c r="Y852" i="3"/>
  <c r="T854" i="3"/>
  <c r="AG854" i="3" s="1"/>
  <c r="E854" i="3" l="1"/>
  <c r="H854" i="3" s="1"/>
  <c r="K854" i="3" s="1"/>
  <c r="AE854" i="3" s="1"/>
  <c r="AH854" i="3"/>
  <c r="D854" i="3"/>
  <c r="G854" i="3" s="1"/>
  <c r="F854" i="3" l="1"/>
  <c r="I854" i="3"/>
  <c r="J854" i="3"/>
  <c r="AD854" i="3" s="1"/>
  <c r="M854" i="3"/>
  <c r="N854" i="3" s="1"/>
  <c r="V854" i="3"/>
  <c r="A855" i="3"/>
  <c r="B855" i="3" s="1"/>
  <c r="W854" i="3" l="1"/>
  <c r="L854" i="3"/>
  <c r="Z855" i="3"/>
  <c r="P855" i="3"/>
  <c r="Q855" i="3" s="1"/>
  <c r="R855" i="3" s="1"/>
  <c r="S855" i="3" s="1"/>
  <c r="AA855" i="3"/>
  <c r="AC855" i="3"/>
  <c r="AD855" i="3"/>
  <c r="T855" i="3" l="1"/>
  <c r="AG855" i="3" s="1"/>
  <c r="U854" i="3"/>
  <c r="Y853" i="3"/>
  <c r="E855" i="3" l="1"/>
  <c r="H855" i="3" s="1"/>
  <c r="K855" i="3" s="1"/>
  <c r="AE855" i="3" s="1"/>
  <c r="D855" i="3"/>
  <c r="AH855" i="3"/>
  <c r="F855" i="3" l="1"/>
  <c r="G855" i="3"/>
  <c r="V855" i="3"/>
  <c r="A856" i="3"/>
  <c r="B856" i="3" s="1"/>
  <c r="AA856" i="3" l="1"/>
  <c r="P856" i="3"/>
  <c r="Q856" i="3" s="1"/>
  <c r="R856" i="3" s="1"/>
  <c r="S856" i="3" s="1"/>
  <c r="Z856" i="3"/>
  <c r="AD856" i="3"/>
  <c r="AC856" i="3"/>
  <c r="I855" i="3"/>
  <c r="W855" i="3" s="1"/>
  <c r="J855" i="3"/>
  <c r="M855" i="3"/>
  <c r="N855" i="3" s="1"/>
  <c r="L855" i="3" l="1"/>
  <c r="T856" i="3"/>
  <c r="U855" i="3" l="1"/>
  <c r="D856" i="3" s="1"/>
  <c r="AH856" i="3"/>
  <c r="AG856" i="3"/>
  <c r="Y854" i="3"/>
  <c r="G856" i="3" l="1"/>
  <c r="E856" i="3"/>
  <c r="H856" i="3" s="1"/>
  <c r="F856" i="3" l="1"/>
  <c r="K856" i="3"/>
  <c r="AE856" i="3" s="1"/>
  <c r="I856" i="3"/>
  <c r="J856" i="3"/>
  <c r="M856" i="3"/>
  <c r="N856" i="3" s="1"/>
  <c r="L856" i="3" l="1"/>
  <c r="V856" i="3"/>
  <c r="W856" i="3" s="1"/>
  <c r="A857" i="3"/>
  <c r="B857" i="3" s="1"/>
  <c r="Z857" i="3" l="1"/>
  <c r="AC857" i="3"/>
  <c r="AD857" i="3"/>
  <c r="AA857" i="3"/>
  <c r="P857" i="3"/>
  <c r="Q857" i="3" s="1"/>
  <c r="R857" i="3" s="1"/>
  <c r="S857" i="3" s="1"/>
  <c r="U856" i="3"/>
  <c r="Y855" i="3"/>
  <c r="T857" i="3" l="1"/>
  <c r="E857" i="3" l="1"/>
  <c r="H857" i="3" s="1"/>
  <c r="AG857" i="3"/>
  <c r="D857" i="3"/>
  <c r="AH857" i="3"/>
  <c r="K857" i="3" l="1"/>
  <c r="AE857" i="3" s="1"/>
  <c r="F857" i="3"/>
  <c r="G857" i="3"/>
  <c r="I857" i="3" l="1"/>
  <c r="J857" i="3"/>
  <c r="M857" i="3"/>
  <c r="N857" i="3" s="1"/>
  <c r="V857" i="3"/>
  <c r="A858" i="3"/>
  <c r="B858" i="3" s="1"/>
  <c r="W857" i="3" l="1"/>
  <c r="L857" i="3"/>
  <c r="AA858" i="3"/>
  <c r="AD858" i="3"/>
  <c r="Z858" i="3"/>
  <c r="P858" i="3"/>
  <c r="Q858" i="3" s="1"/>
  <c r="R858" i="3" s="1"/>
  <c r="S858" i="3" s="1"/>
  <c r="AC858" i="3"/>
  <c r="U857" i="3" l="1"/>
  <c r="Y856" i="3"/>
  <c r="T858" i="3"/>
  <c r="D858" i="3" l="1"/>
  <c r="G858" i="3" s="1"/>
  <c r="E858" i="3"/>
  <c r="H858" i="3" s="1"/>
  <c r="K858" i="3" s="1"/>
  <c r="AE858" i="3" s="1"/>
  <c r="AG858" i="3"/>
  <c r="AH858" i="3"/>
  <c r="F858" i="3" l="1"/>
  <c r="V858" i="3"/>
  <c r="A859" i="3"/>
  <c r="B859" i="3" s="1"/>
  <c r="I858" i="3"/>
  <c r="J858" i="3"/>
  <c r="M858" i="3"/>
  <c r="N858" i="3" s="1"/>
  <c r="W858" i="3" l="1"/>
  <c r="L858" i="3"/>
  <c r="AC859" i="3"/>
  <c r="P859" i="3"/>
  <c r="Q859" i="3" s="1"/>
  <c r="R859" i="3" s="1"/>
  <c r="S859" i="3" s="1"/>
  <c r="AA859" i="3"/>
  <c r="Z859" i="3"/>
  <c r="AD859" i="3"/>
  <c r="U858" i="3" l="1"/>
  <c r="Y857" i="3"/>
  <c r="T859" i="3"/>
  <c r="D859" i="3" l="1"/>
  <c r="G859" i="3" s="1"/>
  <c r="AH859" i="3"/>
  <c r="AG859" i="3"/>
  <c r="E859" i="3"/>
  <c r="H859" i="3" s="1"/>
  <c r="K859" i="3" s="1"/>
  <c r="AE859" i="3" s="1"/>
  <c r="F859" i="3" l="1"/>
  <c r="I859" i="3"/>
  <c r="J859" i="3"/>
  <c r="M859" i="3"/>
  <c r="N859" i="3" s="1"/>
  <c r="V859" i="3"/>
  <c r="A860" i="3"/>
  <c r="B860" i="3" s="1"/>
  <c r="W859" i="3" l="1"/>
  <c r="AC860" i="3"/>
  <c r="AD860" i="3"/>
  <c r="Z860" i="3"/>
  <c r="AA860" i="3"/>
  <c r="P860" i="3"/>
  <c r="Q860" i="3" s="1"/>
  <c r="R860" i="3" s="1"/>
  <c r="S860" i="3" s="1"/>
  <c r="L859" i="3"/>
  <c r="T860" i="3" l="1"/>
  <c r="U859" i="3"/>
  <c r="Y858" i="3"/>
  <c r="D860" i="3" l="1"/>
  <c r="G860" i="3" s="1"/>
  <c r="AG860" i="3"/>
  <c r="AH860" i="3"/>
  <c r="E860" i="3"/>
  <c r="H860" i="3" s="1"/>
  <c r="I860" i="3" l="1"/>
  <c r="J860" i="3"/>
  <c r="M860" i="3"/>
  <c r="N860" i="3" s="1"/>
  <c r="K860" i="3"/>
  <c r="AE860" i="3" s="1"/>
  <c r="F860" i="3"/>
  <c r="L860" i="3" l="1"/>
  <c r="V860" i="3"/>
  <c r="W860" i="3" s="1"/>
  <c r="A861" i="3"/>
  <c r="B861" i="3" s="1"/>
  <c r="U860" i="3" l="1"/>
  <c r="Y859" i="3"/>
  <c r="Z861" i="3"/>
  <c r="AD861" i="3"/>
  <c r="P861" i="3"/>
  <c r="Q861" i="3" s="1"/>
  <c r="R861" i="3" s="1"/>
  <c r="S861" i="3" s="1"/>
  <c r="AC861" i="3"/>
  <c r="AA861" i="3"/>
  <c r="T861" i="3" l="1"/>
  <c r="E861" i="3" s="1"/>
  <c r="H861" i="3" s="1"/>
  <c r="K861" i="3" l="1"/>
  <c r="AE861" i="3" s="1"/>
  <c r="D861" i="3"/>
  <c r="AH861" i="3"/>
  <c r="AG861" i="3"/>
  <c r="F861" i="3" l="1"/>
  <c r="G861" i="3"/>
  <c r="V861" i="3"/>
  <c r="A862" i="3"/>
  <c r="B862" i="3" s="1"/>
  <c r="AD862" i="3" l="1"/>
  <c r="Z862" i="3"/>
  <c r="P862" i="3"/>
  <c r="Q862" i="3" s="1"/>
  <c r="R862" i="3" s="1"/>
  <c r="S862" i="3" s="1"/>
  <c r="AC862" i="3"/>
  <c r="AA862" i="3"/>
  <c r="I861" i="3"/>
  <c r="W861" i="3" s="1"/>
  <c r="J861" i="3"/>
  <c r="M861" i="3"/>
  <c r="N861" i="3" s="1"/>
  <c r="T862" i="3" l="1"/>
  <c r="L861" i="3"/>
  <c r="AH862" i="3" l="1"/>
  <c r="U861" i="3"/>
  <c r="D862" i="3" s="1"/>
  <c r="AG862" i="3"/>
  <c r="Y860" i="3"/>
  <c r="E862" i="3" l="1"/>
  <c r="H862" i="3" s="1"/>
  <c r="K862" i="3" s="1"/>
  <c r="AE862" i="3" s="1"/>
  <c r="G862" i="3"/>
  <c r="F862" i="3" l="1"/>
  <c r="I862" i="3"/>
  <c r="J862" i="3"/>
  <c r="M862" i="3"/>
  <c r="N862" i="3" s="1"/>
  <c r="V862" i="3"/>
  <c r="A863" i="3"/>
  <c r="B863" i="3" s="1"/>
  <c r="W862" i="3" l="1"/>
  <c r="L862" i="3"/>
  <c r="AA863" i="3"/>
  <c r="Z863" i="3"/>
  <c r="P863" i="3"/>
  <c r="Q863" i="3" s="1"/>
  <c r="R863" i="3" s="1"/>
  <c r="S863" i="3" s="1"/>
  <c r="AD863" i="3"/>
  <c r="AC863" i="3"/>
  <c r="T863" i="3" l="1"/>
  <c r="U862" i="3"/>
  <c r="Y861" i="3"/>
  <c r="E863" i="3" l="1"/>
  <c r="H863" i="3" s="1"/>
  <c r="K863" i="3" s="1"/>
  <c r="AE863" i="3" s="1"/>
  <c r="D863" i="3"/>
  <c r="G863" i="3" s="1"/>
  <c r="AH863" i="3"/>
  <c r="AG863" i="3"/>
  <c r="F863" i="3" l="1"/>
  <c r="I863" i="3"/>
  <c r="J863" i="3"/>
  <c r="M863" i="3"/>
  <c r="N863" i="3" s="1"/>
  <c r="V863" i="3"/>
  <c r="A864" i="3"/>
  <c r="B864" i="3" s="1"/>
  <c r="W863" i="3" l="1"/>
  <c r="L863" i="3"/>
  <c r="AC864" i="3"/>
  <c r="Z864" i="3"/>
  <c r="AA864" i="3"/>
  <c r="P864" i="3"/>
  <c r="Q864" i="3" s="1"/>
  <c r="R864" i="3" s="1"/>
  <c r="S864" i="3" s="1"/>
  <c r="U863" i="3" l="1"/>
  <c r="Y862" i="3"/>
  <c r="T864" i="3"/>
  <c r="AH864" i="3" s="1"/>
  <c r="E864" i="3" l="1"/>
  <c r="H864" i="3" s="1"/>
  <c r="D864" i="3"/>
  <c r="AG864" i="3"/>
  <c r="K864" i="3" l="1"/>
  <c r="AE864" i="3" s="1"/>
  <c r="F864" i="3"/>
  <c r="G864" i="3"/>
  <c r="I864" i="3" l="1"/>
  <c r="J864" i="3"/>
  <c r="AD864" i="3" s="1"/>
  <c r="M864" i="3"/>
  <c r="N864" i="3" s="1"/>
  <c r="V864" i="3"/>
  <c r="A865" i="3"/>
  <c r="B865" i="3" s="1"/>
  <c r="W864" i="3" l="1"/>
  <c r="L864" i="3"/>
  <c r="AD865" i="3"/>
  <c r="P865" i="3"/>
  <c r="Q865" i="3" s="1"/>
  <c r="R865" i="3" s="1"/>
  <c r="S865" i="3" s="1"/>
  <c r="AC865" i="3"/>
  <c r="Z865" i="3"/>
  <c r="AA865" i="3"/>
  <c r="U864" i="3" l="1"/>
  <c r="Y863" i="3"/>
  <c r="T865" i="3"/>
  <c r="AG865" i="3" s="1"/>
  <c r="E865" i="3" l="1"/>
  <c r="H865" i="3" s="1"/>
  <c r="K865" i="3" s="1"/>
  <c r="AE865" i="3" s="1"/>
  <c r="D865" i="3"/>
  <c r="G865" i="3" s="1"/>
  <c r="AH865" i="3"/>
  <c r="F865" i="3" l="1"/>
  <c r="V865" i="3"/>
  <c r="A866" i="3"/>
  <c r="B866" i="3" s="1"/>
  <c r="I865" i="3"/>
  <c r="J865" i="3"/>
  <c r="M865" i="3"/>
  <c r="N865" i="3" s="1"/>
  <c r="W865" i="3" l="1"/>
  <c r="L865" i="3"/>
  <c r="P866" i="3"/>
  <c r="Q866" i="3" s="1"/>
  <c r="R866" i="3" s="1"/>
  <c r="S866" i="3" s="1"/>
  <c r="AA866" i="3"/>
  <c r="Z866" i="3"/>
  <c r="AC866" i="3"/>
  <c r="AD866" i="3"/>
  <c r="T866" i="3" l="1"/>
  <c r="U865" i="3"/>
  <c r="Y864" i="3"/>
  <c r="D866" i="3" l="1"/>
  <c r="G866" i="3" s="1"/>
  <c r="AG866" i="3"/>
  <c r="AH866" i="3"/>
  <c r="E866" i="3"/>
  <c r="H866" i="3" s="1"/>
  <c r="F866" i="3" l="1"/>
  <c r="K866" i="3"/>
  <c r="AE866" i="3" s="1"/>
  <c r="I866" i="3"/>
  <c r="J866" i="3"/>
  <c r="M866" i="3"/>
  <c r="N866" i="3" s="1"/>
  <c r="L866" i="3" l="1"/>
  <c r="V866" i="3"/>
  <c r="W866" i="3" s="1"/>
  <c r="A867" i="3"/>
  <c r="B867" i="3" s="1"/>
  <c r="Z867" i="3" l="1"/>
  <c r="AA867" i="3"/>
  <c r="P867" i="3"/>
  <c r="Q867" i="3" s="1"/>
  <c r="R867" i="3" s="1"/>
  <c r="S867" i="3" s="1"/>
  <c r="AC867" i="3"/>
  <c r="AD867" i="3"/>
  <c r="U866" i="3"/>
  <c r="Y865" i="3"/>
  <c r="T867" i="3" l="1"/>
  <c r="D867" i="3" s="1"/>
  <c r="AG867" i="3" l="1"/>
  <c r="E867" i="3"/>
  <c r="H867" i="3" s="1"/>
  <c r="K867" i="3" s="1"/>
  <c r="AE867" i="3" s="1"/>
  <c r="AH867" i="3"/>
  <c r="G867" i="3"/>
  <c r="F867" i="3" l="1"/>
  <c r="I867" i="3"/>
  <c r="J867" i="3"/>
  <c r="M867" i="3"/>
  <c r="N867" i="3" s="1"/>
  <c r="V867" i="3"/>
  <c r="A868" i="3"/>
  <c r="B868" i="3" s="1"/>
  <c r="W867" i="3" l="1"/>
  <c r="L867" i="3"/>
  <c r="AD868" i="3"/>
  <c r="Z868" i="3"/>
  <c r="AA868" i="3"/>
  <c r="AC868" i="3"/>
  <c r="P868" i="3"/>
  <c r="Q868" i="3" s="1"/>
  <c r="R868" i="3" s="1"/>
  <c r="S868" i="3" s="1"/>
  <c r="T868" i="3" l="1"/>
  <c r="U867" i="3"/>
  <c r="Y866" i="3"/>
  <c r="E868" i="3" l="1"/>
  <c r="H868" i="3" s="1"/>
  <c r="K868" i="3" s="1"/>
  <c r="AE868" i="3" s="1"/>
  <c r="AH868" i="3"/>
  <c r="D868" i="3"/>
  <c r="G868" i="3" s="1"/>
  <c r="AG868" i="3"/>
  <c r="F868" i="3" l="1"/>
  <c r="I868" i="3"/>
  <c r="J868" i="3"/>
  <c r="M868" i="3"/>
  <c r="N868" i="3" s="1"/>
  <c r="V868" i="3"/>
  <c r="A869" i="3"/>
  <c r="B869" i="3" s="1"/>
  <c r="W868" i="3" l="1"/>
  <c r="L868" i="3"/>
  <c r="P869" i="3"/>
  <c r="Q869" i="3" s="1"/>
  <c r="R869" i="3" s="1"/>
  <c r="S869" i="3" s="1"/>
  <c r="Z869" i="3"/>
  <c r="AC869" i="3"/>
  <c r="AA869" i="3"/>
  <c r="AD869" i="3"/>
  <c r="T869" i="3" l="1"/>
  <c r="U868" i="3"/>
  <c r="Y867" i="3"/>
  <c r="E869" i="3" l="1"/>
  <c r="H869" i="3" s="1"/>
  <c r="K869" i="3" s="1"/>
  <c r="AE869" i="3" s="1"/>
  <c r="AG869" i="3"/>
  <c r="D869" i="3"/>
  <c r="AH869" i="3"/>
  <c r="V869" i="3" l="1"/>
  <c r="A870" i="3"/>
  <c r="B870" i="3" s="1"/>
  <c r="F869" i="3"/>
  <c r="G869" i="3"/>
  <c r="I869" i="3" l="1"/>
  <c r="W869" i="3" s="1"/>
  <c r="J869" i="3"/>
  <c r="M869" i="3"/>
  <c r="N869" i="3" s="1"/>
  <c r="AD870" i="3"/>
  <c r="Z870" i="3"/>
  <c r="AA870" i="3"/>
  <c r="P870" i="3"/>
  <c r="Q870" i="3" s="1"/>
  <c r="R870" i="3" s="1"/>
  <c r="S870" i="3" s="1"/>
  <c r="AC870" i="3"/>
  <c r="L869" i="3" l="1"/>
  <c r="T870" i="3"/>
  <c r="U869" i="3" l="1"/>
  <c r="E870" i="3" s="1"/>
  <c r="H870" i="3" s="1"/>
  <c r="AH870" i="3"/>
  <c r="AG870" i="3"/>
  <c r="Y868" i="3"/>
  <c r="D870" i="3" l="1"/>
  <c r="G870" i="3" s="1"/>
  <c r="K870" i="3"/>
  <c r="AE870" i="3" s="1"/>
  <c r="F870" i="3" l="1"/>
  <c r="V870" i="3"/>
  <c r="A871" i="3"/>
  <c r="B871" i="3" s="1"/>
  <c r="I870" i="3"/>
  <c r="J870" i="3"/>
  <c r="M870" i="3"/>
  <c r="N870" i="3" s="1"/>
  <c r="W870" i="3" l="1"/>
  <c r="L870" i="3"/>
  <c r="Z871" i="3"/>
  <c r="P871" i="3"/>
  <c r="Q871" i="3" s="1"/>
  <c r="R871" i="3" s="1"/>
  <c r="S871" i="3" s="1"/>
  <c r="AD871" i="3"/>
  <c r="AA871" i="3"/>
  <c r="AC871" i="3"/>
  <c r="T871" i="3" l="1"/>
  <c r="AH871" i="3" s="1"/>
  <c r="U870" i="3"/>
  <c r="Y869" i="3"/>
  <c r="E871" i="3" l="1"/>
  <c r="H871" i="3" s="1"/>
  <c r="K871" i="3" s="1"/>
  <c r="AE871" i="3" s="1"/>
  <c r="AG871" i="3"/>
  <c r="D871" i="3"/>
  <c r="F871" i="3" l="1"/>
  <c r="G871" i="3"/>
  <c r="V871" i="3"/>
  <c r="A872" i="3"/>
  <c r="B872" i="3" s="1"/>
  <c r="AC872" i="3" l="1"/>
  <c r="AA872" i="3"/>
  <c r="P872" i="3"/>
  <c r="Q872" i="3" s="1"/>
  <c r="R872" i="3" s="1"/>
  <c r="S872" i="3" s="1"/>
  <c r="Z872" i="3"/>
  <c r="AD872" i="3"/>
  <c r="I871" i="3"/>
  <c r="W871" i="3" s="1"/>
  <c r="J871" i="3"/>
  <c r="M871" i="3"/>
  <c r="N871" i="3" s="1"/>
  <c r="L871" i="3" l="1"/>
  <c r="T872" i="3"/>
  <c r="AG872" i="3" l="1"/>
  <c r="AH872" i="3"/>
  <c r="U871" i="3"/>
  <c r="E872" i="3" s="1"/>
  <c r="H872" i="3" s="1"/>
  <c r="Y870" i="3"/>
  <c r="D872" i="3" l="1"/>
  <c r="G872" i="3" s="1"/>
  <c r="K872" i="3"/>
  <c r="AE872" i="3" s="1"/>
  <c r="F872" i="3" l="1"/>
  <c r="I872" i="3"/>
  <c r="J872" i="3"/>
  <c r="M872" i="3"/>
  <c r="N872" i="3" s="1"/>
  <c r="V872" i="3"/>
  <c r="A873" i="3"/>
  <c r="B873" i="3" s="1"/>
  <c r="W872" i="3" l="1"/>
  <c r="L872" i="3"/>
  <c r="AA873" i="3"/>
  <c r="AC873" i="3"/>
  <c r="AD873" i="3"/>
  <c r="P873" i="3"/>
  <c r="Q873" i="3" s="1"/>
  <c r="R873" i="3" s="1"/>
  <c r="S873" i="3" s="1"/>
  <c r="Z873" i="3"/>
  <c r="T873" i="3" l="1"/>
  <c r="AH873" i="3" s="1"/>
  <c r="U872" i="3"/>
  <c r="Y871" i="3"/>
  <c r="AG873" i="3" l="1"/>
  <c r="E873" i="3"/>
  <c r="H873" i="3" s="1"/>
  <c r="D873" i="3"/>
  <c r="K873" i="3" l="1"/>
  <c r="AE873" i="3" s="1"/>
  <c r="F873" i="3"/>
  <c r="G873" i="3"/>
  <c r="I873" i="3" l="1"/>
  <c r="J873" i="3"/>
  <c r="M873" i="3"/>
  <c r="N873" i="3" s="1"/>
  <c r="V873" i="3"/>
  <c r="A874" i="3"/>
  <c r="B874" i="3" s="1"/>
  <c r="W873" i="3" l="1"/>
  <c r="L873" i="3"/>
  <c r="AA874" i="3"/>
  <c r="P874" i="3"/>
  <c r="Q874" i="3" s="1"/>
  <c r="R874" i="3" s="1"/>
  <c r="S874" i="3" s="1"/>
  <c r="Z874" i="3"/>
  <c r="AC874" i="3"/>
  <c r="T874" i="3" l="1"/>
  <c r="AH874" i="3" s="1"/>
  <c r="U873" i="3"/>
  <c r="Y872" i="3"/>
  <c r="E874" i="3" l="1"/>
  <c r="H874" i="3" s="1"/>
  <c r="D874" i="3"/>
  <c r="AG874" i="3"/>
  <c r="K874" i="3" l="1"/>
  <c r="AE874" i="3" s="1"/>
  <c r="F874" i="3"/>
  <c r="G874" i="3"/>
  <c r="I874" i="3" l="1"/>
  <c r="J874" i="3"/>
  <c r="AD874" i="3" s="1"/>
  <c r="M874" i="3"/>
  <c r="N874" i="3" s="1"/>
  <c r="V874" i="3"/>
  <c r="A875" i="3"/>
  <c r="B875" i="3" s="1"/>
  <c r="W874" i="3" l="1"/>
  <c r="L874" i="3"/>
  <c r="AA875" i="3"/>
  <c r="Z875" i="3"/>
  <c r="P875" i="3"/>
  <c r="Q875" i="3" s="1"/>
  <c r="R875" i="3" s="1"/>
  <c r="S875" i="3" s="1"/>
  <c r="AC875" i="3"/>
  <c r="T875" i="3" l="1"/>
  <c r="U874" i="3"/>
  <c r="Y873" i="3"/>
  <c r="D875" i="3" l="1"/>
  <c r="G875" i="3" s="1"/>
  <c r="E875" i="3"/>
  <c r="H875" i="3" s="1"/>
  <c r="K875" i="3" s="1"/>
  <c r="AE875" i="3" s="1"/>
  <c r="AH875" i="3"/>
  <c r="AG875" i="3"/>
  <c r="F875" i="3" l="1"/>
  <c r="V875" i="3"/>
  <c r="A876" i="3"/>
  <c r="B876" i="3" s="1"/>
  <c r="I875" i="3"/>
  <c r="J875" i="3"/>
  <c r="AD875" i="3" s="1"/>
  <c r="M875" i="3"/>
  <c r="N875" i="3" s="1"/>
  <c r="W875" i="3" l="1"/>
  <c r="L875" i="3"/>
  <c r="AC876" i="3"/>
  <c r="P876" i="3"/>
  <c r="Q876" i="3" s="1"/>
  <c r="R876" i="3" s="1"/>
  <c r="S876" i="3" s="1"/>
  <c r="Z876" i="3"/>
  <c r="AA876" i="3"/>
  <c r="U875" i="3" l="1"/>
  <c r="Y874" i="3"/>
  <c r="T876" i="3"/>
  <c r="AG876" i="3" s="1"/>
  <c r="D876" i="3" l="1"/>
  <c r="E876" i="3"/>
  <c r="H876" i="3" s="1"/>
  <c r="AH876" i="3"/>
  <c r="K876" i="3" l="1"/>
  <c r="AE876" i="3" s="1"/>
  <c r="F876" i="3"/>
  <c r="G876" i="3"/>
  <c r="I876" i="3" l="1"/>
  <c r="J876" i="3"/>
  <c r="AD876" i="3" s="1"/>
  <c r="M876" i="3"/>
  <c r="N876" i="3" s="1"/>
  <c r="V876" i="3"/>
  <c r="A877" i="3"/>
  <c r="B877" i="3" s="1"/>
  <c r="W876" i="3" l="1"/>
  <c r="L876" i="3"/>
  <c r="P877" i="3"/>
  <c r="Q877" i="3" s="1"/>
  <c r="R877" i="3" s="1"/>
  <c r="S877" i="3" s="1"/>
  <c r="AA877" i="3"/>
  <c r="Z877" i="3"/>
  <c r="AC877" i="3"/>
  <c r="U876" i="3" l="1"/>
  <c r="Y875" i="3"/>
  <c r="T877" i="3"/>
  <c r="D877" i="3" l="1"/>
  <c r="G877" i="3" s="1"/>
  <c r="AH877" i="3"/>
  <c r="AG877" i="3"/>
  <c r="E877" i="3"/>
  <c r="H877" i="3" s="1"/>
  <c r="I877" i="3" l="1"/>
  <c r="J877" i="3"/>
  <c r="AD877" i="3" s="1"/>
  <c r="M877" i="3"/>
  <c r="N877" i="3" s="1"/>
  <c r="K877" i="3"/>
  <c r="AE877" i="3" s="1"/>
  <c r="F877" i="3"/>
  <c r="V877" i="3" l="1"/>
  <c r="W877" i="3" s="1"/>
  <c r="A878" i="3"/>
  <c r="B878" i="3" s="1"/>
  <c r="L877" i="3"/>
  <c r="U877" i="3" l="1"/>
  <c r="Y876" i="3"/>
  <c r="Z878" i="3"/>
  <c r="AC878" i="3"/>
  <c r="AA878" i="3"/>
  <c r="P878" i="3"/>
  <c r="Q878" i="3" s="1"/>
  <c r="R878" i="3" s="1"/>
  <c r="S878" i="3" s="1"/>
  <c r="T878" i="3" l="1"/>
  <c r="E878" i="3" s="1"/>
  <c r="H878" i="3" s="1"/>
  <c r="D878" i="3" l="1"/>
  <c r="G878" i="3" s="1"/>
  <c r="AG878" i="3"/>
  <c r="AH878" i="3"/>
  <c r="K878" i="3"/>
  <c r="AE878" i="3" s="1"/>
  <c r="F878" i="3" l="1"/>
  <c r="I878" i="3"/>
  <c r="J878" i="3"/>
  <c r="AD878" i="3" s="1"/>
  <c r="M878" i="3"/>
  <c r="N878" i="3" s="1"/>
  <c r="V878" i="3"/>
  <c r="A879" i="3"/>
  <c r="B879" i="3" s="1"/>
  <c r="W878" i="3" l="1"/>
  <c r="L878" i="3"/>
  <c r="AC879" i="3"/>
  <c r="P879" i="3"/>
  <c r="Q879" i="3" s="1"/>
  <c r="R879" i="3" s="1"/>
  <c r="S879" i="3" s="1"/>
  <c r="AA879" i="3"/>
  <c r="Z879" i="3"/>
  <c r="T879" i="3" l="1"/>
  <c r="AG879" i="3" s="1"/>
  <c r="U878" i="3"/>
  <c r="Y877" i="3"/>
  <c r="E879" i="3" l="1"/>
  <c r="H879" i="3" s="1"/>
  <c r="D879" i="3"/>
  <c r="AH879" i="3"/>
  <c r="F879" i="3" l="1"/>
  <c r="G879" i="3"/>
  <c r="K879" i="3"/>
  <c r="AE879" i="3" s="1"/>
  <c r="I879" i="3" l="1"/>
  <c r="J879" i="3"/>
  <c r="AD879" i="3" s="1"/>
  <c r="M879" i="3"/>
  <c r="N879" i="3" s="1"/>
  <c r="V879" i="3"/>
  <c r="A880" i="3"/>
  <c r="B880" i="3" s="1"/>
  <c r="W879" i="3" l="1"/>
  <c r="L879" i="3"/>
  <c r="AA880" i="3"/>
  <c r="AC880" i="3"/>
  <c r="Z880" i="3"/>
  <c r="P880" i="3"/>
  <c r="Q880" i="3" s="1"/>
  <c r="R880" i="3" s="1"/>
  <c r="S880" i="3" s="1"/>
  <c r="T880" i="3" l="1"/>
  <c r="AG880" i="3" s="1"/>
  <c r="U879" i="3"/>
  <c r="Y878" i="3"/>
  <c r="D880" i="3" l="1"/>
  <c r="AH880" i="3"/>
  <c r="E880" i="3"/>
  <c r="H880" i="3" s="1"/>
  <c r="F880" i="3" l="1"/>
  <c r="G880" i="3"/>
  <c r="K880" i="3"/>
  <c r="AE880" i="3" s="1"/>
  <c r="V880" i="3" l="1"/>
  <c r="A881" i="3"/>
  <c r="B881" i="3" s="1"/>
  <c r="I880" i="3"/>
  <c r="J880" i="3"/>
  <c r="AD880" i="3" s="1"/>
  <c r="M880" i="3"/>
  <c r="N880" i="3" s="1"/>
  <c r="W880" i="3" l="1"/>
  <c r="L880" i="3"/>
  <c r="AA881" i="3"/>
  <c r="P881" i="3"/>
  <c r="Q881" i="3" s="1"/>
  <c r="R881" i="3" s="1"/>
  <c r="S881" i="3" s="1"/>
  <c r="Z881" i="3"/>
  <c r="AC881" i="3"/>
  <c r="U880" i="3" l="1"/>
  <c r="Y879" i="3"/>
  <c r="T881" i="3"/>
  <c r="E881" i="3" l="1"/>
  <c r="H881" i="3" s="1"/>
  <c r="K881" i="3" s="1"/>
  <c r="AE881" i="3" s="1"/>
  <c r="D881" i="3"/>
  <c r="AG881" i="3"/>
  <c r="AH881" i="3"/>
  <c r="F881" i="3" l="1"/>
  <c r="G881" i="3"/>
  <c r="I881" i="3" s="1"/>
  <c r="V881" i="3"/>
  <c r="A882" i="3"/>
  <c r="B882" i="3" s="1"/>
  <c r="W881" i="3" l="1"/>
  <c r="M881" i="3"/>
  <c r="N881" i="3" s="1"/>
  <c r="J881" i="3"/>
  <c r="Z882" i="3"/>
  <c r="P882" i="3"/>
  <c r="Q882" i="3" s="1"/>
  <c r="R882" i="3" s="1"/>
  <c r="S882" i="3" s="1"/>
  <c r="AC882" i="3"/>
  <c r="AA882" i="3"/>
  <c r="L881" i="3" l="1"/>
  <c r="U881" i="3" s="1"/>
  <c r="AD881" i="3"/>
  <c r="T882" i="3"/>
  <c r="Y880" i="3" l="1"/>
  <c r="AG882" i="3"/>
  <c r="AH882" i="3"/>
  <c r="D882" i="3"/>
  <c r="E882" i="3"/>
  <c r="H882" i="3" s="1"/>
  <c r="F882" i="3" l="1"/>
  <c r="G882" i="3"/>
  <c r="K882" i="3"/>
  <c r="AE882" i="3" s="1"/>
  <c r="I882" i="3" l="1"/>
  <c r="J882" i="3"/>
  <c r="AD882" i="3" s="1"/>
  <c r="M882" i="3"/>
  <c r="N882" i="3" s="1"/>
  <c r="V882" i="3"/>
  <c r="A883" i="3"/>
  <c r="B883" i="3" s="1"/>
  <c r="W882" i="3" l="1"/>
  <c r="L882" i="3"/>
  <c r="AC883" i="3"/>
  <c r="AA883" i="3"/>
  <c r="Z883" i="3"/>
  <c r="P883" i="3"/>
  <c r="Q883" i="3" s="1"/>
  <c r="R883" i="3" s="1"/>
  <c r="S883" i="3" s="1"/>
  <c r="T883" i="3" l="1"/>
  <c r="AG883" i="3" s="1"/>
  <c r="U882" i="3"/>
  <c r="Y881" i="3"/>
  <c r="E883" i="3" l="1"/>
  <c r="H883" i="3" s="1"/>
  <c r="K883" i="3" s="1"/>
  <c r="AE883" i="3" s="1"/>
  <c r="D883" i="3"/>
  <c r="AH883" i="3"/>
  <c r="V883" i="3" l="1"/>
  <c r="A884" i="3"/>
  <c r="B884" i="3" s="1"/>
  <c r="F883" i="3"/>
  <c r="G883" i="3"/>
  <c r="I883" i="3" l="1"/>
  <c r="W883" i="3" s="1"/>
  <c r="J883" i="3"/>
  <c r="AD883" i="3" s="1"/>
  <c r="M883" i="3"/>
  <c r="N883" i="3" s="1"/>
  <c r="AA884" i="3"/>
  <c r="Z884" i="3"/>
  <c r="P884" i="3"/>
  <c r="Q884" i="3" s="1"/>
  <c r="R884" i="3" s="1"/>
  <c r="S884" i="3" s="1"/>
  <c r="AC884" i="3"/>
  <c r="T884" i="3" l="1"/>
  <c r="L883" i="3"/>
  <c r="AG884" i="3" l="1"/>
  <c r="U883" i="3"/>
  <c r="D884" i="3" s="1"/>
  <c r="AH884" i="3"/>
  <c r="Y882" i="3"/>
  <c r="E884" i="3" l="1"/>
  <c r="H884" i="3" s="1"/>
  <c r="K884" i="3" s="1"/>
  <c r="AE884" i="3" s="1"/>
  <c r="G884" i="3"/>
  <c r="F884" i="3" l="1"/>
  <c r="V884" i="3"/>
  <c r="A885" i="3"/>
  <c r="B885" i="3" s="1"/>
  <c r="I884" i="3"/>
  <c r="J884" i="3"/>
  <c r="AD884" i="3" s="1"/>
  <c r="M884" i="3"/>
  <c r="N884" i="3" s="1"/>
  <c r="W884" i="3" l="1"/>
  <c r="L884" i="3"/>
  <c r="P885" i="3"/>
  <c r="Q885" i="3" s="1"/>
  <c r="R885" i="3" s="1"/>
  <c r="S885" i="3" s="1"/>
  <c r="AD885" i="3"/>
  <c r="Z885" i="3"/>
  <c r="AC885" i="3"/>
  <c r="AA885" i="3"/>
  <c r="U884" i="3" l="1"/>
  <c r="Y883" i="3"/>
  <c r="T885" i="3"/>
  <c r="AH885" i="3" s="1"/>
  <c r="D885" i="3" l="1"/>
  <c r="G885" i="3" s="1"/>
  <c r="E885" i="3"/>
  <c r="H885" i="3" s="1"/>
  <c r="K885" i="3" s="1"/>
  <c r="AE885" i="3" s="1"/>
  <c r="AG885" i="3"/>
  <c r="F885" i="3" l="1"/>
  <c r="V885" i="3"/>
  <c r="A886" i="3"/>
  <c r="B886" i="3" s="1"/>
  <c r="I885" i="3"/>
  <c r="J885" i="3"/>
  <c r="M885" i="3"/>
  <c r="N885" i="3" s="1"/>
  <c r="W885" i="3" l="1"/>
  <c r="L885" i="3"/>
  <c r="P886" i="3"/>
  <c r="Q886" i="3" s="1"/>
  <c r="R886" i="3" s="1"/>
  <c r="S886" i="3" s="1"/>
  <c r="AA886" i="3"/>
  <c r="AC886" i="3"/>
  <c r="AD886" i="3"/>
  <c r="Z886" i="3"/>
  <c r="U885" i="3" l="1"/>
  <c r="Y884" i="3"/>
  <c r="T886" i="3"/>
  <c r="E886" i="3" l="1"/>
  <c r="H886" i="3" s="1"/>
  <c r="K886" i="3" s="1"/>
  <c r="AE886" i="3" s="1"/>
  <c r="AH886" i="3"/>
  <c r="AG886" i="3"/>
  <c r="D886" i="3"/>
  <c r="F886" i="3" l="1"/>
  <c r="G886" i="3"/>
  <c r="V886" i="3"/>
  <c r="A887" i="3"/>
  <c r="B887" i="3" s="1"/>
  <c r="I886" i="3" l="1"/>
  <c r="W886" i="3" s="1"/>
  <c r="J886" i="3"/>
  <c r="M886" i="3"/>
  <c r="N886" i="3" s="1"/>
  <c r="P887" i="3"/>
  <c r="Q887" i="3" s="1"/>
  <c r="R887" i="3" s="1"/>
  <c r="S887" i="3" s="1"/>
  <c r="Z887" i="3"/>
  <c r="AD887" i="3"/>
  <c r="AA887" i="3"/>
  <c r="AC887" i="3"/>
  <c r="T887" i="3" l="1"/>
  <c r="L886" i="3"/>
  <c r="AG887" i="3" l="1"/>
  <c r="AH887" i="3"/>
  <c r="U886" i="3"/>
  <c r="D887" i="3" s="1"/>
  <c r="Y885" i="3"/>
  <c r="E887" i="3" l="1"/>
  <c r="H887" i="3" s="1"/>
  <c r="K887" i="3" s="1"/>
  <c r="AE887" i="3" s="1"/>
  <c r="G887" i="3"/>
  <c r="F887" i="3" l="1"/>
  <c r="I887" i="3"/>
  <c r="J887" i="3"/>
  <c r="M887" i="3"/>
  <c r="N887" i="3" s="1"/>
  <c r="V887" i="3"/>
  <c r="A888" i="3"/>
  <c r="B888" i="3" s="1"/>
  <c r="W887" i="3" l="1"/>
  <c r="L887" i="3"/>
  <c r="AC888" i="3"/>
  <c r="AD888" i="3"/>
  <c r="AA888" i="3"/>
  <c r="Z888" i="3"/>
  <c r="P888" i="3"/>
  <c r="Q888" i="3" s="1"/>
  <c r="R888" i="3" s="1"/>
  <c r="S888" i="3" s="1"/>
  <c r="T888" i="3" l="1"/>
  <c r="U887" i="3"/>
  <c r="Y886" i="3"/>
  <c r="E888" i="3" l="1"/>
  <c r="H888" i="3" s="1"/>
  <c r="K888" i="3" s="1"/>
  <c r="AE888" i="3" s="1"/>
  <c r="D888" i="3"/>
  <c r="G888" i="3" s="1"/>
  <c r="AG888" i="3"/>
  <c r="AH888" i="3"/>
  <c r="F888" i="3" l="1"/>
  <c r="I888" i="3"/>
  <c r="J888" i="3"/>
  <c r="M888" i="3"/>
  <c r="N888" i="3" s="1"/>
  <c r="V888" i="3"/>
  <c r="A889" i="3"/>
  <c r="B889" i="3" s="1"/>
  <c r="W888" i="3" l="1"/>
  <c r="L888" i="3"/>
  <c r="AA889" i="3"/>
  <c r="Z889" i="3"/>
  <c r="AD889" i="3"/>
  <c r="P889" i="3"/>
  <c r="Q889" i="3" s="1"/>
  <c r="R889" i="3" s="1"/>
  <c r="S889" i="3" s="1"/>
  <c r="AC889" i="3"/>
  <c r="T889" i="3" l="1"/>
  <c r="AG889" i="3" s="1"/>
  <c r="U888" i="3"/>
  <c r="Y887" i="3"/>
  <c r="AH889" i="3" l="1"/>
  <c r="D889" i="3"/>
  <c r="G889" i="3" s="1"/>
  <c r="E889" i="3"/>
  <c r="H889" i="3" s="1"/>
  <c r="I889" i="3" l="1"/>
  <c r="J889" i="3"/>
  <c r="M889" i="3"/>
  <c r="N889" i="3" s="1"/>
  <c r="K889" i="3"/>
  <c r="AE889" i="3" s="1"/>
  <c r="F889" i="3"/>
  <c r="L889" i="3" l="1"/>
  <c r="V889" i="3"/>
  <c r="W889" i="3" s="1"/>
  <c r="A890" i="3"/>
  <c r="B890" i="3" s="1"/>
  <c r="AA890" i="3" l="1"/>
  <c r="P890" i="3"/>
  <c r="Q890" i="3" s="1"/>
  <c r="R890" i="3" s="1"/>
  <c r="S890" i="3" s="1"/>
  <c r="Z890" i="3"/>
  <c r="AC890" i="3"/>
  <c r="AD890" i="3"/>
  <c r="U889" i="3"/>
  <c r="Y888" i="3"/>
  <c r="T890" i="3" l="1"/>
  <c r="AG890" i="3" s="1"/>
  <c r="E890" i="3" l="1"/>
  <c r="H890" i="3" s="1"/>
  <c r="K890" i="3" s="1"/>
  <c r="AE890" i="3" s="1"/>
  <c r="AH890" i="3"/>
  <c r="D890" i="3"/>
  <c r="F890" i="3" l="1"/>
  <c r="G890" i="3"/>
  <c r="V890" i="3"/>
  <c r="A891" i="3"/>
  <c r="B891" i="3" s="1"/>
  <c r="AD891" i="3" l="1"/>
  <c r="P891" i="3"/>
  <c r="Q891" i="3" s="1"/>
  <c r="R891" i="3" s="1"/>
  <c r="S891" i="3" s="1"/>
  <c r="AC891" i="3"/>
  <c r="Z891" i="3"/>
  <c r="AA891" i="3"/>
  <c r="I890" i="3"/>
  <c r="W890" i="3" s="1"/>
  <c r="J890" i="3"/>
  <c r="M890" i="3"/>
  <c r="N890" i="3" s="1"/>
  <c r="L890" i="3" l="1"/>
  <c r="T891" i="3"/>
  <c r="U890" i="3" l="1"/>
  <c r="D891" i="3" s="1"/>
  <c r="AH891" i="3"/>
  <c r="AG891" i="3"/>
  <c r="Y889" i="3"/>
  <c r="E891" i="3" l="1"/>
  <c r="H891" i="3" s="1"/>
  <c r="K891" i="3" s="1"/>
  <c r="AE891" i="3" s="1"/>
  <c r="G891" i="3"/>
  <c r="F891" i="3" l="1"/>
  <c r="I891" i="3"/>
  <c r="J891" i="3"/>
  <c r="M891" i="3"/>
  <c r="N891" i="3" s="1"/>
  <c r="V891" i="3"/>
  <c r="A892" i="3"/>
  <c r="B892" i="3" s="1"/>
  <c r="W891" i="3" l="1"/>
  <c r="L891" i="3"/>
  <c r="P892" i="3"/>
  <c r="Q892" i="3" s="1"/>
  <c r="R892" i="3" s="1"/>
  <c r="S892" i="3" s="1"/>
  <c r="AC892" i="3"/>
  <c r="AD892" i="3"/>
  <c r="Z892" i="3"/>
  <c r="AA892" i="3"/>
  <c r="U891" i="3" l="1"/>
  <c r="Y890" i="3"/>
  <c r="T892" i="3"/>
  <c r="AG892" i="3" s="1"/>
  <c r="AH892" i="3" l="1"/>
  <c r="D892" i="3"/>
  <c r="G892" i="3" s="1"/>
  <c r="E892" i="3"/>
  <c r="H892" i="3" s="1"/>
  <c r="F892" i="3" l="1"/>
  <c r="I892" i="3"/>
  <c r="J892" i="3"/>
  <c r="M892" i="3"/>
  <c r="N892" i="3" s="1"/>
  <c r="K892" i="3"/>
  <c r="AE892" i="3" s="1"/>
  <c r="V892" i="3" l="1"/>
  <c r="W892" i="3" s="1"/>
  <c r="A893" i="3"/>
  <c r="B893" i="3" s="1"/>
  <c r="L892" i="3"/>
  <c r="U892" i="3" l="1"/>
  <c r="Y891" i="3"/>
  <c r="AC893" i="3"/>
  <c r="P893" i="3"/>
  <c r="Q893" i="3" s="1"/>
  <c r="R893" i="3" s="1"/>
  <c r="S893" i="3" s="1"/>
  <c r="AD893" i="3"/>
  <c r="AA893" i="3"/>
  <c r="Z893" i="3"/>
  <c r="T893" i="3" l="1"/>
  <c r="E893" i="3" s="1"/>
  <c r="H893" i="3" s="1"/>
  <c r="AH893" i="3" l="1"/>
  <c r="D893" i="3"/>
  <c r="F893" i="3" s="1"/>
  <c r="AG893" i="3"/>
  <c r="K893" i="3"/>
  <c r="AE893" i="3" s="1"/>
  <c r="G893" i="3" l="1"/>
  <c r="M893" i="3" s="1"/>
  <c r="N893" i="3" s="1"/>
  <c r="V893" i="3"/>
  <c r="A894" i="3"/>
  <c r="B894" i="3" s="1"/>
  <c r="I893" i="3" l="1"/>
  <c r="W893" i="3" s="1"/>
  <c r="J893" i="3"/>
  <c r="L893" i="3" s="1"/>
  <c r="Z894" i="3"/>
  <c r="P894" i="3"/>
  <c r="Q894" i="3" s="1"/>
  <c r="R894" i="3" s="1"/>
  <c r="S894" i="3" s="1"/>
  <c r="AC894" i="3"/>
  <c r="AA894" i="3"/>
  <c r="U893" i="3" l="1"/>
  <c r="Y892" i="3"/>
  <c r="T894" i="3"/>
  <c r="AH894" i="3" s="1"/>
  <c r="D894" i="3" l="1"/>
  <c r="G894" i="3" s="1"/>
  <c r="AG894" i="3"/>
  <c r="E894" i="3"/>
  <c r="H894" i="3" s="1"/>
  <c r="F894" i="3" l="1"/>
  <c r="I894" i="3"/>
  <c r="J894" i="3"/>
  <c r="AD894" i="3" s="1"/>
  <c r="M894" i="3"/>
  <c r="N894" i="3" s="1"/>
  <c r="K894" i="3"/>
  <c r="AE894" i="3" s="1"/>
  <c r="V894" i="3" l="1"/>
  <c r="W894" i="3" s="1"/>
  <c r="A895" i="3"/>
  <c r="B895" i="3" s="1"/>
  <c r="L894" i="3"/>
  <c r="U894" i="3" l="1"/>
  <c r="Y893" i="3"/>
  <c r="AD895" i="3"/>
  <c r="P895" i="3"/>
  <c r="Q895" i="3" s="1"/>
  <c r="R895" i="3" s="1"/>
  <c r="S895" i="3" s="1"/>
  <c r="AA895" i="3"/>
  <c r="AC895" i="3"/>
  <c r="Z895" i="3"/>
  <c r="T895" i="3" l="1"/>
  <c r="AH895" i="3" s="1"/>
  <c r="E895" i="3" l="1"/>
  <c r="H895" i="3" s="1"/>
  <c r="K895" i="3" s="1"/>
  <c r="AE895" i="3" s="1"/>
  <c r="D895" i="3"/>
  <c r="AG895" i="3"/>
  <c r="F895" i="3" l="1"/>
  <c r="G895" i="3"/>
  <c r="V895" i="3"/>
  <c r="A896" i="3"/>
  <c r="B896" i="3" s="1"/>
  <c r="I895" i="3" l="1"/>
  <c r="W895" i="3" s="1"/>
  <c r="J895" i="3"/>
  <c r="M895" i="3"/>
  <c r="N895" i="3" s="1"/>
  <c r="Z896" i="3"/>
  <c r="P896" i="3"/>
  <c r="Q896" i="3" s="1"/>
  <c r="R896" i="3" s="1"/>
  <c r="S896" i="3" s="1"/>
  <c r="AC896" i="3"/>
  <c r="AD896" i="3"/>
  <c r="AA896" i="3"/>
  <c r="T896" i="3" l="1"/>
  <c r="L895" i="3"/>
  <c r="AG896" i="3" l="1"/>
  <c r="AH896" i="3"/>
  <c r="U895" i="3"/>
  <c r="E896" i="3" s="1"/>
  <c r="H896" i="3" s="1"/>
  <c r="Y894" i="3"/>
  <c r="D896" i="3" l="1"/>
  <c r="G896" i="3" s="1"/>
  <c r="K896" i="3"/>
  <c r="AE896" i="3" s="1"/>
  <c r="F896" i="3" l="1"/>
  <c r="V896" i="3"/>
  <c r="A897" i="3"/>
  <c r="B897" i="3" s="1"/>
  <c r="I896" i="3"/>
  <c r="J896" i="3"/>
  <c r="M896" i="3"/>
  <c r="N896" i="3" s="1"/>
  <c r="W896" i="3" l="1"/>
  <c r="L896" i="3"/>
  <c r="Z897" i="3"/>
  <c r="AC897" i="3"/>
  <c r="AA897" i="3"/>
  <c r="P897" i="3"/>
  <c r="Q897" i="3" s="1"/>
  <c r="R897" i="3" s="1"/>
  <c r="S897" i="3" s="1"/>
  <c r="AD897" i="3"/>
  <c r="U896" i="3" l="1"/>
  <c r="Y895" i="3"/>
  <c r="T897" i="3"/>
  <c r="D897" i="3" l="1"/>
  <c r="E897" i="3"/>
  <c r="H897" i="3" s="1"/>
  <c r="AH897" i="3"/>
  <c r="AG897" i="3"/>
  <c r="F897" i="3" l="1"/>
  <c r="G897" i="3"/>
  <c r="M897" i="3" s="1"/>
  <c r="N897" i="3" s="1"/>
  <c r="K897" i="3"/>
  <c r="AE897" i="3" s="1"/>
  <c r="I897" i="3" l="1"/>
  <c r="J897" i="3"/>
  <c r="L897" i="3" s="1"/>
  <c r="V897" i="3"/>
  <c r="A898" i="3"/>
  <c r="B898" i="3" s="1"/>
  <c r="W897" i="3" l="1"/>
  <c r="AA898" i="3"/>
  <c r="AD898" i="3"/>
  <c r="P898" i="3"/>
  <c r="Q898" i="3" s="1"/>
  <c r="R898" i="3" s="1"/>
  <c r="S898" i="3" s="1"/>
  <c r="Z898" i="3"/>
  <c r="AC898" i="3"/>
  <c r="U897" i="3"/>
  <c r="Y896" i="3"/>
  <c r="T898" i="3" l="1"/>
  <c r="D898" i="3" s="1"/>
  <c r="G898" i="3" l="1"/>
  <c r="AG898" i="3"/>
  <c r="E898" i="3"/>
  <c r="H898" i="3" s="1"/>
  <c r="AH898" i="3"/>
  <c r="F898" i="3" l="1"/>
  <c r="I898" i="3"/>
  <c r="J898" i="3"/>
  <c r="M898" i="3"/>
  <c r="N898" i="3" s="1"/>
  <c r="K898" i="3"/>
  <c r="AE898" i="3" s="1"/>
  <c r="V898" i="3" l="1"/>
  <c r="W898" i="3" s="1"/>
  <c r="A899" i="3"/>
  <c r="B899" i="3" s="1"/>
  <c r="L898" i="3"/>
  <c r="U898" i="3" l="1"/>
  <c r="Y897" i="3"/>
  <c r="AC899" i="3"/>
  <c r="Z899" i="3"/>
  <c r="P899" i="3"/>
  <c r="Q899" i="3" s="1"/>
  <c r="R899" i="3" s="1"/>
  <c r="S899" i="3" s="1"/>
  <c r="AD899" i="3"/>
  <c r="AA899" i="3"/>
  <c r="T899" i="3" l="1"/>
  <c r="E899" i="3" s="1"/>
  <c r="H899" i="3" s="1"/>
  <c r="D899" i="3" l="1"/>
  <c r="G899" i="3" s="1"/>
  <c r="AG899" i="3"/>
  <c r="AH899" i="3"/>
  <c r="K899" i="3"/>
  <c r="AE899" i="3" s="1"/>
  <c r="F899" i="3" l="1"/>
  <c r="I899" i="3"/>
  <c r="J899" i="3"/>
  <c r="M899" i="3"/>
  <c r="N899" i="3" s="1"/>
  <c r="V899" i="3"/>
  <c r="A900" i="3"/>
  <c r="B900" i="3" s="1"/>
  <c r="W899" i="3" l="1"/>
  <c r="L899" i="3"/>
  <c r="P900" i="3"/>
  <c r="Q900" i="3" s="1"/>
  <c r="R900" i="3" s="1"/>
  <c r="S900" i="3" s="1"/>
  <c r="AC900" i="3"/>
  <c r="Z900" i="3"/>
  <c r="AD900" i="3"/>
  <c r="AA900" i="3"/>
  <c r="U899" i="3" l="1"/>
  <c r="Y898" i="3"/>
  <c r="T900" i="3"/>
  <c r="D900" i="3" l="1"/>
  <c r="G900" i="3" s="1"/>
  <c r="AH900" i="3"/>
  <c r="AG900" i="3"/>
  <c r="E900" i="3"/>
  <c r="H900" i="3" s="1"/>
  <c r="K900" i="3" s="1"/>
  <c r="AE900" i="3" s="1"/>
  <c r="F900" i="3" l="1"/>
  <c r="V900" i="3"/>
  <c r="A901" i="3"/>
  <c r="B901" i="3" s="1"/>
  <c r="I900" i="3"/>
  <c r="J900" i="3"/>
  <c r="M900" i="3"/>
  <c r="N900" i="3" s="1"/>
  <c r="L900" i="3" l="1"/>
  <c r="W900" i="3"/>
  <c r="AD901" i="3"/>
  <c r="P901" i="3"/>
  <c r="Q901" i="3" s="1"/>
  <c r="R901" i="3" s="1"/>
  <c r="S901" i="3" s="1"/>
  <c r="AA901" i="3"/>
  <c r="AC901" i="3"/>
  <c r="Z901" i="3"/>
  <c r="U900" i="3" l="1"/>
  <c r="Y899" i="3"/>
  <c r="T901" i="3"/>
  <c r="E901" i="3" l="1"/>
  <c r="H901" i="3" s="1"/>
  <c r="K901" i="3" s="1"/>
  <c r="AE901" i="3" s="1"/>
  <c r="AG901" i="3"/>
  <c r="D901" i="3"/>
  <c r="AH901" i="3"/>
  <c r="F901" i="3" l="1"/>
  <c r="G901" i="3"/>
  <c r="V901" i="3"/>
  <c r="A902" i="3"/>
  <c r="B902" i="3" s="1"/>
  <c r="AD902" i="3" l="1"/>
  <c r="AC902" i="3"/>
  <c r="P902" i="3"/>
  <c r="Q902" i="3" s="1"/>
  <c r="R902" i="3" s="1"/>
  <c r="S902" i="3" s="1"/>
  <c r="Z902" i="3"/>
  <c r="AA902" i="3"/>
  <c r="I901" i="3"/>
  <c r="W901" i="3" s="1"/>
  <c r="J901" i="3"/>
  <c r="M901" i="3"/>
  <c r="N901" i="3" s="1"/>
  <c r="T902" i="3" l="1"/>
  <c r="L901" i="3"/>
  <c r="U901" i="3" l="1"/>
  <c r="E902" i="3" s="1"/>
  <c r="H902" i="3" s="1"/>
  <c r="AH902" i="3"/>
  <c r="AG902" i="3"/>
  <c r="Y900" i="3"/>
  <c r="D902" i="3" l="1"/>
  <c r="F902" i="3" s="1"/>
  <c r="K902" i="3"/>
  <c r="AE902" i="3" s="1"/>
  <c r="G902" i="3" l="1"/>
  <c r="J902" i="3" s="1"/>
  <c r="V902" i="3"/>
  <c r="A903" i="3"/>
  <c r="B903" i="3" s="1"/>
  <c r="M902" i="3" l="1"/>
  <c r="N902" i="3" s="1"/>
  <c r="I902" i="3"/>
  <c r="W902" i="3" s="1"/>
  <c r="L902" i="3"/>
  <c r="Z903" i="3"/>
  <c r="AC903" i="3"/>
  <c r="P903" i="3"/>
  <c r="Q903" i="3" s="1"/>
  <c r="R903" i="3" s="1"/>
  <c r="S903" i="3" s="1"/>
  <c r="AD903" i="3"/>
  <c r="AA903" i="3"/>
  <c r="T903" i="3" l="1"/>
  <c r="AH903" i="3" s="1"/>
  <c r="U902" i="3"/>
  <c r="Y901" i="3"/>
  <c r="D903" i="3" l="1"/>
  <c r="E903" i="3"/>
  <c r="H903" i="3" s="1"/>
  <c r="AG903" i="3"/>
  <c r="K903" i="3" l="1"/>
  <c r="AE903" i="3" s="1"/>
  <c r="F903" i="3"/>
  <c r="G903" i="3"/>
  <c r="I903" i="3" l="1"/>
  <c r="J903" i="3"/>
  <c r="M903" i="3"/>
  <c r="N903" i="3" s="1"/>
  <c r="V903" i="3"/>
  <c r="A904" i="3"/>
  <c r="B904" i="3" s="1"/>
  <c r="W903" i="3" l="1"/>
  <c r="L903" i="3"/>
  <c r="AC904" i="3"/>
  <c r="Z904" i="3"/>
  <c r="P904" i="3"/>
  <c r="Q904" i="3" s="1"/>
  <c r="R904" i="3" s="1"/>
  <c r="S904" i="3" s="1"/>
  <c r="AA904" i="3"/>
  <c r="U903" i="3" l="1"/>
  <c r="Y902" i="3"/>
  <c r="T904" i="3"/>
  <c r="AH904" i="3" s="1"/>
  <c r="E904" i="3" l="1"/>
  <c r="H904" i="3" s="1"/>
  <c r="AG904" i="3"/>
  <c r="D904" i="3"/>
  <c r="K904" i="3" l="1"/>
  <c r="AE904" i="3" s="1"/>
  <c r="F904" i="3"/>
  <c r="G904" i="3"/>
  <c r="V904" i="3" l="1"/>
  <c r="A905" i="3"/>
  <c r="B905" i="3" s="1"/>
  <c r="I904" i="3"/>
  <c r="J904" i="3"/>
  <c r="AD904" i="3" s="1"/>
  <c r="M904" i="3"/>
  <c r="N904" i="3" s="1"/>
  <c r="L904" i="3" l="1"/>
  <c r="W904" i="3"/>
  <c r="AA905" i="3"/>
  <c r="Z905" i="3"/>
  <c r="AD905" i="3"/>
  <c r="AC905" i="3"/>
  <c r="P905" i="3"/>
  <c r="Q905" i="3" s="1"/>
  <c r="R905" i="3" s="1"/>
  <c r="S905" i="3" s="1"/>
  <c r="U904" i="3" l="1"/>
  <c r="Y903" i="3"/>
  <c r="T905" i="3"/>
  <c r="D905" i="3" l="1"/>
  <c r="G905" i="3" s="1"/>
  <c r="E905" i="3"/>
  <c r="H905" i="3" s="1"/>
  <c r="K905" i="3" s="1"/>
  <c r="AE905" i="3" s="1"/>
  <c r="AG905" i="3"/>
  <c r="AH905" i="3"/>
  <c r="F905" i="3" l="1"/>
  <c r="I905" i="3"/>
  <c r="J905" i="3"/>
  <c r="M905" i="3"/>
  <c r="N905" i="3" s="1"/>
  <c r="V905" i="3"/>
  <c r="A906" i="3"/>
  <c r="B906" i="3" s="1"/>
  <c r="L905" i="3" l="1"/>
  <c r="W905" i="3"/>
  <c r="AC906" i="3"/>
  <c r="P906" i="3"/>
  <c r="Q906" i="3" s="1"/>
  <c r="R906" i="3" s="1"/>
  <c r="S906" i="3" s="1"/>
  <c r="Z906" i="3"/>
  <c r="AD906" i="3"/>
  <c r="AA906" i="3"/>
  <c r="T906" i="3" l="1"/>
  <c r="U905" i="3"/>
  <c r="Y904" i="3"/>
  <c r="D906" i="3" l="1"/>
  <c r="G906" i="3" s="1"/>
  <c r="AG906" i="3"/>
  <c r="E906" i="3"/>
  <c r="H906" i="3" s="1"/>
  <c r="AH906" i="3"/>
  <c r="F906" i="3" l="1"/>
  <c r="I906" i="3"/>
  <c r="J906" i="3"/>
  <c r="M906" i="3"/>
  <c r="N906" i="3" s="1"/>
  <c r="K906" i="3"/>
  <c r="AE906" i="3" s="1"/>
  <c r="V906" i="3" l="1"/>
  <c r="W906" i="3" s="1"/>
  <c r="A907" i="3"/>
  <c r="B907" i="3" s="1"/>
  <c r="L906" i="3"/>
  <c r="U906" i="3" l="1"/>
  <c r="Y905" i="3"/>
  <c r="Z907" i="3"/>
  <c r="AC907" i="3"/>
  <c r="AA907" i="3"/>
  <c r="P907" i="3"/>
  <c r="Q907" i="3" s="1"/>
  <c r="R907" i="3" s="1"/>
  <c r="S907" i="3" s="1"/>
  <c r="AD907" i="3"/>
  <c r="T907" i="3" l="1"/>
  <c r="AG907" i="3" s="1"/>
  <c r="E907" i="3" l="1"/>
  <c r="H907" i="3" s="1"/>
  <c r="K907" i="3" s="1"/>
  <c r="AE907" i="3" s="1"/>
  <c r="D907" i="3"/>
  <c r="AH907" i="3"/>
  <c r="V907" i="3" l="1"/>
  <c r="A908" i="3"/>
  <c r="B908" i="3" s="1"/>
  <c r="F907" i="3"/>
  <c r="G907" i="3"/>
  <c r="I907" i="3" l="1"/>
  <c r="W907" i="3" s="1"/>
  <c r="J907" i="3"/>
  <c r="M907" i="3"/>
  <c r="N907" i="3" s="1"/>
  <c r="P908" i="3"/>
  <c r="Q908" i="3" s="1"/>
  <c r="R908" i="3" s="1"/>
  <c r="S908" i="3" s="1"/>
  <c r="AA908" i="3"/>
  <c r="Z908" i="3"/>
  <c r="AD908" i="3"/>
  <c r="AC908" i="3"/>
  <c r="T908" i="3" l="1"/>
  <c r="L907" i="3"/>
  <c r="AG908" i="3" l="1"/>
  <c r="AH908" i="3"/>
  <c r="U907" i="3"/>
  <c r="E908" i="3" s="1"/>
  <c r="H908" i="3" s="1"/>
  <c r="Y906" i="3"/>
  <c r="D908" i="3" l="1"/>
  <c r="G908" i="3" s="1"/>
  <c r="K908" i="3"/>
  <c r="AE908" i="3" s="1"/>
  <c r="F908" i="3" l="1"/>
  <c r="I908" i="3"/>
  <c r="J908" i="3"/>
  <c r="M908" i="3"/>
  <c r="N908" i="3" s="1"/>
  <c r="V908" i="3"/>
  <c r="A909" i="3"/>
  <c r="B909" i="3" s="1"/>
  <c r="W908" i="3" l="1"/>
  <c r="L908" i="3"/>
  <c r="AA909" i="3"/>
  <c r="Z909" i="3"/>
  <c r="P909" i="3"/>
  <c r="Q909" i="3" s="1"/>
  <c r="R909" i="3" s="1"/>
  <c r="S909" i="3" s="1"/>
  <c r="AD909" i="3"/>
  <c r="AC909" i="3"/>
  <c r="U908" i="3" l="1"/>
  <c r="Y907" i="3"/>
  <c r="T909" i="3"/>
  <c r="AH909" i="3" s="1"/>
  <c r="AG909" i="3" l="1"/>
  <c r="D909" i="3"/>
  <c r="G909" i="3" s="1"/>
  <c r="E909" i="3"/>
  <c r="H909" i="3" s="1"/>
  <c r="K909" i="3" s="1"/>
  <c r="AE909" i="3" s="1"/>
  <c r="F909" i="3" l="1"/>
  <c r="V909" i="3"/>
  <c r="A910" i="3"/>
  <c r="B910" i="3" s="1"/>
  <c r="I909" i="3"/>
  <c r="J909" i="3"/>
  <c r="M909" i="3"/>
  <c r="N909" i="3" s="1"/>
  <c r="W909" i="3" l="1"/>
  <c r="L909" i="3"/>
  <c r="AA910" i="3"/>
  <c r="AC910" i="3"/>
  <c r="P910" i="3"/>
  <c r="Q910" i="3" s="1"/>
  <c r="R910" i="3" s="1"/>
  <c r="S910" i="3" s="1"/>
  <c r="AD910" i="3"/>
  <c r="Z910" i="3"/>
  <c r="U909" i="3" l="1"/>
  <c r="Y908" i="3"/>
  <c r="T910" i="3"/>
  <c r="AH910" i="3" s="1"/>
  <c r="D910" i="3" l="1"/>
  <c r="G910" i="3" s="1"/>
  <c r="AG910" i="3"/>
  <c r="E910" i="3"/>
  <c r="H910" i="3" s="1"/>
  <c r="F910" i="3" l="1"/>
  <c r="I910" i="3"/>
  <c r="J910" i="3"/>
  <c r="M910" i="3"/>
  <c r="N910" i="3" s="1"/>
  <c r="K910" i="3"/>
  <c r="AE910" i="3" s="1"/>
  <c r="V910" i="3" l="1"/>
  <c r="W910" i="3" s="1"/>
  <c r="A911" i="3"/>
  <c r="B911" i="3" s="1"/>
  <c r="L910" i="3"/>
  <c r="U910" i="3" l="1"/>
  <c r="Y909" i="3"/>
  <c r="AD911" i="3"/>
  <c r="AA911" i="3"/>
  <c r="P911" i="3"/>
  <c r="Q911" i="3" s="1"/>
  <c r="R911" i="3" s="1"/>
  <c r="S911" i="3" s="1"/>
  <c r="Z911" i="3"/>
  <c r="AC911" i="3"/>
  <c r="T911" i="3" l="1"/>
  <c r="E911" i="3" s="1"/>
  <c r="H911" i="3" s="1"/>
  <c r="AH911" i="3" l="1"/>
  <c r="D911" i="3"/>
  <c r="G911" i="3" s="1"/>
  <c r="AG911" i="3"/>
  <c r="K911" i="3"/>
  <c r="AE911" i="3" s="1"/>
  <c r="F911" i="3" l="1"/>
  <c r="I911" i="3"/>
  <c r="J911" i="3"/>
  <c r="M911" i="3"/>
  <c r="N911" i="3" s="1"/>
  <c r="V911" i="3"/>
  <c r="A912" i="3"/>
  <c r="B912" i="3" s="1"/>
  <c r="W911" i="3" l="1"/>
  <c r="L911" i="3"/>
  <c r="AA912" i="3"/>
  <c r="AD912" i="3"/>
  <c r="AC912" i="3"/>
  <c r="P912" i="3"/>
  <c r="Q912" i="3" s="1"/>
  <c r="R912" i="3" s="1"/>
  <c r="S912" i="3" s="1"/>
  <c r="Z912" i="3"/>
  <c r="T912" i="3" l="1"/>
  <c r="U911" i="3"/>
  <c r="Y910" i="3"/>
  <c r="D912" i="3" l="1"/>
  <c r="G912" i="3" s="1"/>
  <c r="AG912" i="3"/>
  <c r="AH912" i="3"/>
  <c r="E912" i="3"/>
  <c r="H912" i="3" s="1"/>
  <c r="I912" i="3" l="1"/>
  <c r="J912" i="3"/>
  <c r="M912" i="3"/>
  <c r="N912" i="3" s="1"/>
  <c r="F912" i="3"/>
  <c r="K912" i="3"/>
  <c r="AE912" i="3" s="1"/>
  <c r="L912" i="3" l="1"/>
  <c r="V912" i="3"/>
  <c r="W912" i="3" s="1"/>
  <c r="A913" i="3"/>
  <c r="B913" i="3" s="1"/>
  <c r="U912" i="3" l="1"/>
  <c r="Y911" i="3"/>
  <c r="Z913" i="3"/>
  <c r="AD913" i="3"/>
  <c r="P913" i="3"/>
  <c r="Q913" i="3" s="1"/>
  <c r="R913" i="3" s="1"/>
  <c r="S913" i="3" s="1"/>
  <c r="AA913" i="3"/>
  <c r="AC913" i="3"/>
  <c r="T913" i="3" l="1"/>
  <c r="AH913" i="3" s="1"/>
  <c r="D913" i="3" l="1"/>
  <c r="G913" i="3" s="1"/>
  <c r="AG913" i="3"/>
  <c r="E913" i="3"/>
  <c r="H913" i="3" s="1"/>
  <c r="F913" i="3" l="1"/>
  <c r="I913" i="3"/>
  <c r="J913" i="3"/>
  <c r="M913" i="3"/>
  <c r="N913" i="3" s="1"/>
  <c r="K913" i="3"/>
  <c r="AE913" i="3" s="1"/>
  <c r="V913" i="3" l="1"/>
  <c r="W913" i="3" s="1"/>
  <c r="A914" i="3"/>
  <c r="B914" i="3" s="1"/>
  <c r="L913" i="3"/>
  <c r="U913" i="3" l="1"/>
  <c r="Y912" i="3"/>
  <c r="AA914" i="3"/>
  <c r="Z914" i="3"/>
  <c r="AC914" i="3"/>
  <c r="P914" i="3"/>
  <c r="Q914" i="3" s="1"/>
  <c r="R914" i="3" s="1"/>
  <c r="S914" i="3" s="1"/>
  <c r="T914" i="3" l="1"/>
  <c r="D914" i="3" s="1"/>
  <c r="E914" i="3" l="1"/>
  <c r="H914" i="3" s="1"/>
  <c r="K914" i="3" s="1"/>
  <c r="AE914" i="3" s="1"/>
  <c r="G914" i="3"/>
  <c r="AH914" i="3"/>
  <c r="AG914" i="3"/>
  <c r="F914" i="3" l="1"/>
  <c r="I914" i="3"/>
  <c r="J914" i="3"/>
  <c r="AD914" i="3" s="1"/>
  <c r="M914" i="3"/>
  <c r="N914" i="3" s="1"/>
  <c r="V914" i="3"/>
  <c r="A915" i="3"/>
  <c r="B915" i="3" s="1"/>
  <c r="W914" i="3" l="1"/>
  <c r="L914" i="3"/>
  <c r="P915" i="3"/>
  <c r="Q915" i="3" s="1"/>
  <c r="R915" i="3" s="1"/>
  <c r="S915" i="3" s="1"/>
  <c r="AA915" i="3"/>
  <c r="AC915" i="3"/>
  <c r="Z915" i="3"/>
  <c r="AD915" i="3"/>
  <c r="U914" i="3" l="1"/>
  <c r="Y913" i="3"/>
  <c r="T915" i="3"/>
  <c r="AH915" i="3" s="1"/>
  <c r="E915" i="3" l="1"/>
  <c r="H915" i="3" s="1"/>
  <c r="D915" i="3"/>
  <c r="AG915" i="3"/>
  <c r="K915" i="3" l="1"/>
  <c r="AE915" i="3" s="1"/>
  <c r="F915" i="3"/>
  <c r="G915" i="3"/>
  <c r="I915" i="3" l="1"/>
  <c r="J915" i="3"/>
  <c r="M915" i="3"/>
  <c r="N915" i="3" s="1"/>
  <c r="V915" i="3"/>
  <c r="A916" i="3"/>
  <c r="B916" i="3" s="1"/>
  <c r="W915" i="3" l="1"/>
  <c r="L915" i="3"/>
  <c r="AC916" i="3"/>
  <c r="AA916" i="3"/>
  <c r="Z916" i="3"/>
  <c r="P916" i="3"/>
  <c r="Q916" i="3" s="1"/>
  <c r="R916" i="3" s="1"/>
  <c r="S916" i="3" s="1"/>
  <c r="AD916" i="3"/>
  <c r="U915" i="3" l="1"/>
  <c r="Y914" i="3"/>
  <c r="T916" i="3"/>
  <c r="D916" i="3" l="1"/>
  <c r="G916" i="3" s="1"/>
  <c r="AG916" i="3"/>
  <c r="AH916" i="3"/>
  <c r="E916" i="3"/>
  <c r="H916" i="3" s="1"/>
  <c r="K916" i="3" l="1"/>
  <c r="AE916" i="3" s="1"/>
  <c r="I916" i="3"/>
  <c r="J916" i="3"/>
  <c r="M916" i="3"/>
  <c r="N916" i="3" s="1"/>
  <c r="F916" i="3"/>
  <c r="L916" i="3" l="1"/>
  <c r="V916" i="3"/>
  <c r="W916" i="3" s="1"/>
  <c r="A917" i="3"/>
  <c r="B917" i="3" s="1"/>
  <c r="U916" i="3" l="1"/>
  <c r="Y915" i="3"/>
  <c r="AD917" i="3"/>
  <c r="AC917" i="3"/>
  <c r="Z917" i="3"/>
  <c r="P917" i="3"/>
  <c r="Q917" i="3" s="1"/>
  <c r="R917" i="3" s="1"/>
  <c r="S917" i="3" s="1"/>
  <c r="AA917" i="3"/>
  <c r="T917" i="3" l="1"/>
  <c r="AG917" i="3" s="1"/>
  <c r="E917" i="3" l="1"/>
  <c r="H917" i="3" s="1"/>
  <c r="K917" i="3" s="1"/>
  <c r="AE917" i="3" s="1"/>
  <c r="AH917" i="3"/>
  <c r="D917" i="3"/>
  <c r="F917" i="3" l="1"/>
  <c r="G917" i="3"/>
  <c r="J917" i="3" s="1"/>
  <c r="V917" i="3"/>
  <c r="A918" i="3"/>
  <c r="B918" i="3" s="1"/>
  <c r="M917" i="3" l="1"/>
  <c r="N917" i="3" s="1"/>
  <c r="I917" i="3"/>
  <c r="W917" i="3" s="1"/>
  <c r="L917" i="3"/>
  <c r="AC918" i="3"/>
  <c r="AD918" i="3"/>
  <c r="AA918" i="3"/>
  <c r="Z918" i="3"/>
  <c r="P918" i="3"/>
  <c r="Q918" i="3" s="1"/>
  <c r="R918" i="3" s="1"/>
  <c r="S918" i="3" s="1"/>
  <c r="T918" i="3" l="1"/>
  <c r="U917" i="3"/>
  <c r="Y916" i="3"/>
  <c r="E918" i="3" l="1"/>
  <c r="H918" i="3" s="1"/>
  <c r="K918" i="3" s="1"/>
  <c r="AE918" i="3" s="1"/>
  <c r="AH918" i="3"/>
  <c r="D918" i="3"/>
  <c r="G918" i="3" s="1"/>
  <c r="AG918" i="3"/>
  <c r="F918" i="3" l="1"/>
  <c r="I918" i="3"/>
  <c r="J918" i="3"/>
  <c r="M918" i="3"/>
  <c r="N918" i="3" s="1"/>
  <c r="V918" i="3"/>
  <c r="A919" i="3"/>
  <c r="B919" i="3" s="1"/>
  <c r="L918" i="3" l="1"/>
  <c r="W918" i="3"/>
  <c r="P919" i="3"/>
  <c r="Q919" i="3" s="1"/>
  <c r="R919" i="3" s="1"/>
  <c r="S919" i="3" s="1"/>
  <c r="Z919" i="3"/>
  <c r="AC919" i="3"/>
  <c r="AD919" i="3"/>
  <c r="AA919" i="3"/>
  <c r="U918" i="3" l="1"/>
  <c r="Y917" i="3"/>
  <c r="T919" i="3"/>
  <c r="AG919" i="3" s="1"/>
  <c r="E919" i="3" l="1"/>
  <c r="H919" i="3" s="1"/>
  <c r="K919" i="3" s="1"/>
  <c r="AE919" i="3" s="1"/>
  <c r="AH919" i="3"/>
  <c r="D919" i="3"/>
  <c r="V919" i="3" l="1"/>
  <c r="A920" i="3"/>
  <c r="B920" i="3" s="1"/>
  <c r="F919" i="3"/>
  <c r="G919" i="3"/>
  <c r="I919" i="3" l="1"/>
  <c r="W919" i="3" s="1"/>
  <c r="J919" i="3"/>
  <c r="M919" i="3"/>
  <c r="N919" i="3" s="1"/>
  <c r="AD920" i="3"/>
  <c r="AC920" i="3"/>
  <c r="P920" i="3"/>
  <c r="Q920" i="3" s="1"/>
  <c r="R920" i="3" s="1"/>
  <c r="S920" i="3" s="1"/>
  <c r="AA920" i="3"/>
  <c r="Z920" i="3"/>
  <c r="T920" i="3" l="1"/>
  <c r="L919" i="3"/>
  <c r="AH920" i="3" l="1"/>
  <c r="U919" i="3"/>
  <c r="E920" i="3" s="1"/>
  <c r="H920" i="3" s="1"/>
  <c r="AG920" i="3"/>
  <c r="Y918" i="3"/>
  <c r="D920" i="3" l="1"/>
  <c r="G920" i="3" s="1"/>
  <c r="K920" i="3"/>
  <c r="AE920" i="3" s="1"/>
  <c r="F920" i="3" l="1"/>
  <c r="V920" i="3"/>
  <c r="A921" i="3"/>
  <c r="B921" i="3" s="1"/>
  <c r="I920" i="3"/>
  <c r="J920" i="3"/>
  <c r="M920" i="3"/>
  <c r="N920" i="3" s="1"/>
  <c r="W920" i="3" l="1"/>
  <c r="L920" i="3"/>
  <c r="AA921" i="3"/>
  <c r="Z921" i="3"/>
  <c r="P921" i="3"/>
  <c r="Q921" i="3" s="1"/>
  <c r="R921" i="3" s="1"/>
  <c r="S921" i="3" s="1"/>
  <c r="AD921" i="3"/>
  <c r="AC921" i="3"/>
  <c r="U920" i="3" l="1"/>
  <c r="Y919" i="3"/>
  <c r="T921" i="3"/>
  <c r="AG921" i="3" s="1"/>
  <c r="E921" i="3" l="1"/>
  <c r="H921" i="3" s="1"/>
  <c r="K921" i="3" s="1"/>
  <c r="AE921" i="3" s="1"/>
  <c r="AH921" i="3"/>
  <c r="D921" i="3"/>
  <c r="G921" i="3" s="1"/>
  <c r="F921" i="3" l="1"/>
  <c r="I921" i="3"/>
  <c r="J921" i="3"/>
  <c r="M921" i="3"/>
  <c r="N921" i="3" s="1"/>
  <c r="V921" i="3"/>
  <c r="A922" i="3"/>
  <c r="B922" i="3" s="1"/>
  <c r="W921" i="3" l="1"/>
  <c r="L921" i="3"/>
  <c r="AC922" i="3"/>
  <c r="AA922" i="3"/>
  <c r="Z922" i="3"/>
  <c r="P922" i="3"/>
  <c r="Q922" i="3" s="1"/>
  <c r="R922" i="3" s="1"/>
  <c r="S922" i="3" s="1"/>
  <c r="AD922" i="3"/>
  <c r="U921" i="3" l="1"/>
  <c r="Y920" i="3"/>
  <c r="T922" i="3"/>
  <c r="E922" i="3" l="1"/>
  <c r="H922" i="3" s="1"/>
  <c r="K922" i="3" s="1"/>
  <c r="AE922" i="3" s="1"/>
  <c r="AH922" i="3"/>
  <c r="D922" i="3"/>
  <c r="AG922" i="3"/>
  <c r="F922" i="3" l="1"/>
  <c r="G922" i="3"/>
  <c r="V922" i="3"/>
  <c r="A923" i="3"/>
  <c r="B923" i="3" s="1"/>
  <c r="AD923" i="3" l="1"/>
  <c r="AC923" i="3"/>
  <c r="Z923" i="3"/>
  <c r="AA923" i="3"/>
  <c r="P923" i="3"/>
  <c r="Q923" i="3" s="1"/>
  <c r="R923" i="3" s="1"/>
  <c r="S923" i="3" s="1"/>
  <c r="I922" i="3"/>
  <c r="W922" i="3" s="1"/>
  <c r="J922" i="3"/>
  <c r="M922" i="3"/>
  <c r="N922" i="3" s="1"/>
  <c r="L922" i="3" l="1"/>
  <c r="T923" i="3"/>
  <c r="AH923" i="3" l="1"/>
  <c r="AG923" i="3"/>
  <c r="U922" i="3"/>
  <c r="D923" i="3" s="1"/>
  <c r="Y921" i="3"/>
  <c r="E923" i="3" l="1"/>
  <c r="H923" i="3" s="1"/>
  <c r="K923" i="3" s="1"/>
  <c r="AE923" i="3" s="1"/>
  <c r="G923" i="3"/>
  <c r="F923" i="3" l="1"/>
  <c r="V923" i="3"/>
  <c r="A924" i="3"/>
  <c r="B924" i="3" s="1"/>
  <c r="I923" i="3"/>
  <c r="J923" i="3"/>
  <c r="M923" i="3"/>
  <c r="N923" i="3" s="1"/>
  <c r="W923" i="3" l="1"/>
  <c r="L923" i="3"/>
  <c r="Z924" i="3"/>
  <c r="AC924" i="3"/>
  <c r="P924" i="3"/>
  <c r="Q924" i="3" s="1"/>
  <c r="R924" i="3" s="1"/>
  <c r="S924" i="3" s="1"/>
  <c r="AA924" i="3"/>
  <c r="U923" i="3" l="1"/>
  <c r="Y922" i="3"/>
  <c r="T924" i="3"/>
  <c r="AH924" i="3" s="1"/>
  <c r="D924" i="3" l="1"/>
  <c r="G924" i="3" s="1"/>
  <c r="AG924" i="3"/>
  <c r="E924" i="3"/>
  <c r="H924" i="3" s="1"/>
  <c r="K924" i="3" s="1"/>
  <c r="AE924" i="3" s="1"/>
  <c r="F924" i="3" l="1"/>
  <c r="I924" i="3"/>
  <c r="J924" i="3"/>
  <c r="AD924" i="3" s="1"/>
  <c r="M924" i="3"/>
  <c r="N924" i="3" s="1"/>
  <c r="V924" i="3"/>
  <c r="A925" i="3"/>
  <c r="B925" i="3" s="1"/>
  <c r="W924" i="3" l="1"/>
  <c r="L924" i="3"/>
  <c r="Z925" i="3"/>
  <c r="AA925" i="3"/>
  <c r="AD925" i="3"/>
  <c r="AC925" i="3"/>
  <c r="P925" i="3"/>
  <c r="Q925" i="3" s="1"/>
  <c r="R925" i="3" s="1"/>
  <c r="S925" i="3" s="1"/>
  <c r="T925" i="3" l="1"/>
  <c r="AG925" i="3" s="1"/>
  <c r="U924" i="3"/>
  <c r="Y923" i="3"/>
  <c r="AH925" i="3" l="1"/>
  <c r="E925" i="3"/>
  <c r="H925" i="3" s="1"/>
  <c r="D925" i="3"/>
  <c r="K925" i="3" l="1"/>
  <c r="AE925" i="3" s="1"/>
  <c r="F925" i="3"/>
  <c r="G925" i="3"/>
  <c r="I925" i="3" l="1"/>
  <c r="J925" i="3"/>
  <c r="M925" i="3"/>
  <c r="N925" i="3" s="1"/>
  <c r="V925" i="3"/>
  <c r="A926" i="3"/>
  <c r="B926" i="3" s="1"/>
  <c r="W925" i="3" l="1"/>
  <c r="L925" i="3"/>
  <c r="AC926" i="3"/>
  <c r="AA926" i="3"/>
  <c r="AD926" i="3"/>
  <c r="P926" i="3"/>
  <c r="Q926" i="3" s="1"/>
  <c r="R926" i="3" s="1"/>
  <c r="S926" i="3" s="1"/>
  <c r="Z926" i="3"/>
  <c r="U925" i="3" l="1"/>
  <c r="Y924" i="3"/>
  <c r="T926" i="3"/>
  <c r="AG926" i="3" s="1"/>
  <c r="E926" i="3" l="1"/>
  <c r="H926" i="3" s="1"/>
  <c r="K926" i="3" s="1"/>
  <c r="AE926" i="3" s="1"/>
  <c r="AH926" i="3"/>
  <c r="D926" i="3"/>
  <c r="V926" i="3" l="1"/>
  <c r="A927" i="3"/>
  <c r="B927" i="3" s="1"/>
  <c r="F926" i="3"/>
  <c r="G926" i="3"/>
  <c r="I926" i="3" l="1"/>
  <c r="W926" i="3" s="1"/>
  <c r="J926" i="3"/>
  <c r="M926" i="3"/>
  <c r="N926" i="3" s="1"/>
  <c r="AD927" i="3"/>
  <c r="Z927" i="3"/>
  <c r="P927" i="3"/>
  <c r="Q927" i="3" s="1"/>
  <c r="R927" i="3" s="1"/>
  <c r="S927" i="3" s="1"/>
  <c r="AA927" i="3"/>
  <c r="AC927" i="3"/>
  <c r="T927" i="3" l="1"/>
  <c r="L926" i="3"/>
  <c r="U926" i="3" l="1"/>
  <c r="D927" i="3" s="1"/>
  <c r="AG927" i="3"/>
  <c r="AH927" i="3"/>
  <c r="Y925" i="3"/>
  <c r="G927" i="3" l="1"/>
  <c r="E927" i="3"/>
  <c r="H927" i="3" s="1"/>
  <c r="F927" i="3" l="1"/>
  <c r="K927" i="3"/>
  <c r="AE927" i="3" s="1"/>
  <c r="I927" i="3"/>
  <c r="J927" i="3"/>
  <c r="M927" i="3"/>
  <c r="N927" i="3" s="1"/>
  <c r="L927" i="3" l="1"/>
  <c r="V927" i="3"/>
  <c r="W927" i="3" s="1"/>
  <c r="A928" i="3"/>
  <c r="B928" i="3" s="1"/>
  <c r="U927" i="3" l="1"/>
  <c r="Y926" i="3"/>
  <c r="AC928" i="3"/>
  <c r="AD928" i="3"/>
  <c r="AA928" i="3"/>
  <c r="Z928" i="3"/>
  <c r="P928" i="3"/>
  <c r="Q928" i="3" s="1"/>
  <c r="R928" i="3" s="1"/>
  <c r="S928" i="3" s="1"/>
  <c r="T928" i="3" l="1"/>
  <c r="D928" i="3" s="1"/>
  <c r="AH928" i="3" l="1"/>
  <c r="E928" i="3"/>
  <c r="H928" i="3" s="1"/>
  <c r="K928" i="3" s="1"/>
  <c r="AE928" i="3" s="1"/>
  <c r="AG928" i="3"/>
  <c r="G928" i="3"/>
  <c r="F928" i="3" l="1"/>
  <c r="I928" i="3"/>
  <c r="J928" i="3"/>
  <c r="M928" i="3"/>
  <c r="N928" i="3" s="1"/>
  <c r="V928" i="3"/>
  <c r="A929" i="3"/>
  <c r="B929" i="3" s="1"/>
  <c r="L928" i="3" l="1"/>
  <c r="P929" i="3"/>
  <c r="Q929" i="3" s="1"/>
  <c r="R929" i="3" s="1"/>
  <c r="S929" i="3" s="1"/>
  <c r="AD929" i="3"/>
  <c r="AC929" i="3"/>
  <c r="Z929" i="3"/>
  <c r="AA929" i="3"/>
  <c r="W928" i="3"/>
  <c r="T929" i="3" l="1"/>
  <c r="AG929" i="3" s="1"/>
  <c r="U928" i="3"/>
  <c r="Y927" i="3"/>
  <c r="AH929" i="3" l="1"/>
  <c r="D929" i="3"/>
  <c r="E929" i="3"/>
  <c r="H929" i="3" s="1"/>
  <c r="F929" i="3" l="1"/>
  <c r="G929" i="3"/>
  <c r="K929" i="3"/>
  <c r="AE929" i="3" s="1"/>
  <c r="V929" i="3" l="1"/>
  <c r="A930" i="3"/>
  <c r="B930" i="3" s="1"/>
  <c r="I929" i="3"/>
  <c r="J929" i="3"/>
  <c r="M929" i="3"/>
  <c r="N929" i="3" s="1"/>
  <c r="L929" i="3" l="1"/>
  <c r="AD930" i="3"/>
  <c r="P930" i="3"/>
  <c r="Q930" i="3" s="1"/>
  <c r="R930" i="3" s="1"/>
  <c r="S930" i="3" s="1"/>
  <c r="AC930" i="3"/>
  <c r="Z930" i="3"/>
  <c r="AA930" i="3"/>
  <c r="W929" i="3"/>
  <c r="T930" i="3" l="1"/>
  <c r="U929" i="3"/>
  <c r="Y928" i="3"/>
  <c r="D930" i="3" l="1"/>
  <c r="G930" i="3" s="1"/>
  <c r="AH930" i="3"/>
  <c r="E930" i="3"/>
  <c r="H930" i="3" s="1"/>
  <c r="AG930" i="3"/>
  <c r="F930" i="3" l="1"/>
  <c r="I930" i="3"/>
  <c r="J930" i="3"/>
  <c r="M930" i="3"/>
  <c r="N930" i="3" s="1"/>
  <c r="K930" i="3"/>
  <c r="AE930" i="3" s="1"/>
  <c r="V930" i="3" l="1"/>
  <c r="W930" i="3" s="1"/>
  <c r="A931" i="3"/>
  <c r="B931" i="3" s="1"/>
  <c r="L930" i="3"/>
  <c r="U930" i="3" l="1"/>
  <c r="Y929" i="3"/>
  <c r="AC931" i="3"/>
  <c r="AA931" i="3"/>
  <c r="Z931" i="3"/>
  <c r="P931" i="3"/>
  <c r="Q931" i="3" s="1"/>
  <c r="R931" i="3" s="1"/>
  <c r="S931" i="3" s="1"/>
  <c r="AD931" i="3"/>
  <c r="T931" i="3" l="1"/>
  <c r="AH931" i="3" s="1"/>
  <c r="E931" i="3" l="1"/>
  <c r="H931" i="3" s="1"/>
  <c r="D931" i="3"/>
  <c r="AG931" i="3"/>
  <c r="K931" i="3" l="1"/>
  <c r="AE931" i="3" s="1"/>
  <c r="F931" i="3"/>
  <c r="G931" i="3"/>
  <c r="I931" i="3" l="1"/>
  <c r="J931" i="3"/>
  <c r="M931" i="3"/>
  <c r="N931" i="3" s="1"/>
  <c r="V931" i="3"/>
  <c r="A932" i="3"/>
  <c r="B932" i="3" s="1"/>
  <c r="W931" i="3" l="1"/>
  <c r="L931" i="3"/>
  <c r="AA932" i="3"/>
  <c r="AD932" i="3"/>
  <c r="Z932" i="3"/>
  <c r="AC932" i="3"/>
  <c r="P932" i="3"/>
  <c r="Q932" i="3" s="1"/>
  <c r="R932" i="3" s="1"/>
  <c r="S932" i="3" s="1"/>
  <c r="U931" i="3" l="1"/>
  <c r="Y930" i="3"/>
  <c r="T932" i="3"/>
  <c r="AH932" i="3" s="1"/>
  <c r="E932" i="3" l="1"/>
  <c r="H932" i="3" s="1"/>
  <c r="D932" i="3"/>
  <c r="AG932" i="3"/>
  <c r="K932" i="3" l="1"/>
  <c r="AE932" i="3" s="1"/>
  <c r="F932" i="3"/>
  <c r="G932" i="3"/>
  <c r="V932" i="3" l="1"/>
  <c r="A933" i="3"/>
  <c r="B933" i="3" s="1"/>
  <c r="I932" i="3"/>
  <c r="J932" i="3"/>
  <c r="M932" i="3"/>
  <c r="N932" i="3" s="1"/>
  <c r="L932" i="3" l="1"/>
  <c r="W932" i="3"/>
  <c r="AA933" i="3"/>
  <c r="P933" i="3"/>
  <c r="Q933" i="3" s="1"/>
  <c r="R933" i="3" s="1"/>
  <c r="S933" i="3" s="1"/>
  <c r="Z933" i="3"/>
  <c r="AD933" i="3"/>
  <c r="AC933" i="3"/>
  <c r="U932" i="3" l="1"/>
  <c r="Y931" i="3"/>
  <c r="T933" i="3"/>
  <c r="D933" i="3" l="1"/>
  <c r="G933" i="3" s="1"/>
  <c r="AH933" i="3"/>
  <c r="AG933" i="3"/>
  <c r="E933" i="3"/>
  <c r="H933" i="3" s="1"/>
  <c r="K933" i="3" l="1"/>
  <c r="AE933" i="3" s="1"/>
  <c r="I933" i="3"/>
  <c r="J933" i="3"/>
  <c r="M933" i="3"/>
  <c r="N933" i="3" s="1"/>
  <c r="F933" i="3"/>
  <c r="V933" i="3" l="1"/>
  <c r="W933" i="3" s="1"/>
  <c r="A934" i="3"/>
  <c r="B934" i="3" s="1"/>
  <c r="L933" i="3"/>
  <c r="U933" i="3" l="1"/>
  <c r="Y932" i="3"/>
  <c r="AC934" i="3"/>
  <c r="Z934" i="3"/>
  <c r="P934" i="3"/>
  <c r="Q934" i="3" s="1"/>
  <c r="R934" i="3" s="1"/>
  <c r="S934" i="3" s="1"/>
  <c r="AA934" i="3"/>
  <c r="T934" i="3" l="1"/>
  <c r="AH934" i="3" s="1"/>
  <c r="AG934" i="3" l="1"/>
  <c r="D934" i="3"/>
  <c r="E934" i="3"/>
  <c r="H934" i="3" s="1"/>
  <c r="K934" i="3" l="1"/>
  <c r="AE934" i="3" s="1"/>
  <c r="F934" i="3"/>
  <c r="G934" i="3"/>
  <c r="V934" i="3" l="1"/>
  <c r="A935" i="3"/>
  <c r="B935" i="3" s="1"/>
  <c r="I934" i="3"/>
  <c r="J934" i="3"/>
  <c r="AD934" i="3" s="1"/>
  <c r="M934" i="3"/>
  <c r="N934" i="3" s="1"/>
  <c r="W934" i="3" l="1"/>
  <c r="L934" i="3"/>
  <c r="P935" i="3"/>
  <c r="Q935" i="3" s="1"/>
  <c r="R935" i="3" s="1"/>
  <c r="S935" i="3" s="1"/>
  <c r="AA935" i="3"/>
  <c r="AC935" i="3"/>
  <c r="Z935" i="3"/>
  <c r="T935" i="3" l="1"/>
  <c r="U934" i="3"/>
  <c r="Y933" i="3"/>
  <c r="E935" i="3" l="1"/>
  <c r="H935" i="3" s="1"/>
  <c r="K935" i="3" s="1"/>
  <c r="AE935" i="3" s="1"/>
  <c r="AH935" i="3"/>
  <c r="AG935" i="3"/>
  <c r="D935" i="3"/>
  <c r="V935" i="3" l="1"/>
  <c r="A936" i="3"/>
  <c r="B936" i="3" s="1"/>
  <c r="F935" i="3"/>
  <c r="G935" i="3"/>
  <c r="I935" i="3" l="1"/>
  <c r="W935" i="3" s="1"/>
  <c r="J935" i="3"/>
  <c r="AD935" i="3" s="1"/>
  <c r="M935" i="3"/>
  <c r="N935" i="3" s="1"/>
  <c r="P936" i="3"/>
  <c r="Q936" i="3" s="1"/>
  <c r="R936" i="3" s="1"/>
  <c r="S936" i="3" s="1"/>
  <c r="AC936" i="3"/>
  <c r="Z936" i="3"/>
  <c r="AA936" i="3"/>
  <c r="T936" i="3" l="1"/>
  <c r="L935" i="3"/>
  <c r="AH936" i="3" l="1"/>
  <c r="U935" i="3"/>
  <c r="E936" i="3" s="1"/>
  <c r="H936" i="3" s="1"/>
  <c r="AG936" i="3"/>
  <c r="Y934" i="3"/>
  <c r="D936" i="3" l="1"/>
  <c r="F936" i="3" s="1"/>
  <c r="K936" i="3"/>
  <c r="AE936" i="3" s="1"/>
  <c r="G936" i="3" l="1"/>
  <c r="J936" i="3" s="1"/>
  <c r="AD936" i="3" s="1"/>
  <c r="V936" i="3"/>
  <c r="A937" i="3"/>
  <c r="B937" i="3" s="1"/>
  <c r="M936" i="3" l="1"/>
  <c r="N936" i="3" s="1"/>
  <c r="I936" i="3"/>
  <c r="W936" i="3" s="1"/>
  <c r="L936" i="3"/>
  <c r="P937" i="3"/>
  <c r="Q937" i="3" s="1"/>
  <c r="R937" i="3" s="1"/>
  <c r="S937" i="3" s="1"/>
  <c r="AA937" i="3"/>
  <c r="Z937" i="3"/>
  <c r="AC937" i="3"/>
  <c r="U936" i="3" l="1"/>
  <c r="Y935" i="3"/>
  <c r="T937" i="3"/>
  <c r="AG937" i="3" s="1"/>
  <c r="E937" i="3" l="1"/>
  <c r="H937" i="3" s="1"/>
  <c r="K937" i="3" s="1"/>
  <c r="AE937" i="3" s="1"/>
  <c r="D937" i="3"/>
  <c r="G937" i="3" s="1"/>
  <c r="AH937" i="3"/>
  <c r="F937" i="3" l="1"/>
  <c r="V937" i="3"/>
  <c r="A938" i="3"/>
  <c r="B938" i="3" s="1"/>
  <c r="I937" i="3"/>
  <c r="J937" i="3"/>
  <c r="AD937" i="3" s="1"/>
  <c r="M937" i="3"/>
  <c r="N937" i="3" s="1"/>
  <c r="W937" i="3" l="1"/>
  <c r="L937" i="3"/>
  <c r="Z938" i="3"/>
  <c r="P938" i="3"/>
  <c r="Q938" i="3" s="1"/>
  <c r="R938" i="3" s="1"/>
  <c r="S938" i="3" s="1"/>
  <c r="AA938" i="3"/>
  <c r="AC938" i="3"/>
  <c r="T938" i="3" l="1"/>
  <c r="AG938" i="3" s="1"/>
  <c r="U937" i="3"/>
  <c r="Y936" i="3"/>
  <c r="D938" i="3" l="1"/>
  <c r="AH938" i="3"/>
  <c r="E938" i="3"/>
  <c r="H938" i="3" s="1"/>
  <c r="F938" i="3" l="1"/>
  <c r="G938" i="3"/>
  <c r="J938" i="3" s="1"/>
  <c r="AD938" i="3" s="1"/>
  <c r="K938" i="3"/>
  <c r="AE938" i="3" s="1"/>
  <c r="I938" i="3" l="1"/>
  <c r="M938" i="3"/>
  <c r="N938" i="3" s="1"/>
  <c r="V938" i="3"/>
  <c r="A939" i="3"/>
  <c r="B939" i="3" s="1"/>
  <c r="L938" i="3"/>
  <c r="W938" i="3" l="1"/>
  <c r="U938" i="3"/>
  <c r="Y937" i="3"/>
  <c r="AA939" i="3"/>
  <c r="P939" i="3"/>
  <c r="Q939" i="3" s="1"/>
  <c r="R939" i="3" s="1"/>
  <c r="S939" i="3" s="1"/>
  <c r="Z939" i="3"/>
  <c r="AC939" i="3"/>
  <c r="T939" i="3" l="1"/>
  <c r="E939" i="3" s="1"/>
  <c r="H939" i="3" s="1"/>
  <c r="K939" i="3" l="1"/>
  <c r="AE939" i="3" s="1"/>
  <c r="AG939" i="3"/>
  <c r="D939" i="3"/>
  <c r="AH939" i="3"/>
  <c r="F939" i="3" l="1"/>
  <c r="G939" i="3"/>
  <c r="V939" i="3"/>
  <c r="A940" i="3"/>
  <c r="B940" i="3" s="1"/>
  <c r="AC940" i="3" l="1"/>
  <c r="Z940" i="3"/>
  <c r="P940" i="3"/>
  <c r="Q940" i="3" s="1"/>
  <c r="R940" i="3" s="1"/>
  <c r="S940" i="3" s="1"/>
  <c r="AA940" i="3"/>
  <c r="I939" i="3"/>
  <c r="W939" i="3" s="1"/>
  <c r="J939" i="3"/>
  <c r="AD939" i="3" s="1"/>
  <c r="M939" i="3"/>
  <c r="N939" i="3" s="1"/>
  <c r="T940" i="3" l="1"/>
  <c r="L939" i="3"/>
  <c r="AG940" i="3" l="1"/>
  <c r="AH940" i="3"/>
  <c r="U939" i="3"/>
  <c r="D940" i="3" s="1"/>
  <c r="Y938" i="3"/>
  <c r="E940" i="3" l="1"/>
  <c r="H940" i="3" s="1"/>
  <c r="K940" i="3" s="1"/>
  <c r="AE940" i="3" s="1"/>
  <c r="G940" i="3"/>
  <c r="F940" i="3" l="1"/>
  <c r="I940" i="3"/>
  <c r="J940" i="3"/>
  <c r="AD940" i="3" s="1"/>
  <c r="M940" i="3"/>
  <c r="N940" i="3" s="1"/>
  <c r="V940" i="3"/>
  <c r="A941" i="3"/>
  <c r="B941" i="3" s="1"/>
  <c r="W940" i="3" l="1"/>
  <c r="L940" i="3"/>
  <c r="P941" i="3"/>
  <c r="Q941" i="3" s="1"/>
  <c r="R941" i="3" s="1"/>
  <c r="S941" i="3" s="1"/>
  <c r="Z941" i="3"/>
  <c r="AC941" i="3"/>
  <c r="AA941" i="3"/>
  <c r="T941" i="3" l="1"/>
  <c r="U940" i="3"/>
  <c r="Y939" i="3"/>
  <c r="E941" i="3" l="1"/>
  <c r="H941" i="3" s="1"/>
  <c r="K941" i="3" s="1"/>
  <c r="AE941" i="3" s="1"/>
  <c r="AH941" i="3"/>
  <c r="AG941" i="3"/>
  <c r="D941" i="3"/>
  <c r="F941" i="3" l="1"/>
  <c r="G941" i="3"/>
  <c r="V941" i="3"/>
  <c r="A942" i="3"/>
  <c r="B942" i="3" s="1"/>
  <c r="Z942" i="3" l="1"/>
  <c r="AC942" i="3"/>
  <c r="AA942" i="3"/>
  <c r="P942" i="3"/>
  <c r="Q942" i="3" s="1"/>
  <c r="R942" i="3" s="1"/>
  <c r="S942" i="3" s="1"/>
  <c r="I941" i="3"/>
  <c r="W941" i="3" s="1"/>
  <c r="J941" i="3"/>
  <c r="AD941" i="3" s="1"/>
  <c r="M941" i="3"/>
  <c r="N941" i="3" s="1"/>
  <c r="T942" i="3" l="1"/>
  <c r="L941" i="3"/>
  <c r="U941" i="3" l="1"/>
  <c r="E942" i="3" s="1"/>
  <c r="H942" i="3" s="1"/>
  <c r="AG942" i="3"/>
  <c r="AH942" i="3"/>
  <c r="Y940" i="3"/>
  <c r="D942" i="3" l="1"/>
  <c r="G942" i="3" s="1"/>
  <c r="K942" i="3"/>
  <c r="AE942" i="3" s="1"/>
  <c r="F942" i="3" l="1"/>
  <c r="I942" i="3"/>
  <c r="J942" i="3"/>
  <c r="AD942" i="3" s="1"/>
  <c r="M942" i="3"/>
  <c r="N942" i="3" s="1"/>
  <c r="V942" i="3"/>
  <c r="A943" i="3"/>
  <c r="B943" i="3" s="1"/>
  <c r="W942" i="3" l="1"/>
  <c r="L942" i="3"/>
  <c r="AA943" i="3"/>
  <c r="AC943" i="3"/>
  <c r="P943" i="3"/>
  <c r="Q943" i="3" s="1"/>
  <c r="R943" i="3" s="1"/>
  <c r="S943" i="3" s="1"/>
  <c r="Z943" i="3"/>
  <c r="U942" i="3" l="1"/>
  <c r="Y941" i="3"/>
  <c r="T943" i="3"/>
  <c r="AG943" i="3" s="1"/>
  <c r="E943" i="3" l="1"/>
  <c r="H943" i="3" s="1"/>
  <c r="K943" i="3" s="1"/>
  <c r="AE943" i="3" s="1"/>
  <c r="D943" i="3"/>
  <c r="AH943" i="3"/>
  <c r="F943" i="3" l="1"/>
  <c r="G943" i="3"/>
  <c r="M943" i="3" s="1"/>
  <c r="N943" i="3" s="1"/>
  <c r="V943" i="3"/>
  <c r="A944" i="3"/>
  <c r="B944" i="3" s="1"/>
  <c r="I943" i="3" l="1"/>
  <c r="W943" i="3" s="1"/>
  <c r="J943" i="3"/>
  <c r="P944" i="3"/>
  <c r="Q944" i="3" s="1"/>
  <c r="R944" i="3" s="1"/>
  <c r="S944" i="3" s="1"/>
  <c r="AC944" i="3"/>
  <c r="Z944" i="3"/>
  <c r="AA944" i="3"/>
  <c r="L943" i="3" l="1"/>
  <c r="Y942" i="3" s="1"/>
  <c r="AD943" i="3"/>
  <c r="T944" i="3"/>
  <c r="AH944" i="3" l="1"/>
  <c r="U943" i="3"/>
  <c r="D944" i="3" s="1"/>
  <c r="AG944" i="3"/>
  <c r="E944" i="3" l="1"/>
  <c r="H944" i="3" s="1"/>
  <c r="K944" i="3" s="1"/>
  <c r="AE944" i="3" s="1"/>
  <c r="G944" i="3"/>
  <c r="F944" i="3" l="1"/>
  <c r="I944" i="3"/>
  <c r="J944" i="3"/>
  <c r="AD944" i="3" s="1"/>
  <c r="M944" i="3"/>
  <c r="N944" i="3" s="1"/>
  <c r="V944" i="3"/>
  <c r="A945" i="3"/>
  <c r="B945" i="3" s="1"/>
  <c r="W944" i="3" l="1"/>
  <c r="L944" i="3"/>
  <c r="P945" i="3"/>
  <c r="Q945" i="3" s="1"/>
  <c r="R945" i="3" s="1"/>
  <c r="S945" i="3" s="1"/>
  <c r="AC945" i="3"/>
  <c r="Z945" i="3"/>
  <c r="AD945" i="3"/>
  <c r="AA945" i="3"/>
  <c r="U944" i="3" l="1"/>
  <c r="Y943" i="3"/>
  <c r="T945" i="3"/>
  <c r="D945" i="3" l="1"/>
  <c r="G945" i="3" s="1"/>
  <c r="AH945" i="3"/>
  <c r="E945" i="3"/>
  <c r="H945" i="3" s="1"/>
  <c r="AG945" i="3"/>
  <c r="F945" i="3" l="1"/>
  <c r="I945" i="3"/>
  <c r="J945" i="3"/>
  <c r="M945" i="3"/>
  <c r="N945" i="3" s="1"/>
  <c r="K945" i="3"/>
  <c r="AE945" i="3" s="1"/>
  <c r="V945" i="3" l="1"/>
  <c r="W945" i="3" s="1"/>
  <c r="A946" i="3"/>
  <c r="B946" i="3" s="1"/>
  <c r="L945" i="3"/>
  <c r="U945" i="3" l="1"/>
  <c r="Y944" i="3"/>
  <c r="P946" i="3"/>
  <c r="Q946" i="3" s="1"/>
  <c r="R946" i="3" s="1"/>
  <c r="S946" i="3" s="1"/>
  <c r="AC946" i="3"/>
  <c r="AA946" i="3"/>
  <c r="AD946" i="3"/>
  <c r="Z946" i="3"/>
  <c r="T946" i="3" l="1"/>
  <c r="E946" i="3" s="1"/>
  <c r="H946" i="3" s="1"/>
  <c r="K946" i="3" l="1"/>
  <c r="AE946" i="3" s="1"/>
  <c r="AG946" i="3"/>
  <c r="D946" i="3"/>
  <c r="AH946" i="3"/>
  <c r="F946" i="3" l="1"/>
  <c r="G946" i="3"/>
  <c r="V946" i="3"/>
  <c r="A947" i="3"/>
  <c r="B947" i="3" s="1"/>
  <c r="Z947" i="3" l="1"/>
  <c r="AC947" i="3"/>
  <c r="P947" i="3"/>
  <c r="Q947" i="3" s="1"/>
  <c r="R947" i="3" s="1"/>
  <c r="S947" i="3" s="1"/>
  <c r="AA947" i="3"/>
  <c r="AD947" i="3"/>
  <c r="I946" i="3"/>
  <c r="W946" i="3" s="1"/>
  <c r="J946" i="3"/>
  <c r="M946" i="3"/>
  <c r="N946" i="3" s="1"/>
  <c r="L946" i="3" l="1"/>
  <c r="T947" i="3"/>
  <c r="AH947" i="3" l="1"/>
  <c r="AG947" i="3"/>
  <c r="U946" i="3"/>
  <c r="E947" i="3" s="1"/>
  <c r="H947" i="3" s="1"/>
  <c r="Y945" i="3"/>
  <c r="D947" i="3" l="1"/>
  <c r="G947" i="3" s="1"/>
  <c r="K947" i="3"/>
  <c r="AE947" i="3" s="1"/>
  <c r="F947" i="3" l="1"/>
  <c r="V947" i="3"/>
  <c r="A948" i="3"/>
  <c r="B948" i="3" s="1"/>
  <c r="I947" i="3"/>
  <c r="J947" i="3"/>
  <c r="M947" i="3"/>
  <c r="N947" i="3" s="1"/>
  <c r="W947" i="3" l="1"/>
  <c r="L947" i="3"/>
  <c r="P948" i="3"/>
  <c r="Q948" i="3" s="1"/>
  <c r="R948" i="3" s="1"/>
  <c r="S948" i="3" s="1"/>
  <c r="AA948" i="3"/>
  <c r="AD948" i="3"/>
  <c r="Z948" i="3"/>
  <c r="AC948" i="3"/>
  <c r="U947" i="3" l="1"/>
  <c r="Y946" i="3"/>
  <c r="T948" i="3"/>
  <c r="AH948" i="3" s="1"/>
  <c r="AG948" i="3" l="1"/>
  <c r="E948" i="3"/>
  <c r="H948" i="3" s="1"/>
  <c r="D948" i="3"/>
  <c r="K948" i="3" l="1"/>
  <c r="AE948" i="3" s="1"/>
  <c r="F948" i="3"/>
  <c r="G948" i="3"/>
  <c r="I948" i="3" l="1"/>
  <c r="J948" i="3"/>
  <c r="M948" i="3"/>
  <c r="N948" i="3" s="1"/>
  <c r="V948" i="3"/>
  <c r="A949" i="3"/>
  <c r="B949" i="3" s="1"/>
  <c r="W948" i="3" l="1"/>
  <c r="L948" i="3"/>
  <c r="AD949" i="3"/>
  <c r="AA949" i="3"/>
  <c r="AC949" i="3"/>
  <c r="Z949" i="3"/>
  <c r="P949" i="3"/>
  <c r="Q949" i="3" s="1"/>
  <c r="R949" i="3" s="1"/>
  <c r="S949" i="3" s="1"/>
  <c r="U948" i="3" l="1"/>
  <c r="Y947" i="3"/>
  <c r="T949" i="3"/>
  <c r="AH949" i="3" s="1"/>
  <c r="AG949" i="3" l="1"/>
  <c r="D949" i="3"/>
  <c r="G949" i="3" s="1"/>
  <c r="E949" i="3"/>
  <c r="H949" i="3" s="1"/>
  <c r="K949" i="3" s="1"/>
  <c r="AE949" i="3" s="1"/>
  <c r="F949" i="3" l="1"/>
  <c r="I949" i="3"/>
  <c r="J949" i="3"/>
  <c r="M949" i="3"/>
  <c r="N949" i="3" s="1"/>
  <c r="V949" i="3"/>
  <c r="A950" i="3"/>
  <c r="B950" i="3" s="1"/>
  <c r="W949" i="3" l="1"/>
  <c r="L949" i="3"/>
  <c r="Z950" i="3"/>
  <c r="AC950" i="3"/>
  <c r="P950" i="3"/>
  <c r="Q950" i="3" s="1"/>
  <c r="R950" i="3" s="1"/>
  <c r="S950" i="3" s="1"/>
  <c r="AD950" i="3"/>
  <c r="AA950" i="3"/>
  <c r="T950" i="3" l="1"/>
  <c r="U949" i="3"/>
  <c r="Y948" i="3"/>
  <c r="D950" i="3" l="1"/>
  <c r="G950" i="3" s="1"/>
  <c r="AG950" i="3"/>
  <c r="E950" i="3"/>
  <c r="H950" i="3" s="1"/>
  <c r="K950" i="3" s="1"/>
  <c r="AE950" i="3" s="1"/>
  <c r="AH950" i="3"/>
  <c r="F950" i="3" l="1"/>
  <c r="I950" i="3"/>
  <c r="J950" i="3"/>
  <c r="M950" i="3"/>
  <c r="N950" i="3" s="1"/>
  <c r="V950" i="3"/>
  <c r="A951" i="3"/>
  <c r="B951" i="3" s="1"/>
  <c r="W950" i="3" l="1"/>
  <c r="P951" i="3"/>
  <c r="Q951" i="3" s="1"/>
  <c r="R951" i="3" s="1"/>
  <c r="S951" i="3" s="1"/>
  <c r="AA951" i="3"/>
  <c r="AC951" i="3"/>
  <c r="AD951" i="3"/>
  <c r="Z951" i="3"/>
  <c r="L950" i="3"/>
  <c r="T951" i="3" l="1"/>
  <c r="U950" i="3"/>
  <c r="Y949" i="3"/>
  <c r="D951" i="3" l="1"/>
  <c r="G951" i="3" s="1"/>
  <c r="AH951" i="3"/>
  <c r="AG951" i="3"/>
  <c r="E951" i="3"/>
  <c r="H951" i="3" s="1"/>
  <c r="K951" i="3" s="1"/>
  <c r="AE951" i="3" s="1"/>
  <c r="F951" i="3" l="1"/>
  <c r="I951" i="3"/>
  <c r="J951" i="3"/>
  <c r="M951" i="3"/>
  <c r="N951" i="3" s="1"/>
  <c r="V951" i="3"/>
  <c r="A952" i="3"/>
  <c r="B952" i="3" s="1"/>
  <c r="AC952" i="3" l="1"/>
  <c r="Z952" i="3"/>
  <c r="AD952" i="3"/>
  <c r="P952" i="3"/>
  <c r="Q952" i="3" s="1"/>
  <c r="R952" i="3" s="1"/>
  <c r="S952" i="3" s="1"/>
  <c r="AA952" i="3"/>
  <c r="W951" i="3"/>
  <c r="L951" i="3"/>
  <c r="U951" i="3" l="1"/>
  <c r="Y950" i="3"/>
  <c r="T952" i="3"/>
  <c r="D952" i="3" l="1"/>
  <c r="G952" i="3" s="1"/>
  <c r="E952" i="3"/>
  <c r="H952" i="3" s="1"/>
  <c r="AH952" i="3"/>
  <c r="AG952" i="3"/>
  <c r="F952" i="3" l="1"/>
  <c r="I952" i="3"/>
  <c r="J952" i="3"/>
  <c r="M952" i="3"/>
  <c r="N952" i="3" s="1"/>
  <c r="K952" i="3"/>
  <c r="AE952" i="3" s="1"/>
  <c r="V952" i="3" l="1"/>
  <c r="W952" i="3" s="1"/>
  <c r="A953" i="3"/>
  <c r="B953" i="3" s="1"/>
  <c r="L952" i="3"/>
  <c r="U952" i="3" l="1"/>
  <c r="Y951" i="3"/>
  <c r="Z953" i="3"/>
  <c r="AA953" i="3"/>
  <c r="AD953" i="3"/>
  <c r="P953" i="3"/>
  <c r="Q953" i="3" s="1"/>
  <c r="R953" i="3" s="1"/>
  <c r="S953" i="3" s="1"/>
  <c r="AC953" i="3"/>
  <c r="T953" i="3" l="1"/>
  <c r="AG953" i="3" s="1"/>
  <c r="E953" i="3" l="1"/>
  <c r="H953" i="3" s="1"/>
  <c r="K953" i="3" s="1"/>
  <c r="AE953" i="3" s="1"/>
  <c r="AH953" i="3"/>
  <c r="D953" i="3"/>
  <c r="G953" i="3" s="1"/>
  <c r="F953" i="3" l="1"/>
  <c r="I953" i="3"/>
  <c r="J953" i="3"/>
  <c r="M953" i="3"/>
  <c r="N953" i="3" s="1"/>
  <c r="V953" i="3"/>
  <c r="A954" i="3"/>
  <c r="B954" i="3" s="1"/>
  <c r="W953" i="3" l="1"/>
  <c r="L953" i="3"/>
  <c r="AA954" i="3"/>
  <c r="P954" i="3"/>
  <c r="Q954" i="3" s="1"/>
  <c r="R954" i="3" s="1"/>
  <c r="S954" i="3" s="1"/>
  <c r="AC954" i="3"/>
  <c r="Z954" i="3"/>
  <c r="T954" i="3" l="1"/>
  <c r="U953" i="3"/>
  <c r="Y952" i="3"/>
  <c r="E954" i="3" l="1"/>
  <c r="H954" i="3" s="1"/>
  <c r="K954" i="3" s="1"/>
  <c r="AE954" i="3" s="1"/>
  <c r="AG954" i="3"/>
  <c r="AH954" i="3"/>
  <c r="D954" i="3"/>
  <c r="G954" i="3" s="1"/>
  <c r="F954" i="3" l="1"/>
  <c r="V954" i="3"/>
  <c r="A955" i="3"/>
  <c r="B955" i="3" s="1"/>
  <c r="I954" i="3"/>
  <c r="J954" i="3"/>
  <c r="AD954" i="3" s="1"/>
  <c r="M954" i="3"/>
  <c r="N954" i="3" s="1"/>
  <c r="W954" i="3" l="1"/>
  <c r="L954" i="3"/>
  <c r="P955" i="3"/>
  <c r="Q955" i="3" s="1"/>
  <c r="R955" i="3" s="1"/>
  <c r="S955" i="3" s="1"/>
  <c r="AA955" i="3"/>
  <c r="AD955" i="3"/>
  <c r="AC955" i="3"/>
  <c r="Z955" i="3"/>
  <c r="U954" i="3" l="1"/>
  <c r="Y953" i="3"/>
  <c r="T955" i="3"/>
  <c r="AG955" i="3" s="1"/>
  <c r="AH955" i="3" l="1"/>
  <c r="D955" i="3"/>
  <c r="E955" i="3"/>
  <c r="H955" i="3" s="1"/>
  <c r="F955" i="3" l="1"/>
  <c r="G955" i="3"/>
  <c r="K955" i="3"/>
  <c r="AE955" i="3" s="1"/>
  <c r="I955" i="3" l="1"/>
  <c r="J955" i="3"/>
  <c r="M955" i="3"/>
  <c r="N955" i="3" s="1"/>
  <c r="V955" i="3"/>
  <c r="A956" i="3"/>
  <c r="B956" i="3" s="1"/>
  <c r="W955" i="3" l="1"/>
  <c r="L955" i="3"/>
  <c r="AA956" i="3"/>
  <c r="P956" i="3"/>
  <c r="Q956" i="3" s="1"/>
  <c r="R956" i="3" s="1"/>
  <c r="S956" i="3" s="1"/>
  <c r="Z956" i="3"/>
  <c r="AD956" i="3"/>
  <c r="AC956" i="3"/>
  <c r="U955" i="3" l="1"/>
  <c r="Y954" i="3"/>
  <c r="T956" i="3"/>
  <c r="AH956" i="3" s="1"/>
  <c r="AG956" i="3" l="1"/>
  <c r="E956" i="3"/>
  <c r="H956" i="3" s="1"/>
  <c r="K956" i="3" s="1"/>
  <c r="AE956" i="3" s="1"/>
  <c r="D956" i="3"/>
  <c r="V956" i="3" l="1"/>
  <c r="A957" i="3"/>
  <c r="B957" i="3" s="1"/>
  <c r="F956" i="3"/>
  <c r="G956" i="3"/>
  <c r="I956" i="3" l="1"/>
  <c r="W956" i="3" s="1"/>
  <c r="J956" i="3"/>
  <c r="M956" i="3"/>
  <c r="N956" i="3" s="1"/>
  <c r="AA957" i="3"/>
  <c r="AD957" i="3"/>
  <c r="Z957" i="3"/>
  <c r="P957" i="3"/>
  <c r="Q957" i="3" s="1"/>
  <c r="R957" i="3" s="1"/>
  <c r="S957" i="3" s="1"/>
  <c r="AC957" i="3"/>
  <c r="T957" i="3" l="1"/>
  <c r="L956" i="3"/>
  <c r="AG957" i="3" l="1"/>
  <c r="U956" i="3"/>
  <c r="E957" i="3" s="1"/>
  <c r="H957" i="3" s="1"/>
  <c r="AH957" i="3"/>
  <c r="Y955" i="3"/>
  <c r="D957" i="3" l="1"/>
  <c r="G957" i="3" s="1"/>
  <c r="K957" i="3"/>
  <c r="AE957" i="3" s="1"/>
  <c r="F957" i="3" l="1"/>
  <c r="I957" i="3"/>
  <c r="J957" i="3"/>
  <c r="M957" i="3"/>
  <c r="N957" i="3" s="1"/>
  <c r="V957" i="3"/>
  <c r="A958" i="3"/>
  <c r="B958" i="3" s="1"/>
  <c r="W957" i="3" l="1"/>
  <c r="L957" i="3"/>
  <c r="AC958" i="3"/>
  <c r="AA958" i="3"/>
  <c r="P958" i="3"/>
  <c r="Q958" i="3" s="1"/>
  <c r="R958" i="3" s="1"/>
  <c r="S958" i="3" s="1"/>
  <c r="Z958" i="3"/>
  <c r="AD958" i="3"/>
  <c r="T958" i="3" l="1"/>
  <c r="AH958" i="3" s="1"/>
  <c r="U957" i="3"/>
  <c r="Y956" i="3"/>
  <c r="AG958" i="3" l="1"/>
  <c r="D958" i="3"/>
  <c r="E958" i="3"/>
  <c r="H958" i="3" s="1"/>
  <c r="K958" i="3" l="1"/>
  <c r="AE958" i="3" s="1"/>
  <c r="F958" i="3"/>
  <c r="G958" i="3"/>
  <c r="V958" i="3" l="1"/>
  <c r="A959" i="3"/>
  <c r="B959" i="3" s="1"/>
  <c r="I958" i="3"/>
  <c r="J958" i="3"/>
  <c r="M958" i="3"/>
  <c r="N958" i="3" s="1"/>
  <c r="W958" i="3" l="1"/>
  <c r="L958" i="3"/>
  <c r="Z959" i="3"/>
  <c r="AC959" i="3"/>
  <c r="P959" i="3"/>
  <c r="Q959" i="3" s="1"/>
  <c r="R959" i="3" s="1"/>
  <c r="S959" i="3" s="1"/>
  <c r="AA959" i="3"/>
  <c r="AD959" i="3"/>
  <c r="T959" i="3" l="1"/>
  <c r="AH959" i="3" s="1"/>
  <c r="U958" i="3"/>
  <c r="Y957" i="3"/>
  <c r="AG959" i="3" l="1"/>
  <c r="E959" i="3"/>
  <c r="H959" i="3" s="1"/>
  <c r="K959" i="3" s="1"/>
  <c r="AE959" i="3" s="1"/>
  <c r="D959" i="3"/>
  <c r="F959" i="3" l="1"/>
  <c r="G959" i="3"/>
  <c r="V959" i="3"/>
  <c r="A960" i="3"/>
  <c r="B960" i="3" s="1"/>
  <c r="AD960" i="3" l="1"/>
  <c r="Z960" i="3"/>
  <c r="AA960" i="3"/>
  <c r="P960" i="3"/>
  <c r="Q960" i="3" s="1"/>
  <c r="R960" i="3" s="1"/>
  <c r="S960" i="3" s="1"/>
  <c r="AC960" i="3"/>
  <c r="I959" i="3"/>
  <c r="W959" i="3" s="1"/>
  <c r="J959" i="3"/>
  <c r="M959" i="3"/>
  <c r="N959" i="3" s="1"/>
  <c r="T960" i="3" l="1"/>
  <c r="L959" i="3"/>
  <c r="U959" i="3" l="1"/>
  <c r="E960" i="3" s="1"/>
  <c r="H960" i="3" s="1"/>
  <c r="AG960" i="3"/>
  <c r="AH960" i="3"/>
  <c r="Y958" i="3"/>
  <c r="D960" i="3" l="1"/>
  <c r="G960" i="3" s="1"/>
  <c r="K960" i="3"/>
  <c r="AE960" i="3" s="1"/>
  <c r="F960" i="3" l="1"/>
  <c r="I960" i="3"/>
  <c r="J960" i="3"/>
  <c r="M960" i="3"/>
  <c r="N960" i="3" s="1"/>
  <c r="V960" i="3"/>
  <c r="A961" i="3"/>
  <c r="B961" i="3" s="1"/>
  <c r="W960" i="3" l="1"/>
  <c r="P961" i="3"/>
  <c r="Q961" i="3" s="1"/>
  <c r="R961" i="3" s="1"/>
  <c r="S961" i="3" s="1"/>
  <c r="AD961" i="3"/>
  <c r="AC961" i="3"/>
  <c r="Z961" i="3"/>
  <c r="AA961" i="3"/>
  <c r="L960" i="3"/>
  <c r="U960" i="3" l="1"/>
  <c r="Y959" i="3"/>
  <c r="T961" i="3"/>
  <c r="D961" i="3" l="1"/>
  <c r="G961" i="3" s="1"/>
  <c r="AH961" i="3"/>
  <c r="AG961" i="3"/>
  <c r="E961" i="3"/>
  <c r="H961" i="3" s="1"/>
  <c r="K961" i="3" l="1"/>
  <c r="AE961" i="3" s="1"/>
  <c r="I961" i="3"/>
  <c r="J961" i="3"/>
  <c r="M961" i="3"/>
  <c r="N961" i="3" s="1"/>
  <c r="F961" i="3"/>
  <c r="L961" i="3" l="1"/>
  <c r="V961" i="3"/>
  <c r="W961" i="3" s="1"/>
  <c r="A962" i="3"/>
  <c r="B962" i="3" s="1"/>
  <c r="Z962" i="3" l="1"/>
  <c r="AA962" i="3"/>
  <c r="P962" i="3"/>
  <c r="Q962" i="3" s="1"/>
  <c r="R962" i="3" s="1"/>
  <c r="S962" i="3" s="1"/>
  <c r="AC962" i="3"/>
  <c r="AD962" i="3"/>
  <c r="U961" i="3"/>
  <c r="Y960" i="3"/>
  <c r="T962" i="3" l="1"/>
  <c r="E962" i="3" s="1"/>
  <c r="H962" i="3" s="1"/>
  <c r="AH962" i="3" l="1"/>
  <c r="K962" i="3"/>
  <c r="AE962" i="3" s="1"/>
  <c r="D962" i="3"/>
  <c r="AG962" i="3"/>
  <c r="V962" i="3" l="1"/>
  <c r="A963" i="3"/>
  <c r="B963" i="3" s="1"/>
  <c r="F962" i="3"/>
  <c r="G962" i="3"/>
  <c r="P963" i="3" l="1"/>
  <c r="Q963" i="3" s="1"/>
  <c r="R963" i="3" s="1"/>
  <c r="S963" i="3" s="1"/>
  <c r="AC963" i="3"/>
  <c r="Z963" i="3"/>
  <c r="AA963" i="3"/>
  <c r="AD963" i="3"/>
  <c r="I962" i="3"/>
  <c r="W962" i="3" s="1"/>
  <c r="J962" i="3"/>
  <c r="M962" i="3"/>
  <c r="N962" i="3" s="1"/>
  <c r="T963" i="3" l="1"/>
  <c r="L962" i="3"/>
  <c r="U962" i="3" l="1"/>
  <c r="E963" i="3" s="1"/>
  <c r="H963" i="3" s="1"/>
  <c r="AG963" i="3"/>
  <c r="AH963" i="3"/>
  <c r="Y961" i="3"/>
  <c r="D963" i="3" l="1"/>
  <c r="G963" i="3" s="1"/>
  <c r="K963" i="3"/>
  <c r="AE963" i="3" s="1"/>
  <c r="F963" i="3" l="1"/>
  <c r="I963" i="3"/>
  <c r="J963" i="3"/>
  <c r="M963" i="3"/>
  <c r="N963" i="3" s="1"/>
  <c r="V963" i="3"/>
  <c r="A964" i="3"/>
  <c r="B964" i="3" s="1"/>
  <c r="W963" i="3" l="1"/>
  <c r="L963" i="3"/>
  <c r="Z964" i="3"/>
  <c r="P964" i="3"/>
  <c r="Q964" i="3" s="1"/>
  <c r="R964" i="3" s="1"/>
  <c r="S964" i="3" s="1"/>
  <c r="AA964" i="3"/>
  <c r="AC964" i="3"/>
  <c r="U963" i="3" l="1"/>
  <c r="Y962" i="3"/>
  <c r="T964" i="3"/>
  <c r="D964" i="3" l="1"/>
  <c r="G964" i="3" s="1"/>
  <c r="E964" i="3"/>
  <c r="H964" i="3" s="1"/>
  <c r="K964" i="3" s="1"/>
  <c r="AE964" i="3" s="1"/>
  <c r="AH964" i="3"/>
  <c r="AG964" i="3"/>
  <c r="F964" i="3" l="1"/>
  <c r="I964" i="3"/>
  <c r="J964" i="3"/>
  <c r="AD964" i="3" s="1"/>
  <c r="M964" i="3"/>
  <c r="N964" i="3" s="1"/>
  <c r="V964" i="3"/>
  <c r="A965" i="3"/>
  <c r="B965" i="3" s="1"/>
  <c r="W964" i="3" l="1"/>
  <c r="L964" i="3"/>
  <c r="AC965" i="3"/>
  <c r="AD965" i="3"/>
  <c r="P965" i="3"/>
  <c r="Q965" i="3" s="1"/>
  <c r="R965" i="3" s="1"/>
  <c r="S965" i="3" s="1"/>
  <c r="AA965" i="3"/>
  <c r="Z965" i="3"/>
  <c r="U964" i="3" l="1"/>
  <c r="Y963" i="3"/>
  <c r="T965" i="3"/>
  <c r="AH965" i="3" s="1"/>
  <c r="AG965" i="3" l="1"/>
  <c r="E965" i="3"/>
  <c r="H965" i="3" s="1"/>
  <c r="D965" i="3"/>
  <c r="F965" i="3" l="1"/>
  <c r="G965" i="3"/>
  <c r="K965" i="3"/>
  <c r="AE965" i="3" s="1"/>
  <c r="V965" i="3" l="1"/>
  <c r="A966" i="3"/>
  <c r="B966" i="3" s="1"/>
  <c r="I965" i="3"/>
  <c r="J965" i="3"/>
  <c r="M965" i="3"/>
  <c r="N965" i="3" s="1"/>
  <c r="L965" i="3" l="1"/>
  <c r="P966" i="3"/>
  <c r="Q966" i="3" s="1"/>
  <c r="R966" i="3" s="1"/>
  <c r="S966" i="3" s="1"/>
  <c r="AD966" i="3"/>
  <c r="AA966" i="3"/>
  <c r="Z966" i="3"/>
  <c r="AC966" i="3"/>
  <c r="W965" i="3"/>
  <c r="T966" i="3" l="1"/>
  <c r="AG966" i="3" s="1"/>
  <c r="U965" i="3"/>
  <c r="Y964" i="3"/>
  <c r="E966" i="3" l="1"/>
  <c r="H966" i="3" s="1"/>
  <c r="D966" i="3"/>
  <c r="AH966" i="3"/>
  <c r="K966" i="3" l="1"/>
  <c r="AE966" i="3" s="1"/>
  <c r="F966" i="3"/>
  <c r="G966" i="3"/>
  <c r="I966" i="3" l="1"/>
  <c r="J966" i="3"/>
  <c r="M966" i="3"/>
  <c r="N966" i="3" s="1"/>
  <c r="V966" i="3"/>
  <c r="A967" i="3"/>
  <c r="B967" i="3" s="1"/>
  <c r="W966" i="3" l="1"/>
  <c r="L966" i="3"/>
  <c r="AA967" i="3"/>
  <c r="P967" i="3"/>
  <c r="Q967" i="3" s="1"/>
  <c r="R967" i="3" s="1"/>
  <c r="S967" i="3" s="1"/>
  <c r="AC967" i="3"/>
  <c r="Z967" i="3"/>
  <c r="AD967" i="3"/>
  <c r="U966" i="3" l="1"/>
  <c r="Y965" i="3"/>
  <c r="T967" i="3"/>
  <c r="E967" i="3" l="1"/>
  <c r="H967" i="3" s="1"/>
  <c r="K967" i="3" s="1"/>
  <c r="AE967" i="3" s="1"/>
  <c r="AH967" i="3"/>
  <c r="AG967" i="3"/>
  <c r="D967" i="3"/>
  <c r="V967" i="3" l="1"/>
  <c r="A968" i="3"/>
  <c r="B968" i="3" s="1"/>
  <c r="F967" i="3"/>
  <c r="G967" i="3"/>
  <c r="I967" i="3" l="1"/>
  <c r="W967" i="3" s="1"/>
  <c r="J967" i="3"/>
  <c r="M967" i="3"/>
  <c r="N967" i="3" s="1"/>
  <c r="Z968" i="3"/>
  <c r="AA968" i="3"/>
  <c r="P968" i="3"/>
  <c r="Q968" i="3" s="1"/>
  <c r="R968" i="3" s="1"/>
  <c r="S968" i="3" s="1"/>
  <c r="AC968" i="3"/>
  <c r="AD968" i="3"/>
  <c r="L967" i="3" l="1"/>
  <c r="T968" i="3"/>
  <c r="AH968" i="3" l="1"/>
  <c r="AG968" i="3"/>
  <c r="U967" i="3"/>
  <c r="E968" i="3" s="1"/>
  <c r="H968" i="3" s="1"/>
  <c r="Y966" i="3"/>
  <c r="K968" i="3" l="1"/>
  <c r="AE968" i="3" s="1"/>
  <c r="D968" i="3"/>
  <c r="V968" i="3" l="1"/>
  <c r="A969" i="3"/>
  <c r="B969" i="3" s="1"/>
  <c r="F968" i="3"/>
  <c r="G968" i="3"/>
  <c r="I968" i="3" l="1"/>
  <c r="W968" i="3" s="1"/>
  <c r="J968" i="3"/>
  <c r="M968" i="3"/>
  <c r="N968" i="3" s="1"/>
  <c r="AA969" i="3"/>
  <c r="Z969" i="3"/>
  <c r="AD969" i="3"/>
  <c r="P969" i="3"/>
  <c r="Q969" i="3" s="1"/>
  <c r="R969" i="3" s="1"/>
  <c r="S969" i="3" s="1"/>
  <c r="AC969" i="3"/>
  <c r="T969" i="3" l="1"/>
  <c r="L968" i="3"/>
  <c r="AH969" i="3" l="1"/>
  <c r="U968" i="3"/>
  <c r="D969" i="3" s="1"/>
  <c r="AG969" i="3"/>
  <c r="Y967" i="3"/>
  <c r="G969" i="3" l="1"/>
  <c r="E969" i="3"/>
  <c r="H969" i="3" s="1"/>
  <c r="F969" i="3" l="1"/>
  <c r="I969" i="3"/>
  <c r="J969" i="3"/>
  <c r="M969" i="3"/>
  <c r="N969" i="3" s="1"/>
  <c r="K969" i="3"/>
  <c r="AE969" i="3" s="1"/>
  <c r="V969" i="3" l="1"/>
  <c r="W969" i="3" s="1"/>
  <c r="A970" i="3"/>
  <c r="B970" i="3" s="1"/>
  <c r="L969" i="3"/>
  <c r="U969" i="3" l="1"/>
  <c r="Y968" i="3"/>
  <c r="AA970" i="3"/>
  <c r="P970" i="3"/>
  <c r="Q970" i="3" s="1"/>
  <c r="R970" i="3" s="1"/>
  <c r="S970" i="3" s="1"/>
  <c r="AC970" i="3"/>
  <c r="Z970" i="3"/>
  <c r="AD970" i="3"/>
  <c r="T970" i="3" l="1"/>
  <c r="E970" i="3" s="1"/>
  <c r="H970" i="3" s="1"/>
  <c r="AH970" i="3" l="1"/>
  <c r="K970" i="3"/>
  <c r="AE970" i="3" s="1"/>
  <c r="D970" i="3"/>
  <c r="AG970" i="3"/>
  <c r="V970" i="3" l="1"/>
  <c r="A971" i="3"/>
  <c r="B971" i="3" s="1"/>
  <c r="F970" i="3"/>
  <c r="G970" i="3"/>
  <c r="I970" i="3" l="1"/>
  <c r="W970" i="3" s="1"/>
  <c r="J970" i="3"/>
  <c r="M970" i="3"/>
  <c r="N970" i="3" s="1"/>
  <c r="P971" i="3"/>
  <c r="Q971" i="3" s="1"/>
  <c r="R971" i="3" s="1"/>
  <c r="S971" i="3" s="1"/>
  <c r="AD971" i="3"/>
  <c r="Z971" i="3"/>
  <c r="AC971" i="3"/>
  <c r="AA971" i="3"/>
  <c r="T971" i="3" l="1"/>
  <c r="L970" i="3"/>
  <c r="U970" i="3" l="1"/>
  <c r="E971" i="3" s="1"/>
  <c r="H971" i="3" s="1"/>
  <c r="AH971" i="3"/>
  <c r="AG971" i="3"/>
  <c r="Y969" i="3"/>
  <c r="K971" i="3" l="1"/>
  <c r="AE971" i="3" s="1"/>
  <c r="D971" i="3"/>
  <c r="V971" i="3" l="1"/>
  <c r="A972" i="3"/>
  <c r="B972" i="3" s="1"/>
  <c r="F971" i="3"/>
  <c r="G971" i="3"/>
  <c r="I971" i="3" l="1"/>
  <c r="W971" i="3" s="1"/>
  <c r="J971" i="3"/>
  <c r="M971" i="3"/>
  <c r="N971" i="3" s="1"/>
  <c r="AC972" i="3"/>
  <c r="AD972" i="3"/>
  <c r="Z972" i="3"/>
  <c r="P972" i="3"/>
  <c r="Q972" i="3" s="1"/>
  <c r="R972" i="3" s="1"/>
  <c r="S972" i="3" s="1"/>
  <c r="AA972" i="3"/>
  <c r="T972" i="3" l="1"/>
  <c r="L971" i="3"/>
  <c r="U971" i="3" l="1"/>
  <c r="D972" i="3" s="1"/>
  <c r="AH972" i="3"/>
  <c r="AG972" i="3"/>
  <c r="Y970" i="3"/>
  <c r="E972" i="3" l="1"/>
  <c r="H972" i="3" s="1"/>
  <c r="K972" i="3" s="1"/>
  <c r="AE972" i="3" s="1"/>
  <c r="G972" i="3"/>
  <c r="F972" i="3" l="1"/>
  <c r="V972" i="3"/>
  <c r="A973" i="3"/>
  <c r="B973" i="3" s="1"/>
  <c r="I972" i="3"/>
  <c r="J972" i="3"/>
  <c r="M972" i="3"/>
  <c r="N972" i="3" s="1"/>
  <c r="W972" i="3" l="1"/>
  <c r="L972" i="3"/>
  <c r="AC973" i="3"/>
  <c r="P973" i="3"/>
  <c r="Q973" i="3" s="1"/>
  <c r="R973" i="3" s="1"/>
  <c r="S973" i="3" s="1"/>
  <c r="Z973" i="3"/>
  <c r="AD973" i="3"/>
  <c r="AA973" i="3"/>
  <c r="U972" i="3" l="1"/>
  <c r="Y971" i="3"/>
  <c r="T973" i="3"/>
  <c r="AG973" i="3" s="1"/>
  <c r="D973" i="3" l="1"/>
  <c r="G973" i="3" s="1"/>
  <c r="E973" i="3"/>
  <c r="H973" i="3" s="1"/>
  <c r="K973" i="3" s="1"/>
  <c r="AE973" i="3" s="1"/>
  <c r="AH973" i="3"/>
  <c r="F973" i="3" l="1"/>
  <c r="I973" i="3"/>
  <c r="J973" i="3"/>
  <c r="M973" i="3"/>
  <c r="N973" i="3" s="1"/>
  <c r="V973" i="3"/>
  <c r="A974" i="3"/>
  <c r="B974" i="3" s="1"/>
  <c r="W973" i="3" l="1"/>
  <c r="L973" i="3"/>
  <c r="P974" i="3"/>
  <c r="Q974" i="3" s="1"/>
  <c r="R974" i="3" s="1"/>
  <c r="S974" i="3" s="1"/>
  <c r="AA974" i="3"/>
  <c r="Z974" i="3"/>
  <c r="AC974" i="3"/>
  <c r="T974" i="3" l="1"/>
  <c r="AG974" i="3" s="1"/>
  <c r="U973" i="3"/>
  <c r="Y972" i="3"/>
  <c r="AH974" i="3" l="1"/>
  <c r="E974" i="3"/>
  <c r="H974" i="3" s="1"/>
  <c r="D974" i="3"/>
  <c r="K974" i="3" l="1"/>
  <c r="AE974" i="3" s="1"/>
  <c r="F974" i="3"/>
  <c r="G974" i="3"/>
  <c r="I974" i="3" l="1"/>
  <c r="J974" i="3"/>
  <c r="AD974" i="3" s="1"/>
  <c r="M974" i="3"/>
  <c r="N974" i="3" s="1"/>
  <c r="V974" i="3"/>
  <c r="A975" i="3"/>
  <c r="B975" i="3" s="1"/>
  <c r="W974" i="3" l="1"/>
  <c r="L974" i="3"/>
  <c r="AD975" i="3"/>
  <c r="P975" i="3"/>
  <c r="Q975" i="3" s="1"/>
  <c r="R975" i="3" s="1"/>
  <c r="S975" i="3" s="1"/>
  <c r="AC975" i="3"/>
  <c r="Z975" i="3"/>
  <c r="AA975" i="3"/>
  <c r="U974" i="3" l="1"/>
  <c r="Y973" i="3"/>
  <c r="T975" i="3"/>
  <c r="D975" i="3" l="1"/>
  <c r="G975" i="3" s="1"/>
  <c r="AH975" i="3"/>
  <c r="E975" i="3"/>
  <c r="H975" i="3" s="1"/>
  <c r="K975" i="3" s="1"/>
  <c r="AE975" i="3" s="1"/>
  <c r="AG975" i="3"/>
  <c r="F975" i="3" l="1"/>
  <c r="V975" i="3"/>
  <c r="A976" i="3"/>
  <c r="B976" i="3" s="1"/>
  <c r="I975" i="3"/>
  <c r="J975" i="3"/>
  <c r="M975" i="3"/>
  <c r="N975" i="3" s="1"/>
  <c r="W975" i="3" l="1"/>
  <c r="L975" i="3"/>
  <c r="AA976" i="3"/>
  <c r="AC976" i="3"/>
  <c r="Z976" i="3"/>
  <c r="AD976" i="3"/>
  <c r="P976" i="3"/>
  <c r="Q976" i="3" s="1"/>
  <c r="R976" i="3" s="1"/>
  <c r="S976" i="3" s="1"/>
  <c r="U975" i="3" l="1"/>
  <c r="Y974" i="3"/>
  <c r="T976" i="3"/>
  <c r="AG976" i="3" s="1"/>
  <c r="AH976" i="3" l="1"/>
  <c r="E976" i="3"/>
  <c r="H976" i="3" s="1"/>
  <c r="D976" i="3"/>
  <c r="K976" i="3" l="1"/>
  <c r="AE976" i="3" s="1"/>
  <c r="F976" i="3"/>
  <c r="G976" i="3"/>
  <c r="I976" i="3" l="1"/>
  <c r="J976" i="3"/>
  <c r="M976" i="3"/>
  <c r="N976" i="3" s="1"/>
  <c r="V976" i="3"/>
  <c r="A977" i="3"/>
  <c r="B977" i="3" s="1"/>
  <c r="W976" i="3" l="1"/>
  <c r="L976" i="3"/>
  <c r="Z977" i="3"/>
  <c r="P977" i="3"/>
  <c r="Q977" i="3" s="1"/>
  <c r="R977" i="3" s="1"/>
  <c r="S977" i="3" s="1"/>
  <c r="AC977" i="3"/>
  <c r="AA977" i="3"/>
  <c r="AD977" i="3"/>
  <c r="T977" i="3" l="1"/>
  <c r="U976" i="3"/>
  <c r="Y975" i="3"/>
  <c r="E977" i="3" l="1"/>
  <c r="H977" i="3" s="1"/>
  <c r="K977" i="3" s="1"/>
  <c r="AE977" i="3" s="1"/>
  <c r="AG977" i="3"/>
  <c r="D977" i="3"/>
  <c r="G977" i="3" s="1"/>
  <c r="AH977" i="3"/>
  <c r="F977" i="3" l="1"/>
  <c r="I977" i="3"/>
  <c r="J977" i="3"/>
  <c r="M977" i="3"/>
  <c r="N977" i="3" s="1"/>
  <c r="V977" i="3"/>
  <c r="A978" i="3"/>
  <c r="B978" i="3" s="1"/>
  <c r="W977" i="3" l="1"/>
  <c r="L977" i="3"/>
  <c r="AC978" i="3"/>
  <c r="AD978" i="3"/>
  <c r="Z978" i="3"/>
  <c r="AA978" i="3"/>
  <c r="P978" i="3"/>
  <c r="Q978" i="3" s="1"/>
  <c r="R978" i="3" s="1"/>
  <c r="S978" i="3" s="1"/>
  <c r="T978" i="3" l="1"/>
  <c r="U977" i="3"/>
  <c r="Y976" i="3"/>
  <c r="D978" i="3" l="1"/>
  <c r="G978" i="3" s="1"/>
  <c r="E978" i="3"/>
  <c r="H978" i="3" s="1"/>
  <c r="K978" i="3" s="1"/>
  <c r="AE978" i="3" s="1"/>
  <c r="AH978" i="3"/>
  <c r="AG978" i="3"/>
  <c r="F978" i="3" l="1"/>
  <c r="I978" i="3"/>
  <c r="J978" i="3"/>
  <c r="M978" i="3"/>
  <c r="N978" i="3" s="1"/>
  <c r="V978" i="3"/>
  <c r="A979" i="3"/>
  <c r="B979" i="3" s="1"/>
  <c r="W978" i="3" l="1"/>
  <c r="L978" i="3"/>
  <c r="AC979" i="3"/>
  <c r="AA979" i="3"/>
  <c r="AD979" i="3"/>
  <c r="Z979" i="3"/>
  <c r="P979" i="3"/>
  <c r="Q979" i="3" s="1"/>
  <c r="R979" i="3" s="1"/>
  <c r="S979" i="3" s="1"/>
  <c r="T979" i="3" l="1"/>
  <c r="U978" i="3"/>
  <c r="Y977" i="3"/>
  <c r="D979" i="3" l="1"/>
  <c r="G979" i="3" s="1"/>
  <c r="AH979" i="3"/>
  <c r="E979" i="3"/>
  <c r="H979" i="3" s="1"/>
  <c r="K979" i="3" s="1"/>
  <c r="AE979" i="3" s="1"/>
  <c r="AG979" i="3"/>
  <c r="F979" i="3" l="1"/>
  <c r="V979" i="3"/>
  <c r="A980" i="3"/>
  <c r="B980" i="3" s="1"/>
  <c r="I979" i="3"/>
  <c r="J979" i="3"/>
  <c r="M979" i="3"/>
  <c r="N979" i="3" s="1"/>
  <c r="W979" i="3" l="1"/>
  <c r="L979" i="3"/>
  <c r="P980" i="3"/>
  <c r="Q980" i="3" s="1"/>
  <c r="R980" i="3" s="1"/>
  <c r="S980" i="3" s="1"/>
  <c r="AA980" i="3"/>
  <c r="AD980" i="3"/>
  <c r="AC980" i="3"/>
  <c r="Z980" i="3"/>
  <c r="U979" i="3" l="1"/>
  <c r="Y978" i="3"/>
  <c r="T980" i="3"/>
  <c r="AH980" i="3" s="1"/>
  <c r="D980" i="3" l="1"/>
  <c r="G980" i="3" s="1"/>
  <c r="E980" i="3"/>
  <c r="H980" i="3" s="1"/>
  <c r="K980" i="3" s="1"/>
  <c r="AE980" i="3" s="1"/>
  <c r="AG980" i="3"/>
  <c r="F980" i="3" l="1"/>
  <c r="I980" i="3"/>
  <c r="J980" i="3"/>
  <c r="M980" i="3"/>
  <c r="N980" i="3" s="1"/>
  <c r="V980" i="3"/>
  <c r="A981" i="3"/>
  <c r="B981" i="3" s="1"/>
  <c r="W980" i="3" l="1"/>
  <c r="L980" i="3"/>
  <c r="AD981" i="3"/>
  <c r="AA981" i="3"/>
  <c r="AC981" i="3"/>
  <c r="Z981" i="3"/>
  <c r="P981" i="3"/>
  <c r="Q981" i="3" s="1"/>
  <c r="R981" i="3" s="1"/>
  <c r="S981" i="3" s="1"/>
  <c r="U980" i="3" l="1"/>
  <c r="Y979" i="3"/>
  <c r="T981" i="3"/>
  <c r="AH981" i="3" s="1"/>
  <c r="D981" i="3" l="1"/>
  <c r="G981" i="3" s="1"/>
  <c r="AG981" i="3"/>
  <c r="E981" i="3"/>
  <c r="H981" i="3" s="1"/>
  <c r="F981" i="3" l="1"/>
  <c r="I981" i="3"/>
  <c r="J981" i="3"/>
  <c r="M981" i="3"/>
  <c r="N981" i="3" s="1"/>
  <c r="K981" i="3"/>
  <c r="AE981" i="3" s="1"/>
  <c r="V981" i="3" l="1"/>
  <c r="W981" i="3" s="1"/>
  <c r="A982" i="3"/>
  <c r="B982" i="3" s="1"/>
  <c r="L981" i="3"/>
  <c r="U981" i="3" l="1"/>
  <c r="Y980" i="3"/>
  <c r="P982" i="3"/>
  <c r="Q982" i="3" s="1"/>
  <c r="R982" i="3" s="1"/>
  <c r="S982" i="3" s="1"/>
  <c r="AD982" i="3"/>
  <c r="AC982" i="3"/>
  <c r="AA982" i="3"/>
  <c r="Z982" i="3"/>
  <c r="T982" i="3" l="1"/>
  <c r="E982" i="3" s="1"/>
  <c r="H982" i="3" s="1"/>
  <c r="AG982" i="3" l="1"/>
  <c r="AH982" i="3"/>
  <c r="D982" i="3"/>
  <c r="G982" i="3" s="1"/>
  <c r="K982" i="3"/>
  <c r="AE982" i="3" s="1"/>
  <c r="F982" i="3" l="1"/>
  <c r="I982" i="3"/>
  <c r="J982" i="3"/>
  <c r="M982" i="3"/>
  <c r="N982" i="3" s="1"/>
  <c r="V982" i="3"/>
  <c r="A983" i="3"/>
  <c r="B983" i="3" s="1"/>
  <c r="W982" i="3" l="1"/>
  <c r="L982" i="3"/>
  <c r="AD983" i="3"/>
  <c r="Z983" i="3"/>
  <c r="P983" i="3"/>
  <c r="Q983" i="3" s="1"/>
  <c r="R983" i="3" s="1"/>
  <c r="S983" i="3" s="1"/>
  <c r="AA983" i="3"/>
  <c r="AC983" i="3"/>
  <c r="U982" i="3" l="1"/>
  <c r="Y981" i="3"/>
  <c r="T983" i="3"/>
  <c r="AG983" i="3" s="1"/>
  <c r="E983" i="3" l="1"/>
  <c r="H983" i="3" s="1"/>
  <c r="K983" i="3" s="1"/>
  <c r="AE983" i="3" s="1"/>
  <c r="D983" i="3"/>
  <c r="AH983" i="3"/>
  <c r="F983" i="3" l="1"/>
  <c r="G983" i="3"/>
  <c r="M983" i="3" s="1"/>
  <c r="N983" i="3" s="1"/>
  <c r="V983" i="3"/>
  <c r="A984" i="3"/>
  <c r="B984" i="3" s="1"/>
  <c r="I983" i="3" l="1"/>
  <c r="W983" i="3" s="1"/>
  <c r="J983" i="3"/>
  <c r="L983" i="3" s="1"/>
  <c r="P984" i="3"/>
  <c r="Q984" i="3" s="1"/>
  <c r="R984" i="3" s="1"/>
  <c r="S984" i="3" s="1"/>
  <c r="AA984" i="3"/>
  <c r="Z984" i="3"/>
  <c r="AC984" i="3"/>
  <c r="U983" i="3" l="1"/>
  <c r="Y982" i="3"/>
  <c r="T984" i="3"/>
  <c r="E984" i="3" l="1"/>
  <c r="H984" i="3" s="1"/>
  <c r="K984" i="3" s="1"/>
  <c r="AE984" i="3" s="1"/>
  <c r="AG984" i="3"/>
  <c r="D984" i="3"/>
  <c r="AH984" i="3"/>
  <c r="F984" i="3" l="1"/>
  <c r="G984" i="3"/>
  <c r="V984" i="3"/>
  <c r="A985" i="3"/>
  <c r="B985" i="3" s="1"/>
  <c r="AA985" i="3" l="1"/>
  <c r="Z985" i="3"/>
  <c r="P985" i="3"/>
  <c r="Q985" i="3" s="1"/>
  <c r="R985" i="3" s="1"/>
  <c r="S985" i="3" s="1"/>
  <c r="AD985" i="3"/>
  <c r="AC985" i="3"/>
  <c r="I984" i="3"/>
  <c r="W984" i="3" s="1"/>
  <c r="J984" i="3"/>
  <c r="AD984" i="3" s="1"/>
  <c r="M984" i="3"/>
  <c r="N984" i="3" s="1"/>
  <c r="T985" i="3" l="1"/>
  <c r="L984" i="3"/>
  <c r="AG985" i="3" l="1"/>
  <c r="AH985" i="3"/>
  <c r="U984" i="3"/>
  <c r="D985" i="3" s="1"/>
  <c r="Y983" i="3"/>
  <c r="G985" i="3" l="1"/>
  <c r="E985" i="3"/>
  <c r="H985" i="3" s="1"/>
  <c r="I985" i="3" l="1"/>
  <c r="J985" i="3"/>
  <c r="M985" i="3"/>
  <c r="N985" i="3" s="1"/>
  <c r="F985" i="3"/>
  <c r="K985" i="3"/>
  <c r="AE985" i="3" s="1"/>
  <c r="L985" i="3" l="1"/>
  <c r="V985" i="3"/>
  <c r="W985" i="3" s="1"/>
  <c r="A986" i="3"/>
  <c r="B986" i="3" s="1"/>
  <c r="U985" i="3" l="1"/>
  <c r="Y984" i="3"/>
  <c r="AC986" i="3"/>
  <c r="P986" i="3"/>
  <c r="Q986" i="3" s="1"/>
  <c r="R986" i="3" s="1"/>
  <c r="S986" i="3" s="1"/>
  <c r="Z986" i="3"/>
  <c r="AD986" i="3"/>
  <c r="AA986" i="3"/>
  <c r="T986" i="3" l="1"/>
  <c r="E986" i="3" s="1"/>
  <c r="H986" i="3" s="1"/>
  <c r="AG986" i="3" l="1"/>
  <c r="K986" i="3"/>
  <c r="AE986" i="3" s="1"/>
  <c r="AH986" i="3"/>
  <c r="D986" i="3"/>
  <c r="F986" i="3" l="1"/>
  <c r="G986" i="3"/>
  <c r="V986" i="3"/>
  <c r="A987" i="3"/>
  <c r="B987" i="3" s="1"/>
  <c r="Z987" i="3" l="1"/>
  <c r="AC987" i="3"/>
  <c r="P987" i="3"/>
  <c r="Q987" i="3" s="1"/>
  <c r="R987" i="3" s="1"/>
  <c r="S987" i="3" s="1"/>
  <c r="AD987" i="3"/>
  <c r="AA987" i="3"/>
  <c r="I986" i="3"/>
  <c r="W986" i="3" s="1"/>
  <c r="J986" i="3"/>
  <c r="M986" i="3"/>
  <c r="N986" i="3" s="1"/>
  <c r="L986" i="3" l="1"/>
  <c r="T987" i="3"/>
  <c r="U986" i="3" l="1"/>
  <c r="E987" i="3" s="1"/>
  <c r="H987" i="3" s="1"/>
  <c r="AH987" i="3"/>
  <c r="AG987" i="3"/>
  <c r="Y985" i="3"/>
  <c r="K987" i="3" l="1"/>
  <c r="AE987" i="3" s="1"/>
  <c r="D987" i="3"/>
  <c r="V987" i="3" l="1"/>
  <c r="A988" i="3"/>
  <c r="B988" i="3" s="1"/>
  <c r="F987" i="3"/>
  <c r="G987" i="3"/>
  <c r="I987" i="3" l="1"/>
  <c r="W987" i="3" s="1"/>
  <c r="J987" i="3"/>
  <c r="M987" i="3"/>
  <c r="N987" i="3" s="1"/>
  <c r="AC988" i="3"/>
  <c r="Z988" i="3"/>
  <c r="AD988" i="3"/>
  <c r="AA988" i="3"/>
  <c r="P988" i="3"/>
  <c r="Q988" i="3" s="1"/>
  <c r="R988" i="3" s="1"/>
  <c r="S988" i="3" s="1"/>
  <c r="L987" i="3" l="1"/>
  <c r="T988" i="3"/>
  <c r="AH988" i="3" l="1"/>
  <c r="U987" i="3"/>
  <c r="E988" i="3" s="1"/>
  <c r="H988" i="3" s="1"/>
  <c r="AG988" i="3"/>
  <c r="Y986" i="3"/>
  <c r="D988" i="3" l="1"/>
  <c r="G988" i="3" s="1"/>
  <c r="K988" i="3"/>
  <c r="AE988" i="3" s="1"/>
  <c r="F988" i="3" l="1"/>
  <c r="I988" i="3"/>
  <c r="J988" i="3"/>
  <c r="M988" i="3"/>
  <c r="N988" i="3" s="1"/>
  <c r="V988" i="3"/>
  <c r="A989" i="3"/>
  <c r="B989" i="3" s="1"/>
  <c r="W988" i="3" l="1"/>
  <c r="L988" i="3"/>
  <c r="AC989" i="3"/>
  <c r="AD989" i="3"/>
  <c r="P989" i="3"/>
  <c r="Q989" i="3" s="1"/>
  <c r="R989" i="3" s="1"/>
  <c r="S989" i="3" s="1"/>
  <c r="Z989" i="3"/>
  <c r="AA989" i="3"/>
  <c r="T989" i="3" l="1"/>
  <c r="U988" i="3"/>
  <c r="Y987" i="3"/>
  <c r="D989" i="3" l="1"/>
  <c r="G989" i="3" s="1"/>
  <c r="AG989" i="3"/>
  <c r="E989" i="3"/>
  <c r="H989" i="3" s="1"/>
  <c r="AH989" i="3"/>
  <c r="F989" i="3" l="1"/>
  <c r="I989" i="3"/>
  <c r="J989" i="3"/>
  <c r="M989" i="3"/>
  <c r="N989" i="3" s="1"/>
  <c r="K989" i="3"/>
  <c r="AE989" i="3" s="1"/>
  <c r="L989" i="3" l="1"/>
  <c r="V989" i="3"/>
  <c r="W989" i="3" s="1"/>
  <c r="A990" i="3"/>
  <c r="B990" i="3" s="1"/>
  <c r="U989" i="3" l="1"/>
  <c r="Y988" i="3"/>
  <c r="AC990" i="3"/>
  <c r="AD990" i="3"/>
  <c r="AA990" i="3"/>
  <c r="Z990" i="3"/>
  <c r="P990" i="3"/>
  <c r="Q990" i="3" s="1"/>
  <c r="R990" i="3" s="1"/>
  <c r="S990" i="3" s="1"/>
  <c r="T990" i="3" l="1"/>
  <c r="E990" i="3" s="1"/>
  <c r="H990" i="3" s="1"/>
  <c r="AH990" i="3" l="1"/>
  <c r="D990" i="3"/>
  <c r="G990" i="3" s="1"/>
  <c r="AG990" i="3"/>
  <c r="K990" i="3"/>
  <c r="AE990" i="3" s="1"/>
  <c r="F990" i="3" l="1"/>
  <c r="V990" i="3"/>
  <c r="A991" i="3"/>
  <c r="B991" i="3" s="1"/>
  <c r="I990" i="3"/>
  <c r="J990" i="3"/>
  <c r="M990" i="3"/>
  <c r="N990" i="3" s="1"/>
  <c r="L990" i="3" l="1"/>
  <c r="W990" i="3"/>
  <c r="AA991" i="3"/>
  <c r="AD991" i="3"/>
  <c r="P991" i="3"/>
  <c r="Q991" i="3" s="1"/>
  <c r="R991" i="3" s="1"/>
  <c r="S991" i="3" s="1"/>
  <c r="Z991" i="3"/>
  <c r="AC991" i="3"/>
  <c r="U990" i="3" l="1"/>
  <c r="Y989" i="3"/>
  <c r="T991" i="3"/>
  <c r="D991" i="3" l="1"/>
  <c r="G991" i="3" s="1"/>
  <c r="E991" i="3"/>
  <c r="H991" i="3" s="1"/>
  <c r="K991" i="3" s="1"/>
  <c r="AE991" i="3" s="1"/>
  <c r="AG991" i="3"/>
  <c r="AH991" i="3"/>
  <c r="F991" i="3" l="1"/>
  <c r="V991" i="3"/>
  <c r="A992" i="3"/>
  <c r="B992" i="3" s="1"/>
  <c r="I991" i="3"/>
  <c r="J991" i="3"/>
  <c r="M991" i="3"/>
  <c r="N991" i="3" s="1"/>
  <c r="W991" i="3" l="1"/>
  <c r="L991" i="3"/>
  <c r="AC992" i="3"/>
  <c r="AD992" i="3"/>
  <c r="Z992" i="3"/>
  <c r="AA992" i="3"/>
  <c r="P992" i="3"/>
  <c r="Q992" i="3" s="1"/>
  <c r="R992" i="3" s="1"/>
  <c r="S992" i="3" s="1"/>
  <c r="U991" i="3" l="1"/>
  <c r="Y990" i="3"/>
  <c r="T992" i="3"/>
  <c r="AG992" i="3" s="1"/>
  <c r="D992" i="3" l="1"/>
  <c r="AH992" i="3"/>
  <c r="E992" i="3"/>
  <c r="H992" i="3" s="1"/>
  <c r="K992" i="3" s="1"/>
  <c r="AE992" i="3" s="1"/>
  <c r="F992" i="3" l="1"/>
  <c r="G992" i="3"/>
  <c r="M992" i="3" s="1"/>
  <c r="N992" i="3" s="1"/>
  <c r="V992" i="3"/>
  <c r="A993" i="3"/>
  <c r="B993" i="3" s="1"/>
  <c r="I992" i="3" l="1"/>
  <c r="W992" i="3" s="1"/>
  <c r="J992" i="3"/>
  <c r="L992" i="3" s="1"/>
  <c r="AD993" i="3"/>
  <c r="Z993" i="3"/>
  <c r="AA993" i="3"/>
  <c r="P993" i="3"/>
  <c r="Q993" i="3" s="1"/>
  <c r="R993" i="3" s="1"/>
  <c r="S993" i="3" s="1"/>
  <c r="AC993" i="3"/>
  <c r="U992" i="3" l="1"/>
  <c r="Y991" i="3"/>
  <c r="T993" i="3"/>
  <c r="AH993" i="3" s="1"/>
  <c r="D993" i="3" l="1"/>
  <c r="G993" i="3" s="1"/>
  <c r="E993" i="3"/>
  <c r="H993" i="3" s="1"/>
  <c r="K993" i="3" s="1"/>
  <c r="AE993" i="3" s="1"/>
  <c r="AG993" i="3"/>
  <c r="F993" i="3" l="1"/>
  <c r="V993" i="3"/>
  <c r="A994" i="3"/>
  <c r="B994" i="3" s="1"/>
  <c r="I993" i="3"/>
  <c r="J993" i="3"/>
  <c r="M993" i="3"/>
  <c r="N993" i="3" s="1"/>
  <c r="L993" i="3" l="1"/>
  <c r="W993" i="3"/>
  <c r="AA994" i="3"/>
  <c r="P994" i="3"/>
  <c r="Q994" i="3" s="1"/>
  <c r="R994" i="3" s="1"/>
  <c r="S994" i="3" s="1"/>
  <c r="Z994" i="3"/>
  <c r="AC994" i="3"/>
  <c r="U993" i="3" l="1"/>
  <c r="Y992" i="3"/>
  <c r="T994" i="3"/>
  <c r="AH994" i="3" s="1"/>
  <c r="E994" i="3" l="1"/>
  <c r="H994" i="3" s="1"/>
  <c r="K994" i="3" s="1"/>
  <c r="AE994" i="3" s="1"/>
  <c r="D994" i="3"/>
  <c r="AG994" i="3"/>
  <c r="F994" i="3" l="1"/>
  <c r="G994" i="3"/>
  <c r="J994" i="3" s="1"/>
  <c r="AD994" i="3" s="1"/>
  <c r="V994" i="3"/>
  <c r="A995" i="3"/>
  <c r="B995" i="3" s="1"/>
  <c r="M994" i="3" l="1"/>
  <c r="N994" i="3" s="1"/>
  <c r="I994" i="3"/>
  <c r="W994" i="3" s="1"/>
  <c r="L994" i="3"/>
  <c r="AA995" i="3"/>
  <c r="AD995" i="3"/>
  <c r="P995" i="3"/>
  <c r="Q995" i="3" s="1"/>
  <c r="R995" i="3" s="1"/>
  <c r="S995" i="3" s="1"/>
  <c r="AC995" i="3"/>
  <c r="Z995" i="3"/>
  <c r="T995" i="3" l="1"/>
  <c r="U994" i="3"/>
  <c r="Y993" i="3"/>
  <c r="D995" i="3" l="1"/>
  <c r="G995" i="3" s="1"/>
  <c r="E995" i="3"/>
  <c r="H995" i="3" s="1"/>
  <c r="K995" i="3" s="1"/>
  <c r="AE995" i="3" s="1"/>
  <c r="AH995" i="3"/>
  <c r="AG995" i="3"/>
  <c r="F995" i="3" l="1"/>
  <c r="I995" i="3"/>
  <c r="J995" i="3"/>
  <c r="M995" i="3"/>
  <c r="N995" i="3" s="1"/>
  <c r="V995" i="3"/>
  <c r="A996" i="3"/>
  <c r="B996" i="3" s="1"/>
  <c r="W995" i="3" l="1"/>
  <c r="L995" i="3"/>
  <c r="Z996" i="3"/>
  <c r="AD996" i="3"/>
  <c r="P996" i="3"/>
  <c r="Q996" i="3" s="1"/>
  <c r="R996" i="3" s="1"/>
  <c r="S996" i="3" s="1"/>
  <c r="AA996" i="3"/>
  <c r="AC996" i="3"/>
  <c r="U995" i="3" l="1"/>
  <c r="Y994" i="3"/>
  <c r="T996" i="3"/>
  <c r="D996" i="3" l="1"/>
  <c r="G996" i="3" s="1"/>
  <c r="AG996" i="3"/>
  <c r="E996" i="3"/>
  <c r="H996" i="3" s="1"/>
  <c r="K996" i="3" s="1"/>
  <c r="AE996" i="3" s="1"/>
  <c r="AH996" i="3"/>
  <c r="F996" i="3" l="1"/>
  <c r="I996" i="3"/>
  <c r="J996" i="3"/>
  <c r="M996" i="3"/>
  <c r="N996" i="3" s="1"/>
  <c r="V996" i="3"/>
  <c r="A997" i="3"/>
  <c r="B997" i="3" s="1"/>
  <c r="AD997" i="3" l="1"/>
  <c r="P997" i="3"/>
  <c r="Q997" i="3" s="1"/>
  <c r="R997" i="3" s="1"/>
  <c r="S997" i="3" s="1"/>
  <c r="Z997" i="3"/>
  <c r="AA997" i="3"/>
  <c r="AC997" i="3"/>
  <c r="L996" i="3"/>
  <c r="W996" i="3"/>
  <c r="U996" i="3" l="1"/>
  <c r="Y995" i="3"/>
  <c r="T997" i="3"/>
  <c r="AH997" i="3" s="1"/>
  <c r="AG997" i="3" l="1"/>
  <c r="D997" i="3"/>
  <c r="E997" i="3"/>
  <c r="H997" i="3" s="1"/>
  <c r="K997" i="3" s="1"/>
  <c r="AE997" i="3" s="1"/>
  <c r="F997" i="3" l="1"/>
  <c r="G997" i="3"/>
  <c r="I997" i="3" s="1"/>
  <c r="V997" i="3"/>
  <c r="A998" i="3"/>
  <c r="B998" i="3" s="1"/>
  <c r="J997" i="3" l="1"/>
  <c r="L997" i="3" s="1"/>
  <c r="M997" i="3"/>
  <c r="N997" i="3" s="1"/>
  <c r="W997" i="3"/>
  <c r="Z998" i="3"/>
  <c r="P998" i="3"/>
  <c r="Q998" i="3" s="1"/>
  <c r="R998" i="3" s="1"/>
  <c r="S998" i="3" s="1"/>
  <c r="AD998" i="3"/>
  <c r="AC998" i="3"/>
  <c r="AA998" i="3"/>
  <c r="T998" i="3" l="1"/>
  <c r="AG998" i="3" s="1"/>
  <c r="U997" i="3"/>
  <c r="Y996" i="3"/>
  <c r="E998" i="3" l="1"/>
  <c r="H998" i="3" s="1"/>
  <c r="K998" i="3" s="1"/>
  <c r="AE998" i="3" s="1"/>
  <c r="AH998" i="3"/>
  <c r="D998" i="3"/>
  <c r="V998" i="3" l="1"/>
  <c r="A999" i="3"/>
  <c r="B999" i="3" s="1"/>
  <c r="F998" i="3"/>
  <c r="G998" i="3"/>
  <c r="I998" i="3" l="1"/>
  <c r="W998" i="3" s="1"/>
  <c r="J998" i="3"/>
  <c r="M998" i="3"/>
  <c r="N998" i="3" s="1"/>
  <c r="AD999" i="3"/>
  <c r="Z999" i="3"/>
  <c r="AC999" i="3"/>
  <c r="AA999" i="3"/>
  <c r="P999" i="3"/>
  <c r="Q999" i="3" s="1"/>
  <c r="R999" i="3" s="1"/>
  <c r="S999" i="3" s="1"/>
  <c r="T999" i="3" l="1"/>
  <c r="L998" i="3"/>
  <c r="AG999" i="3" l="1"/>
  <c r="U998" i="3"/>
  <c r="D999" i="3" s="1"/>
  <c r="AH999" i="3"/>
  <c r="Y997" i="3"/>
  <c r="E999" i="3" l="1"/>
  <c r="H999" i="3" s="1"/>
  <c r="K999" i="3" s="1"/>
  <c r="AE999" i="3" s="1"/>
  <c r="G999" i="3"/>
  <c r="F999" i="3" l="1"/>
  <c r="I999" i="3"/>
  <c r="J999" i="3"/>
  <c r="M999" i="3"/>
  <c r="N999" i="3" s="1"/>
  <c r="V999" i="3"/>
  <c r="A1000" i="3"/>
  <c r="B1000" i="3" s="1"/>
  <c r="W999" i="3" l="1"/>
  <c r="L999" i="3"/>
  <c r="AC1000" i="3"/>
  <c r="AD1000" i="3"/>
  <c r="P1000" i="3"/>
  <c r="Q1000" i="3" s="1"/>
  <c r="R1000" i="3" s="1"/>
  <c r="S1000" i="3" s="1"/>
  <c r="Z1000" i="3"/>
  <c r="AA1000" i="3"/>
  <c r="U999" i="3" l="1"/>
  <c r="Y998" i="3"/>
  <c r="T1000" i="3"/>
  <c r="AG1000" i="3" s="1"/>
  <c r="D1000" i="3" l="1"/>
  <c r="G1000" i="3" s="1"/>
  <c r="AH1000" i="3"/>
  <c r="E1000" i="3"/>
  <c r="H1000" i="3" s="1"/>
  <c r="K1000" i="3" s="1"/>
  <c r="AE1000" i="3" s="1"/>
  <c r="F1000" i="3" l="1"/>
  <c r="I1000" i="3"/>
  <c r="J1000" i="3"/>
  <c r="M1000" i="3"/>
  <c r="N1000" i="3" s="1"/>
  <c r="V1000" i="3"/>
  <c r="A1001" i="3"/>
  <c r="B1001" i="3" s="1"/>
  <c r="W1000" i="3" l="1"/>
  <c r="L1000" i="3"/>
  <c r="P1001" i="3"/>
  <c r="Q1001" i="3" s="1"/>
  <c r="R1001" i="3" s="1"/>
  <c r="S1001" i="3" s="1"/>
  <c r="Z1001" i="3"/>
  <c r="AC1001" i="3"/>
  <c r="AA1001" i="3"/>
  <c r="AD1001" i="3"/>
  <c r="U1000" i="3" l="1"/>
  <c r="Y999" i="3"/>
  <c r="T1001" i="3"/>
  <c r="D1001" i="3" l="1"/>
  <c r="G1001" i="3" s="1"/>
  <c r="E1001" i="3"/>
  <c r="H1001" i="3" s="1"/>
  <c r="AG1001" i="3"/>
  <c r="AH1001" i="3"/>
  <c r="F1001" i="3" l="1"/>
  <c r="I1001" i="3"/>
  <c r="J1001" i="3"/>
  <c r="M1001" i="3"/>
  <c r="N1001" i="3" s="1"/>
  <c r="K1001" i="3"/>
  <c r="AE1001" i="3" s="1"/>
  <c r="V1001" i="3" l="1"/>
  <c r="W1001" i="3" s="1"/>
  <c r="A1002" i="3"/>
  <c r="B1002" i="3" s="1"/>
  <c r="L1001" i="3"/>
  <c r="U1001" i="3" l="1"/>
  <c r="Y1000" i="3"/>
  <c r="AD1002" i="3"/>
  <c r="AA1002" i="3"/>
  <c r="Z1002" i="3"/>
  <c r="AC1002" i="3"/>
  <c r="P1002" i="3"/>
  <c r="Q1002" i="3" s="1"/>
  <c r="R1002" i="3" s="1"/>
  <c r="S1002" i="3" s="1"/>
  <c r="T1002" i="3" l="1"/>
  <c r="AG1002" i="3" s="1"/>
  <c r="AH1002" i="3" l="1"/>
  <c r="D1002" i="3"/>
  <c r="G1002" i="3" s="1"/>
  <c r="E1002" i="3"/>
  <c r="H1002" i="3" s="1"/>
  <c r="K1002" i="3" s="1"/>
  <c r="AE1002" i="3" s="1"/>
  <c r="F1002" i="3" l="1"/>
  <c r="I1002" i="3"/>
  <c r="J1002" i="3"/>
  <c r="M1002" i="3"/>
  <c r="N1002" i="3" s="1"/>
  <c r="V1002" i="3"/>
  <c r="A1003" i="3"/>
  <c r="B1003" i="3" s="1"/>
  <c r="W1002" i="3" l="1"/>
  <c r="L1002" i="3"/>
  <c r="AC1003" i="3"/>
  <c r="P1003" i="3"/>
  <c r="Q1003" i="3" s="1"/>
  <c r="R1003" i="3" s="1"/>
  <c r="S1003" i="3" s="1"/>
  <c r="AA1003" i="3"/>
  <c r="Z1003" i="3"/>
  <c r="AD1003" i="3"/>
  <c r="T1003" i="3" l="1"/>
  <c r="AH1003" i="3" s="1"/>
  <c r="U1002" i="3"/>
  <c r="Y1001" i="3"/>
  <c r="D1003" i="3" l="1"/>
  <c r="G1003" i="3" s="1"/>
  <c r="E1003" i="3"/>
  <c r="H1003" i="3" s="1"/>
  <c r="K1003" i="3" s="1"/>
  <c r="AE1003" i="3" s="1"/>
  <c r="AG1003" i="3"/>
  <c r="F1003" i="3" l="1"/>
  <c r="I1003" i="3"/>
  <c r="J1003" i="3"/>
  <c r="M1003" i="3"/>
  <c r="N1003" i="3" s="1"/>
  <c r="V1003" i="3"/>
  <c r="A1004" i="3"/>
  <c r="B1004" i="3" s="1"/>
  <c r="W1003" i="3" l="1"/>
  <c r="L1003" i="3"/>
  <c r="P1004" i="3"/>
  <c r="Q1004" i="3" s="1"/>
  <c r="R1004" i="3" s="1"/>
  <c r="S1004" i="3" s="1"/>
  <c r="T1004" i="3" s="1"/>
  <c r="AA1004" i="3"/>
  <c r="Z1004" i="3"/>
  <c r="AC1004" i="3"/>
  <c r="AG1004" i="3" l="1"/>
  <c r="AH1004" i="3"/>
  <c r="U1003" i="3"/>
  <c r="D1004" i="3" s="1"/>
  <c r="Y1002" i="3"/>
  <c r="J48" i="1"/>
  <c r="L48" i="1"/>
  <c r="I48" i="1"/>
  <c r="J25" i="1"/>
  <c r="K48" i="1"/>
  <c r="M48" i="1"/>
  <c r="K25" i="1"/>
  <c r="I25" i="1"/>
  <c r="K27" i="1"/>
  <c r="I46" i="1"/>
  <c r="L46" i="1"/>
  <c r="M46" i="1"/>
  <c r="K46" i="1"/>
  <c r="J46" i="1"/>
  <c r="I27" i="1"/>
  <c r="J27" i="1"/>
  <c r="E1004" i="3" l="1"/>
  <c r="H1004" i="3" s="1"/>
  <c r="K1004" i="3" s="1"/>
  <c r="AE1004" i="3" s="1"/>
  <c r="C122" i="1"/>
  <c r="C155" i="1"/>
  <c r="C31" i="1"/>
  <c r="B44" i="10" s="1"/>
  <c r="C126" i="1"/>
  <c r="C121" i="1"/>
  <c r="C124" i="1"/>
  <c r="C33" i="1"/>
  <c r="J47" i="1" s="1"/>
  <c r="C129" i="1"/>
  <c r="C130" i="1" s="1"/>
  <c r="M25" i="1"/>
  <c r="I72" i="7"/>
  <c r="I73" i="7" s="1"/>
  <c r="I70" i="7"/>
  <c r="G1004" i="3"/>
  <c r="B128" i="1"/>
  <c r="B123" i="1"/>
  <c r="B127" i="1"/>
  <c r="D155" i="1"/>
  <c r="B124" i="1"/>
  <c r="B126" i="1"/>
  <c r="B129" i="1"/>
  <c r="B125" i="1"/>
  <c r="D31" i="1"/>
  <c r="D33" i="1"/>
  <c r="J49" i="1" s="1"/>
  <c r="C146" i="1"/>
  <c r="C147" i="1" s="1"/>
  <c r="C138" i="1"/>
  <c r="C141" i="1"/>
  <c r="C143" i="1"/>
  <c r="C139" i="1"/>
  <c r="B140" i="1"/>
  <c r="B143" i="1"/>
  <c r="B142" i="1"/>
  <c r="B146" i="1"/>
  <c r="B144" i="1"/>
  <c r="B141" i="1"/>
  <c r="B145" i="1"/>
  <c r="M27" i="1"/>
  <c r="H72" i="7"/>
  <c r="H73" i="7" s="1"/>
  <c r="H70" i="7"/>
  <c r="F1004" i="3" l="1"/>
  <c r="L24" i="1" s="1"/>
  <c r="H49" i="1"/>
  <c r="D32" i="1"/>
  <c r="L42" i="1"/>
  <c r="I1004" i="3"/>
  <c r="J1004" i="3"/>
  <c r="M1004" i="3"/>
  <c r="N1004" i="3" s="1"/>
  <c r="E31" i="7"/>
  <c r="H47" i="1"/>
  <c r="C32" i="1"/>
  <c r="V1004" i="3"/>
  <c r="L1004" i="3" l="1"/>
  <c r="Y1004" i="3" s="1"/>
  <c r="AD1004" i="3"/>
  <c r="W1004" i="3"/>
  <c r="B135" i="1"/>
  <c r="B137" i="1"/>
  <c r="B133" i="1"/>
  <c r="B132" i="1" s="1"/>
  <c r="F133" i="1"/>
  <c r="F134" i="1"/>
  <c r="C133" i="1"/>
  <c r="C135" i="1"/>
  <c r="K24" i="1"/>
  <c r="K42" i="1"/>
  <c r="B150" i="1"/>
  <c r="B149" i="1" s="1"/>
  <c r="B154" i="1"/>
  <c r="B152" i="1"/>
  <c r="M41" i="1"/>
  <c r="H117" i="7"/>
  <c r="E62" i="7"/>
  <c r="F62" i="7" s="1"/>
  <c r="E120" i="7"/>
  <c r="F120" i="7" s="1"/>
  <c r="E119" i="7"/>
  <c r="F119" i="7" s="1"/>
  <c r="E133" i="7"/>
  <c r="E63" i="7"/>
  <c r="F63" i="7" s="1"/>
  <c r="H59" i="7"/>
  <c r="L31" i="7"/>
  <c r="E65" i="7"/>
  <c r="F65" i="7" s="1"/>
  <c r="Y1003" i="3" l="1"/>
  <c r="U1004" i="3"/>
  <c r="J43" i="1"/>
  <c r="I41" i="1"/>
  <c r="K41" i="1"/>
  <c r="H26" i="1"/>
  <c r="L43" i="1"/>
  <c r="M43" i="1"/>
  <c r="K43" i="1"/>
  <c r="H43" i="1"/>
  <c r="I44" i="1"/>
  <c r="H44" i="1"/>
  <c r="J26" i="1"/>
  <c r="D161" i="1" s="1"/>
  <c r="M44" i="1"/>
  <c r="K26" i="1"/>
  <c r="K23" i="1"/>
  <c r="S26" i="6" s="1"/>
  <c r="L41" i="1"/>
  <c r="L44" i="1"/>
  <c r="I26" i="1"/>
  <c r="J41" i="1"/>
  <c r="I43" i="1"/>
  <c r="J44" i="1"/>
  <c r="H28" i="1"/>
  <c r="F151" i="1" s="1"/>
  <c r="M31" i="7"/>
  <c r="E121" i="7"/>
  <c r="F121" i="7" s="1"/>
  <c r="H116" i="7"/>
  <c r="H58" i="7"/>
  <c r="E64" i="7"/>
  <c r="F64" i="7" s="1"/>
  <c r="B163" i="1" l="1"/>
  <c r="K31" i="7"/>
  <c r="J31" i="7"/>
  <c r="H55" i="7"/>
  <c r="H112" i="7"/>
  <c r="H53" i="7"/>
  <c r="P31" i="1"/>
  <c r="P32" i="1"/>
  <c r="I67" i="7"/>
  <c r="H41" i="1"/>
  <c r="K44" i="1"/>
  <c r="H45" i="1"/>
  <c r="M45" i="1"/>
  <c r="L45" i="1"/>
  <c r="K45" i="1"/>
  <c r="K28" i="1" s="1"/>
  <c r="M28" i="1" s="1"/>
  <c r="J45" i="1"/>
  <c r="J28" i="1"/>
  <c r="P30" i="1"/>
  <c r="F193" i="1"/>
  <c r="F190" i="1"/>
  <c r="F171" i="1"/>
  <c r="D186" i="1"/>
  <c r="F161" i="1"/>
  <c r="F163" i="1"/>
  <c r="D166" i="1"/>
  <c r="D192" i="1"/>
  <c r="D194" i="1"/>
  <c r="D196" i="1"/>
  <c r="D173" i="1"/>
  <c r="D168" i="1"/>
  <c r="D197" i="1"/>
  <c r="D159" i="1"/>
  <c r="D185" i="1"/>
  <c r="F194" i="1"/>
  <c r="D165" i="1"/>
  <c r="D191" i="1"/>
  <c r="F183" i="1"/>
  <c r="F162" i="1"/>
  <c r="F170" i="1"/>
  <c r="F184" i="1"/>
  <c r="F168" i="1"/>
  <c r="F169" i="1"/>
  <c r="D164" i="1"/>
  <c r="F21" i="1"/>
  <c r="D177" i="1"/>
  <c r="F197" i="1"/>
  <c r="D160" i="1"/>
  <c r="F196" i="1"/>
  <c r="D162" i="1"/>
  <c r="D170" i="1"/>
  <c r="D181" i="1"/>
  <c r="F164" i="1"/>
  <c r="F165" i="1"/>
  <c r="D190" i="1"/>
  <c r="F182" i="1"/>
  <c r="F166" i="1"/>
  <c r="H44" i="7"/>
  <c r="D171" i="1"/>
  <c r="D169" i="1"/>
  <c r="F172" i="1"/>
  <c r="D179" i="1"/>
  <c r="D189" i="1"/>
  <c r="D183" i="1"/>
  <c r="F160" i="1"/>
  <c r="F195" i="1"/>
  <c r="D193" i="1"/>
  <c r="F179" i="1"/>
  <c r="D188" i="1"/>
  <c r="F185" i="1"/>
  <c r="F159" i="1"/>
  <c r="F173" i="1"/>
  <c r="D163" i="1"/>
  <c r="D184" i="1"/>
  <c r="D195" i="1"/>
  <c r="F191" i="1"/>
  <c r="H11" i="7"/>
  <c r="F181" i="1"/>
  <c r="D180" i="1"/>
  <c r="F186" i="1"/>
  <c r="F180" i="1"/>
  <c r="F187" i="1"/>
  <c r="F178" i="1"/>
  <c r="D178" i="1"/>
  <c r="D182" i="1"/>
  <c r="F192" i="1"/>
  <c r="D174" i="1"/>
  <c r="F189" i="1"/>
  <c r="F167" i="1"/>
  <c r="D187" i="1"/>
  <c r="F188" i="1"/>
  <c r="D172" i="1"/>
  <c r="F174" i="1"/>
  <c r="F177" i="1"/>
  <c r="D167" i="1"/>
  <c r="B171" i="1"/>
  <c r="B181" i="1"/>
  <c r="B170" i="1"/>
  <c r="B186" i="1"/>
  <c r="B164" i="1"/>
  <c r="B175" i="1"/>
  <c r="B166" i="1"/>
  <c r="B174" i="1"/>
  <c r="B172" i="1"/>
  <c r="B184" i="1"/>
  <c r="H113" i="7"/>
  <c r="B180" i="1"/>
  <c r="B199" i="1"/>
  <c r="B188" i="1"/>
  <c r="B165" i="1"/>
  <c r="B185" i="1"/>
  <c r="B168" i="1"/>
  <c r="H114" i="7"/>
  <c r="B198" i="1"/>
  <c r="B197" i="1"/>
  <c r="B179" i="1"/>
  <c r="B191" i="1"/>
  <c r="C156" i="1"/>
  <c r="B192" i="1"/>
  <c r="E128" i="7"/>
  <c r="F128" i="7" s="1"/>
  <c r="B194" i="1"/>
  <c r="B173" i="1"/>
  <c r="B182" i="1"/>
  <c r="B190" i="1"/>
  <c r="B193" i="1"/>
  <c r="B176" i="1"/>
  <c r="B183" i="1"/>
  <c r="B195" i="1"/>
  <c r="F132" i="1"/>
  <c r="C134" i="1" s="1"/>
  <c r="B189" i="1"/>
  <c r="B162" i="1"/>
  <c r="B169" i="1"/>
  <c r="B196" i="1"/>
  <c r="H31" i="7"/>
  <c r="B161" i="1"/>
  <c r="B167" i="1"/>
  <c r="H54" i="7"/>
  <c r="B187" i="1"/>
  <c r="B158" i="1"/>
  <c r="H57" i="7"/>
  <c r="F150" i="1"/>
  <c r="B151" i="1" s="1"/>
  <c r="H115" i="7" l="1"/>
  <c r="S25" i="6"/>
  <c r="D31" i="7"/>
  <c r="D156" i="1"/>
  <c r="H19" i="7"/>
  <c r="C118" i="1"/>
  <c r="P29" i="1"/>
  <c r="B120" i="1"/>
  <c r="H56" i="7"/>
  <c r="E129" i="7"/>
  <c r="F129" i="7" s="1"/>
  <c r="B153" i="1"/>
  <c r="C132" i="1"/>
  <c r="C151" i="1"/>
  <c r="C149" i="1"/>
  <c r="B134" i="1"/>
  <c r="B136" i="1"/>
</calcChain>
</file>

<file path=xl/comments1.xml><?xml version="1.0" encoding="utf-8"?>
<comments xmlns="http://schemas.openxmlformats.org/spreadsheetml/2006/main">
  <authors>
    <author>M363040</author>
    <author>Léo Côme</author>
    <author>collectif</author>
  </authors>
  <commentList>
    <comment ref="M5" authorId="0" shapeId="0">
      <text>
        <r>
          <rPr>
            <sz val="8"/>
            <color indexed="8"/>
            <rFont val="Tahoma"/>
            <family val="2"/>
          </rPr>
          <t xml:space="preserve">Définir les propriétés du 1er changement de diamètre.
Laisser cette colonne vide si la fusée n'a pas de Jupe ou Rétreint.
</t>
        </r>
        <r>
          <rPr>
            <i/>
            <sz val="8"/>
            <color indexed="8"/>
            <rFont val="Tahoma"/>
            <family val="2"/>
          </rPr>
          <t>Set properties of the 1st diameter transition.
Leave this column blank if no skirt/shrink on the rocket.</t>
        </r>
      </text>
    </comment>
    <comment ref="O5" authorId="0" shapeId="0">
      <text>
        <r>
          <rPr>
            <sz val="8"/>
            <color indexed="8"/>
            <rFont val="Tahoma"/>
            <family val="2"/>
          </rPr>
          <t xml:space="preserve">Définir les propriétés du 2e changement de diamètre.
Laisser cette colonne vide si la fusée n'a pas de 2e Jupe ou Rétreint.
</t>
        </r>
        <r>
          <rPr>
            <i/>
            <sz val="8"/>
            <color indexed="8"/>
            <rFont val="Tahoma"/>
            <family val="2"/>
          </rPr>
          <t>Set properties of the 2nd diameter transition.
Leave this column blank if no 2nd skirt/shrink on the rocket.</t>
        </r>
      </text>
    </comment>
    <comment ref="L6" authorId="1" shapeId="0">
      <text>
        <r>
          <rPr>
            <b/>
            <sz val="8"/>
            <color indexed="8"/>
            <rFont val="Tahoma"/>
            <family val="2"/>
          </rPr>
          <t>Hauteur</t>
        </r>
        <r>
          <rPr>
            <sz val="8"/>
            <color indexed="8"/>
            <rFont val="Tahoma"/>
            <family val="2"/>
          </rPr>
          <t xml:space="preserve"> du changement de diamètre (cf. schéma sur fond bleu).
</t>
        </r>
        <r>
          <rPr>
            <i/>
            <sz val="8"/>
            <color indexed="8"/>
            <rFont val="Tahoma"/>
            <family val="2"/>
          </rPr>
          <t>Height of the tronconical transition (cf. blue schematic).</t>
        </r>
      </text>
    </comment>
    <comment ref="L7" authorId="1" shapeId="0">
      <text>
        <r>
          <rPr>
            <sz val="8"/>
            <color indexed="8"/>
            <rFont val="Tahoma"/>
            <family val="2"/>
          </rPr>
          <t xml:space="preserve">Diamètre de la partie située </t>
        </r>
        <r>
          <rPr>
            <b/>
            <sz val="8"/>
            <color indexed="8"/>
            <rFont val="Tahoma"/>
            <family val="2"/>
          </rPr>
          <t>au dessus</t>
        </r>
        <r>
          <rPr>
            <sz val="8"/>
            <color indexed="8"/>
            <rFont val="Tahoma"/>
            <family val="2"/>
          </rPr>
          <t xml:space="preserve"> du changement de diamètre.
</t>
        </r>
        <r>
          <rPr>
            <i/>
            <sz val="8"/>
            <color indexed="8"/>
            <rFont val="Tahoma"/>
            <family val="2"/>
          </rPr>
          <t>Upper Diameter (cf. blue schematic).</t>
        </r>
      </text>
    </comment>
    <comment ref="L8" authorId="1" shapeId="0">
      <text>
        <r>
          <rPr>
            <sz val="8"/>
            <color indexed="8"/>
            <rFont val="Tahoma"/>
            <family val="2"/>
          </rPr>
          <t xml:space="preserve">Diamètre de la partie située </t>
        </r>
        <r>
          <rPr>
            <b/>
            <sz val="8"/>
            <color indexed="8"/>
            <rFont val="Tahoma"/>
            <family val="2"/>
          </rPr>
          <t>en dessous</t>
        </r>
        <r>
          <rPr>
            <sz val="8"/>
            <color indexed="8"/>
            <rFont val="Tahoma"/>
            <family val="2"/>
          </rPr>
          <t xml:space="preserve"> du changement de diamètre.
</t>
        </r>
        <r>
          <rPr>
            <i/>
            <sz val="8"/>
            <color indexed="8"/>
            <rFont val="Tahoma"/>
            <family val="2"/>
          </rPr>
          <t>Lower Diameter (cf. blue schematic).</t>
        </r>
      </text>
    </comment>
    <comment ref="L9" authorId="0" shapeId="0">
      <text>
        <r>
          <rPr>
            <sz val="8"/>
            <color indexed="8"/>
            <rFont val="Tahoma"/>
            <family val="2"/>
          </rPr>
          <t xml:space="preserve">Distance entre la pointe de l'ogive et le haut du changement de diamètre.
</t>
        </r>
        <r>
          <rPr>
            <i/>
            <sz val="8"/>
            <color indexed="8"/>
            <rFont val="Tahoma"/>
            <family val="2"/>
          </rPr>
          <t>Distance betwenn the tip of the nose cone and the top of the skirt/shrink.</t>
        </r>
      </text>
    </comment>
    <comment ref="B12" authorId="0" shapeId="0">
      <text>
        <r>
          <rPr>
            <sz val="8"/>
            <color indexed="8"/>
            <rFont val="Tahoma"/>
            <family val="2"/>
          </rPr>
          <t xml:space="preserve">Position du </t>
        </r>
        <r>
          <rPr>
            <b/>
            <sz val="8"/>
            <color indexed="8"/>
            <rFont val="Tahoma"/>
            <family val="2"/>
          </rPr>
          <t>Centre de Masse</t>
        </r>
        <r>
          <rPr>
            <sz val="8"/>
            <color indexed="8"/>
            <rFont val="Tahoma"/>
            <family val="2"/>
          </rPr>
          <t xml:space="preserve"> (CdG) par rapport à la pointe de l'ogive,
à mesurer ou estimer sur votre fusée.
</t>
        </r>
        <r>
          <rPr>
            <i/>
            <sz val="8"/>
            <color indexed="8"/>
            <rFont val="Tahoma"/>
            <family val="2"/>
          </rPr>
          <t>Position of Center of Mass (CoG) from the top of the nose cone.</t>
        </r>
      </text>
    </comment>
    <comment ref="S12" authorId="0" shapeId="0">
      <text>
        <r>
          <rPr>
            <sz val="8"/>
            <color indexed="8"/>
            <rFont val="Tahoma"/>
            <family val="2"/>
          </rPr>
          <t xml:space="preserve">Distance entre la pointe de l'ogive et le </t>
        </r>
        <r>
          <rPr>
            <b/>
            <sz val="8"/>
            <color indexed="8"/>
            <rFont val="Tahoma"/>
            <family val="2"/>
          </rPr>
          <t>haut</t>
        </r>
        <r>
          <rPr>
            <sz val="8"/>
            <color indexed="8"/>
            <rFont val="Tahoma"/>
            <family val="2"/>
          </rPr>
          <t xml:space="preserve"> du propulseur (hors ergot).
</t>
        </r>
        <r>
          <rPr>
            <i/>
            <sz val="8"/>
            <color indexed="8"/>
            <rFont val="Tahoma"/>
            <family val="2"/>
          </rPr>
          <t xml:space="preserve">Distance between the tip of the nose cone and the </t>
        </r>
        <r>
          <rPr>
            <b/>
            <i/>
            <sz val="8"/>
            <color indexed="8"/>
            <rFont val="Tahoma"/>
            <family val="2"/>
          </rPr>
          <t xml:space="preserve">top </t>
        </r>
        <r>
          <rPr>
            <i/>
            <sz val="8"/>
            <color indexed="8"/>
            <rFont val="Tahoma"/>
            <family val="2"/>
          </rPr>
          <t>of the motor.</t>
        </r>
      </text>
    </comment>
    <comment ref="B13" authorId="0" shapeId="0">
      <text>
        <r>
          <rPr>
            <sz val="8"/>
            <color indexed="8"/>
            <rFont val="Tahoma"/>
            <family val="2"/>
          </rPr>
          <t xml:space="preserve">Longueur totale du fuselage avec l'ogive,
hors propu hors antenne hors ailerons.
</t>
        </r>
        <r>
          <rPr>
            <i/>
            <sz val="8"/>
            <color indexed="8"/>
            <rFont val="Tahoma"/>
            <family val="2"/>
          </rPr>
          <t>Total length of the body including nose cone.</t>
        </r>
      </text>
    </comment>
    <comment ref="L13" authorId="1" shapeId="0">
      <text>
        <r>
          <rPr>
            <sz val="8"/>
            <color indexed="8"/>
            <rFont val="Tahoma"/>
            <family val="2"/>
          </rPr>
          <t xml:space="preserve">Centre de Masse du propulseur par rapport au haut du propulseur.
</t>
        </r>
        <r>
          <rPr>
            <i/>
            <sz val="8"/>
            <color indexed="8"/>
            <rFont val="Tahoma"/>
            <family val="2"/>
          </rPr>
          <t>Motor Center of Mass, mesured from top of motor.</t>
        </r>
      </text>
    </comment>
    <comment ref="B14" authorId="0" shapeId="0">
      <text>
        <r>
          <rPr>
            <sz val="8"/>
            <color indexed="8"/>
            <rFont val="Tahoma"/>
            <family val="2"/>
          </rPr>
          <t xml:space="preserve">Diamètre de référence, utilisé pour calculer : Cnα, Finesse, Marge Statique.
Par défaut D_réf = D_ogive ; on peux écraser avec le diamètre "principal".
</t>
        </r>
        <r>
          <rPr>
            <i/>
            <sz val="8"/>
            <color indexed="8"/>
            <rFont val="Tahoma"/>
            <family val="2"/>
          </rPr>
          <t>Reference Diameter, used to compute: Cnα, Finesse, Static Margin.
By default D_ref = D_ogive ; one can overwrtie with the "main" diameter.</t>
        </r>
      </text>
    </comment>
    <comment ref="S14" authorId="0" shapeId="0">
      <text>
        <r>
          <rPr>
            <sz val="8"/>
            <color indexed="8"/>
            <rFont val="Tahoma"/>
            <family val="2"/>
          </rPr>
          <t xml:space="preserve">Distance entre la pointe de l'ogive et le </t>
        </r>
        <r>
          <rPr>
            <b/>
            <sz val="8"/>
            <color indexed="8"/>
            <rFont val="Tahoma"/>
            <family val="2"/>
          </rPr>
          <t>bas</t>
        </r>
        <r>
          <rPr>
            <sz val="8"/>
            <color indexed="8"/>
            <rFont val="Tahoma"/>
            <family val="2"/>
          </rPr>
          <t xml:space="preserve"> du propulseur (hors tuyère).
</t>
        </r>
        <r>
          <rPr>
            <i/>
            <sz val="8"/>
            <color indexed="8"/>
            <rFont val="Tahoma"/>
            <family val="2"/>
          </rPr>
          <t xml:space="preserve">Distance between the tip of the nose cone and the </t>
        </r>
        <r>
          <rPr>
            <b/>
            <i/>
            <sz val="8"/>
            <color indexed="8"/>
            <rFont val="Tahoma"/>
            <family val="2"/>
          </rPr>
          <t>bottom</t>
        </r>
        <r>
          <rPr>
            <i/>
            <sz val="8"/>
            <color indexed="8"/>
            <rFont val="Tahoma"/>
            <family val="2"/>
          </rPr>
          <t xml:space="preserve"> of the motor.</t>
        </r>
      </text>
    </comment>
    <comment ref="L15" authorId="1" shapeId="0">
      <text>
        <r>
          <rPr>
            <sz val="8"/>
            <color indexed="8"/>
            <rFont val="Tahoma"/>
            <family val="2"/>
          </rPr>
          <t xml:space="preserve">Les positions des </t>
        </r>
        <r>
          <rPr>
            <sz val="8"/>
            <color indexed="12"/>
            <rFont val="Tahoma"/>
            <family val="2"/>
          </rPr>
          <t>Centres de Masse</t>
        </r>
        <r>
          <rPr>
            <sz val="8"/>
            <color indexed="8"/>
            <rFont val="Tahoma"/>
            <family val="2"/>
          </rPr>
          <t xml:space="preserve"> de la fusée avec propulseur plein et vide
sont représentées sur le schéma de la fusée par un </t>
        </r>
        <r>
          <rPr>
            <sz val="8"/>
            <color indexed="12"/>
            <rFont val="Tahoma"/>
            <family val="2"/>
          </rPr>
          <t>segment vertical bleu</t>
        </r>
        <r>
          <rPr>
            <sz val="8"/>
            <color indexed="8"/>
            <rFont val="Tahoma"/>
            <family val="2"/>
          </rPr>
          <t xml:space="preserve">.
</t>
        </r>
        <r>
          <rPr>
            <i/>
            <sz val="8"/>
            <color indexed="8"/>
            <rFont val="Tahoma"/>
            <family val="2"/>
          </rPr>
          <t xml:space="preserve">Rocket Center of Mass are shown whith a </t>
        </r>
        <r>
          <rPr>
            <i/>
            <sz val="8"/>
            <color indexed="12"/>
            <rFont val="Tahoma"/>
            <family val="2"/>
          </rPr>
          <t>blue segment</t>
        </r>
        <r>
          <rPr>
            <i/>
            <sz val="8"/>
            <color indexed="8"/>
            <rFont val="Tahoma"/>
            <family val="2"/>
          </rPr>
          <t xml:space="preserve"> in Rocket schematic.</t>
        </r>
      </text>
    </comment>
    <comment ref="S17" authorId="0" shapeId="0">
      <text>
        <r>
          <rPr>
            <sz val="8"/>
            <color indexed="8"/>
            <rFont val="Tahoma"/>
            <family val="2"/>
          </rPr>
          <t xml:space="preserve">Distance entre la pointe de l'ogive et le point </t>
        </r>
        <r>
          <rPr>
            <b/>
            <sz val="8"/>
            <color indexed="8"/>
            <rFont val="Tahoma"/>
            <family val="2"/>
          </rPr>
          <t>supérieur</t>
        </r>
        <r>
          <rPr>
            <sz val="8"/>
            <color indexed="8"/>
            <rFont val="Tahoma"/>
            <family val="2"/>
          </rPr>
          <t xml:space="preserve"> de l'encastrement des ailerons.
</t>
        </r>
        <r>
          <rPr>
            <i/>
            <sz val="8"/>
            <color indexed="8"/>
            <rFont val="Tahoma"/>
            <family val="2"/>
          </rPr>
          <t xml:space="preserve">Distance between the tip of the nose and the </t>
        </r>
        <r>
          <rPr>
            <b/>
            <i/>
            <sz val="8"/>
            <color indexed="8"/>
            <rFont val="Tahoma"/>
            <family val="2"/>
          </rPr>
          <t>upper</t>
        </r>
        <r>
          <rPr>
            <i/>
            <sz val="8"/>
            <color indexed="8"/>
            <rFont val="Tahoma"/>
            <family val="2"/>
          </rPr>
          <t xml:space="preserve"> point of fins attachment on the rocket.</t>
        </r>
      </text>
    </comment>
    <comment ref="B18" authorId="0" shapeId="0">
      <text>
        <r>
          <rPr>
            <sz val="8"/>
            <color indexed="8"/>
            <rFont val="Tahoma"/>
            <family val="2"/>
          </rPr>
          <t xml:space="preserve">Distance entre la pointe de l'ogive et le </t>
        </r>
        <r>
          <rPr>
            <b/>
            <sz val="8"/>
            <color indexed="8"/>
            <rFont val="Tahoma"/>
            <family val="2"/>
          </rPr>
          <t>bas</t>
        </r>
        <r>
          <rPr>
            <sz val="8"/>
            <color indexed="8"/>
            <rFont val="Tahoma"/>
            <family val="2"/>
          </rPr>
          <t xml:space="preserve"> du propulseur (hors tuyère).
</t>
        </r>
        <r>
          <rPr>
            <i/>
            <sz val="8"/>
            <color indexed="8"/>
            <rFont val="Tahoma"/>
            <family val="2"/>
          </rPr>
          <t xml:space="preserve">Distance between the tip of the nose cone and the </t>
        </r>
        <r>
          <rPr>
            <b/>
            <i/>
            <sz val="8"/>
            <color indexed="8"/>
            <rFont val="Tahoma"/>
            <family val="2"/>
          </rPr>
          <t>bottom</t>
        </r>
        <r>
          <rPr>
            <i/>
            <sz val="8"/>
            <color indexed="8"/>
            <rFont val="Tahoma"/>
            <family val="2"/>
          </rPr>
          <t xml:space="preserve"> of the motor.</t>
        </r>
      </text>
    </comment>
    <comment ref="S18" authorId="1" shapeId="0">
      <text>
        <r>
          <rPr>
            <sz val="8"/>
            <color indexed="8"/>
            <rFont val="Tahoma"/>
            <family val="2"/>
          </rPr>
          <t>Longueur de l'</t>
        </r>
        <r>
          <rPr>
            <b/>
            <sz val="8"/>
            <color indexed="8"/>
            <rFont val="Tahoma"/>
            <family val="2"/>
          </rPr>
          <t>e</t>
        </r>
        <r>
          <rPr>
            <b/>
            <u/>
            <sz val="8"/>
            <color indexed="8"/>
            <rFont val="Tahoma"/>
            <family val="2"/>
          </rPr>
          <t>m</t>
        </r>
        <r>
          <rPr>
            <b/>
            <sz val="8"/>
            <color indexed="8"/>
            <rFont val="Tahoma"/>
            <family val="2"/>
          </rPr>
          <t>planture</t>
        </r>
        <r>
          <rPr>
            <sz val="8"/>
            <color indexed="8"/>
            <rFont val="Tahoma"/>
            <family val="2"/>
          </rPr>
          <t xml:space="preserve"> d'un aileron.
</t>
        </r>
        <r>
          <rPr>
            <i/>
            <sz val="8"/>
            <color indexed="8"/>
            <rFont val="Tahoma"/>
            <family val="2"/>
          </rPr>
          <t>Root edge length of one fin.</t>
        </r>
      </text>
    </comment>
    <comment ref="S19" authorId="0" shapeId="0">
      <text>
        <r>
          <rPr>
            <sz val="8"/>
            <color indexed="8"/>
            <rFont val="Tahoma"/>
            <family val="2"/>
          </rPr>
          <t xml:space="preserve">Distance entre la pointe de l'ogive et le point </t>
        </r>
        <r>
          <rPr>
            <b/>
            <sz val="8"/>
            <color indexed="8"/>
            <rFont val="Tahoma"/>
            <family val="2"/>
          </rPr>
          <t>inférieur</t>
        </r>
        <r>
          <rPr>
            <sz val="8"/>
            <color indexed="8"/>
            <rFont val="Tahoma"/>
            <family val="2"/>
          </rPr>
          <t xml:space="preserve"> de l'encastrement des ailerons.
</t>
        </r>
        <r>
          <rPr>
            <i/>
            <sz val="8"/>
            <color indexed="8"/>
            <rFont val="Tahoma"/>
            <family val="2"/>
          </rPr>
          <t xml:space="preserve">Distance between the tip of the nose and the </t>
        </r>
        <r>
          <rPr>
            <b/>
            <i/>
            <sz val="8"/>
            <color indexed="8"/>
            <rFont val="Tahoma"/>
            <family val="2"/>
          </rPr>
          <t>lower</t>
        </r>
        <r>
          <rPr>
            <i/>
            <sz val="8"/>
            <color indexed="8"/>
            <rFont val="Tahoma"/>
            <family val="2"/>
          </rPr>
          <t xml:space="preserve"> point of fins attachment on the rocket.</t>
        </r>
      </text>
    </comment>
    <comment ref="B23" authorId="0" shapeId="0">
      <text>
        <r>
          <rPr>
            <sz val="8"/>
            <color indexed="8"/>
            <rFont val="Tahoma"/>
            <family val="2"/>
          </rPr>
          <t xml:space="preserve">Diamètre à la base de l'ogive.
</t>
        </r>
        <r>
          <rPr>
            <i/>
            <sz val="8"/>
            <color indexed="8"/>
            <rFont val="Tahoma"/>
            <family val="2"/>
          </rPr>
          <t>Diameter at the basement of the nose cone.</t>
        </r>
      </text>
    </comment>
    <comment ref="E25" authorId="1" shapeId="0">
      <text>
        <r>
          <rPr>
            <sz val="8"/>
            <color indexed="8"/>
            <rFont val="Tahoma"/>
            <family val="2"/>
          </rPr>
          <t xml:space="preserve">Les parties masquées des ailerons du bas sont représentées 
sur le schéma de la fusée par des </t>
        </r>
        <r>
          <rPr>
            <sz val="8"/>
            <color indexed="10"/>
            <rFont val="Tahoma"/>
            <family val="2"/>
          </rPr>
          <t>zones en rouge</t>
        </r>
        <r>
          <rPr>
            <sz val="8"/>
            <color indexed="8"/>
            <rFont val="Tahoma"/>
            <family val="2"/>
          </rPr>
          <t xml:space="preserve">.
Ce sont les parties situées juste en dessous des ailerons du haut.
</t>
        </r>
        <r>
          <rPr>
            <i/>
            <sz val="8"/>
            <color indexed="8"/>
            <rFont val="Tahoma"/>
            <family val="2"/>
          </rPr>
          <t xml:space="preserve">The fin-fin interaction zone is located just below the upper fins,
shown in </t>
        </r>
        <r>
          <rPr>
            <i/>
            <sz val="8"/>
            <color indexed="10"/>
            <rFont val="Tahoma"/>
            <family val="2"/>
          </rPr>
          <t>red</t>
        </r>
        <r>
          <rPr>
            <i/>
            <sz val="8"/>
            <color indexed="8"/>
            <rFont val="Tahoma"/>
            <family val="2"/>
          </rPr>
          <t xml:space="preserve"> in the Rocket schematic.</t>
        </r>
      </text>
    </comment>
    <comment ref="B27" authorId="1" shapeId="0">
      <text>
        <r>
          <rPr>
            <sz val="8"/>
            <color indexed="8"/>
            <rFont val="Tahoma"/>
            <family val="2"/>
          </rPr>
          <t>Longueur de l'</t>
        </r>
        <r>
          <rPr>
            <b/>
            <sz val="8"/>
            <color indexed="8"/>
            <rFont val="Tahoma"/>
            <family val="2"/>
          </rPr>
          <t>e</t>
        </r>
        <r>
          <rPr>
            <b/>
            <u/>
            <sz val="8"/>
            <color indexed="8"/>
            <rFont val="Tahoma"/>
            <family val="2"/>
          </rPr>
          <t>m</t>
        </r>
        <r>
          <rPr>
            <b/>
            <sz val="8"/>
            <color indexed="8"/>
            <rFont val="Tahoma"/>
            <family val="2"/>
          </rPr>
          <t>planture</t>
        </r>
        <r>
          <rPr>
            <sz val="8"/>
            <color indexed="8"/>
            <rFont val="Tahoma"/>
            <family val="2"/>
          </rPr>
          <t xml:space="preserve"> d'un aileron.
</t>
        </r>
        <r>
          <rPr>
            <i/>
            <sz val="8"/>
            <color indexed="8"/>
            <rFont val="Tahoma"/>
            <family val="2"/>
          </rPr>
          <t>Root edge length of one fin.</t>
        </r>
      </text>
    </comment>
    <comment ref="F27" authorId="0" shapeId="0">
      <text>
        <r>
          <rPr>
            <sz val="8"/>
            <color indexed="8"/>
            <rFont val="Tahoma"/>
            <family val="2"/>
          </rPr>
          <t xml:space="preserve">La </t>
        </r>
        <r>
          <rPr>
            <b/>
            <sz val="8"/>
            <color indexed="8"/>
            <rFont val="Tahoma"/>
            <family val="2"/>
          </rPr>
          <t>Finesse</t>
        </r>
        <r>
          <rPr>
            <sz val="8"/>
            <color indexed="8"/>
            <rFont val="Tahoma"/>
            <family val="2"/>
          </rPr>
          <t xml:space="preserve"> représente l'allongement de la fusée, rapport Longueur/Diamètre.
</t>
        </r>
        <r>
          <rPr>
            <i/>
            <sz val="8"/>
            <color indexed="8"/>
            <rFont val="Tahoma"/>
            <family val="2"/>
          </rPr>
          <t>Finesse represents the relative length of the rocket. Finesse = L/D</t>
        </r>
      </text>
    </comment>
    <comment ref="B28" authorId="1" shapeId="0">
      <text>
        <r>
          <rPr>
            <sz val="8"/>
            <color indexed="8"/>
            <rFont val="Tahoma"/>
            <family val="2"/>
          </rPr>
          <t xml:space="preserve">Longueur du </t>
        </r>
        <r>
          <rPr>
            <b/>
            <sz val="8"/>
            <color indexed="8"/>
            <rFont val="Tahoma"/>
            <family val="2"/>
          </rPr>
          <t>saumo</t>
        </r>
        <r>
          <rPr>
            <b/>
            <u/>
            <sz val="8"/>
            <color indexed="8"/>
            <rFont val="Tahoma"/>
            <family val="2"/>
          </rPr>
          <t>n</t>
        </r>
        <r>
          <rPr>
            <sz val="8"/>
            <color indexed="8"/>
            <rFont val="Tahoma"/>
            <family val="2"/>
          </rPr>
          <t xml:space="preserve"> d'un aileron.
</t>
        </r>
        <r>
          <rPr>
            <i/>
            <sz val="8"/>
            <color indexed="8"/>
            <rFont val="Tahoma"/>
            <family val="2"/>
          </rPr>
          <t>Tip edge length of one fin.</t>
        </r>
      </text>
    </comment>
    <comment ref="F28" authorId="0" shapeId="0">
      <text>
        <r>
          <rPr>
            <sz val="8"/>
            <color indexed="8"/>
            <rFont val="Tahoma"/>
            <family val="2"/>
          </rPr>
          <t xml:space="preserve">Le gradient de </t>
        </r>
        <r>
          <rPr>
            <b/>
            <sz val="8"/>
            <color indexed="16"/>
            <rFont val="Tahoma"/>
            <family val="2"/>
          </rPr>
          <t>Portance</t>
        </r>
        <r>
          <rPr>
            <sz val="8"/>
            <color indexed="8"/>
            <rFont val="Tahoma"/>
            <family val="2"/>
          </rPr>
          <t xml:space="preserve"> Cnα indique l'efficacité des ailerons.
Pour l'augmenter, il faut augmenter la taille des ailerons, et inversement.
</t>
        </r>
        <r>
          <rPr>
            <i/>
            <sz val="8"/>
            <color indexed="16"/>
            <rFont val="Tahoma"/>
            <family val="2"/>
          </rPr>
          <t>Lift</t>
        </r>
        <r>
          <rPr>
            <i/>
            <sz val="8"/>
            <color indexed="8"/>
            <rFont val="Tahoma"/>
            <family val="2"/>
          </rPr>
          <t xml:space="preserve"> gradient, Cnα, represents the fins efficiency. 
To increase it, one must increase the size of the fins, and conversely.</t>
        </r>
      </text>
    </comment>
    <comment ref="B29" authorId="1" shapeId="0">
      <text>
        <r>
          <rPr>
            <b/>
            <sz val="8"/>
            <color indexed="8"/>
            <rFont val="Tahoma"/>
            <family val="2"/>
          </rPr>
          <t>Flèche</t>
        </r>
        <r>
          <rPr>
            <sz val="8"/>
            <color indexed="8"/>
            <rFont val="Tahoma"/>
            <family val="2"/>
          </rPr>
          <t xml:space="preserve"> du bord d'attaque (négatif si besoin).
</t>
        </r>
        <r>
          <rPr>
            <i/>
            <sz val="8"/>
            <color indexed="8"/>
            <rFont val="Tahoma"/>
            <family val="2"/>
          </rPr>
          <t>Offset of the Leading edge.</t>
        </r>
      </text>
    </comment>
    <comment ref="F29" authorId="0" shapeId="0">
      <text>
        <r>
          <rPr>
            <sz val="8"/>
            <color indexed="8"/>
            <rFont val="Tahoma"/>
            <family val="2"/>
          </rPr>
          <t xml:space="preserve">La </t>
        </r>
        <r>
          <rPr>
            <b/>
            <sz val="8"/>
            <color indexed="8"/>
            <rFont val="Tahoma"/>
            <family val="2"/>
          </rPr>
          <t>Marge Statique</t>
        </r>
        <r>
          <rPr>
            <sz val="8"/>
            <color indexed="8"/>
            <rFont val="Tahoma"/>
            <family val="2"/>
          </rPr>
          <t xml:space="preserve">, MS, est la distance entre le Centre de Masse et le Centre de Pression, 
exprimée en nombre de Diamètre de Référence, pour une fusée avec propulseur plein puis vide.
Pour augmenter la MS, il faut soit :
- abaisser le Centre de Portance (position des ailerons)
- rehausser le Centre de Masse
</t>
        </r>
        <r>
          <rPr>
            <i/>
            <sz val="8"/>
            <color indexed="8"/>
            <rFont val="Tahoma"/>
            <family val="2"/>
          </rPr>
          <t>Static Margin, MS, is the distance between the Center of Mass and the Center of Pressure, 
measured in number of reference diameter, for a rocket with loaded motor, then empty motor.
In order to increase MS, one must either:
- lower the Center of Pressure (position of fins)
- Move up the Center of Mass</t>
        </r>
      </text>
    </comment>
    <comment ref="B30" authorId="1" shapeId="0">
      <text>
        <r>
          <rPr>
            <b/>
            <u/>
            <sz val="8"/>
            <color indexed="8"/>
            <rFont val="Tahoma"/>
            <family val="2"/>
          </rPr>
          <t>E</t>
        </r>
        <r>
          <rPr>
            <b/>
            <sz val="8"/>
            <color indexed="8"/>
            <rFont val="Tahoma"/>
            <family val="2"/>
          </rPr>
          <t>nvergure</t>
        </r>
        <r>
          <rPr>
            <sz val="8"/>
            <color indexed="8"/>
            <rFont val="Tahoma"/>
            <family val="2"/>
          </rPr>
          <t xml:space="preserve"> d'un aileron.
</t>
        </r>
        <r>
          <rPr>
            <i/>
            <sz val="8"/>
            <color indexed="8"/>
            <rFont val="Tahoma"/>
            <family val="2"/>
          </rPr>
          <t>Span of one fin.</t>
        </r>
      </text>
    </comment>
    <comment ref="F30" authorId="0" shapeId="0">
      <text>
        <r>
          <rPr>
            <sz val="8"/>
            <color indexed="8"/>
            <rFont val="Tahoma"/>
            <family val="2"/>
          </rPr>
          <t xml:space="preserve">Le </t>
        </r>
        <r>
          <rPr>
            <b/>
            <sz val="8"/>
            <color indexed="8"/>
            <rFont val="Tahoma"/>
            <family val="2"/>
          </rPr>
          <t>produit</t>
        </r>
        <r>
          <rPr>
            <sz val="8"/>
            <color indexed="8"/>
            <rFont val="Tahoma"/>
            <family val="2"/>
          </rPr>
          <t xml:space="preserve"> MS*Cnα représente le </t>
        </r>
        <r>
          <rPr>
            <b/>
            <sz val="8"/>
            <color indexed="8"/>
            <rFont val="Tahoma"/>
            <family val="2"/>
          </rPr>
          <t>couple</t>
        </r>
        <r>
          <rPr>
            <sz val="8"/>
            <color indexed="8"/>
            <rFont val="Tahoma"/>
            <family val="2"/>
          </rPr>
          <t xml:space="preserve"> de rappel de la Portance.
Pour augmenter le produit, il faut augmenter la MS et/ou le Cnα, et inversement.
</t>
        </r>
        <r>
          <rPr>
            <i/>
            <sz val="8"/>
            <color indexed="8"/>
            <rFont val="Tahoma"/>
            <family val="2"/>
          </rPr>
          <t>The product MS*Cnα represents the lift torque.
To increase it, one must increase the Static Margin and/or the Cnα, and conversely.</t>
        </r>
      </text>
    </comment>
    <comment ref="F31" authorId="0" shapeId="0">
      <text>
        <r>
          <rPr>
            <sz val="8"/>
            <color indexed="8"/>
            <rFont val="Tahoma"/>
            <family val="2"/>
          </rPr>
          <t xml:space="preserve">Le Xcp est la </t>
        </r>
        <r>
          <rPr>
            <b/>
            <sz val="8"/>
            <color indexed="16"/>
            <rFont val="Tahoma"/>
            <family val="2"/>
          </rPr>
          <t>position du Centre de Poussée Aérodynamique</t>
        </r>
        <r>
          <rPr>
            <sz val="8"/>
            <color indexed="8"/>
            <rFont val="Tahoma"/>
            <family val="2"/>
          </rPr>
          <t xml:space="preserve"> (CPA), 
aussi appelé Centre de Pression (CP), Centre Latéral de Poussée (CLP), 
ou Foyer, exprimée par rapport à la pointe de l'ogive.
</t>
        </r>
        <r>
          <rPr>
            <i/>
            <sz val="8"/>
            <color indexed="8"/>
            <rFont val="Tahoma"/>
            <family val="2"/>
          </rPr>
          <t>Xcp is the location of the Aerodynamics Center of Pressure, 
measured from the tip of the nose cone.</t>
        </r>
      </text>
    </comment>
    <comment ref="F32" authorId="2" shapeId="0">
      <text>
        <r>
          <rPr>
            <sz val="8"/>
            <color indexed="8"/>
            <rFont val="Tahoma"/>
            <family val="2"/>
          </rPr>
          <t xml:space="preserve">Cette Marge Statique est la distance entre le Centre de Masse et le Centre de Pression, 
exprimée en </t>
        </r>
        <r>
          <rPr>
            <b/>
            <sz val="8"/>
            <color indexed="8"/>
            <rFont val="Tahoma"/>
            <family val="2"/>
          </rPr>
          <t>% de la Longueur</t>
        </r>
        <r>
          <rPr>
            <sz val="8"/>
            <color indexed="8"/>
            <rFont val="Tahoma"/>
            <family val="2"/>
          </rPr>
          <t xml:space="preserve"> de la fusée, pour une fusée avec propulseur plein puis vide.
</t>
        </r>
        <r>
          <rPr>
            <i/>
            <sz val="8"/>
            <color indexed="8"/>
            <rFont val="Tahoma"/>
            <family val="2"/>
          </rPr>
          <t>This Static Margin is the distance between the Center of Mass and the Center of Pressure, 
measured in % of rocket length, for a rocket with loaded motor, then empty motor.</t>
        </r>
      </text>
    </comment>
    <comment ref="B33" authorId="0" shapeId="0">
      <text>
        <r>
          <rPr>
            <sz val="8"/>
            <color indexed="8"/>
            <rFont val="Tahoma"/>
            <family val="2"/>
          </rPr>
          <t xml:space="preserve">Distance entre la pointe de l'ogive et le point </t>
        </r>
        <r>
          <rPr>
            <b/>
            <sz val="8"/>
            <color indexed="8"/>
            <rFont val="Tahoma"/>
            <family val="2"/>
          </rPr>
          <t>inférieur</t>
        </r>
        <r>
          <rPr>
            <sz val="8"/>
            <color indexed="8"/>
            <rFont val="Tahoma"/>
            <family val="2"/>
          </rPr>
          <t xml:space="preserve"> de l'encastrement des ailerons.
</t>
        </r>
        <r>
          <rPr>
            <i/>
            <sz val="8"/>
            <color indexed="8"/>
            <rFont val="Tahoma"/>
            <family val="2"/>
          </rPr>
          <t xml:space="preserve">Distance between the tip of the nose and the </t>
        </r>
        <r>
          <rPr>
            <b/>
            <i/>
            <sz val="8"/>
            <color indexed="8"/>
            <rFont val="Tahoma"/>
            <family val="2"/>
          </rPr>
          <t>lower</t>
        </r>
        <r>
          <rPr>
            <i/>
            <sz val="8"/>
            <color indexed="8"/>
            <rFont val="Tahoma"/>
            <family val="2"/>
          </rPr>
          <t xml:space="preserve"> point of fins attachment on the rocket.</t>
        </r>
      </text>
    </comment>
    <comment ref="B34" authorId="0" shapeId="0">
      <text>
        <r>
          <rPr>
            <sz val="8"/>
            <color indexed="8"/>
            <rFont val="Tahoma"/>
            <family val="2"/>
          </rPr>
          <t xml:space="preserve">Diamètre du fuselage au niveau des ailerons.
</t>
        </r>
        <r>
          <rPr>
            <i/>
            <sz val="8"/>
            <color indexed="8"/>
            <rFont val="Tahoma"/>
            <family val="2"/>
          </rPr>
          <t>Diameter of the body at the level of the fins.</t>
        </r>
      </text>
    </comment>
  </commentList>
</comments>
</file>

<file path=xl/comments2.xml><?xml version="1.0" encoding="utf-8"?>
<comments xmlns="http://schemas.openxmlformats.org/spreadsheetml/2006/main">
  <authors>
    <author xml:space="preserve"> </author>
    <author>Léo Côme</author>
    <author>Léo</author>
    <author>Sylvain Besson</author>
    <author>collectif</author>
  </authors>
  <commentList>
    <comment ref="B10" authorId="0" shapeId="0">
      <text>
        <r>
          <rPr>
            <sz val="8"/>
            <color indexed="8"/>
            <rFont val="Tahoma"/>
            <family val="2"/>
          </rPr>
          <t xml:space="preserve">Masse au décollage, à changer dans la feuille Stabilito,
ou à l'aide des boutons (revérifiez alors la stabilité).
</t>
        </r>
        <r>
          <rPr>
            <i/>
            <sz val="8"/>
            <color indexed="8"/>
            <rFont val="Tahoma"/>
            <family val="2"/>
          </rPr>
          <t>Lift-Off mass, to be changed in Stabilito sheet,
or with the buttons (then recheck stability).</t>
        </r>
      </text>
    </comment>
    <comment ref="B11" authorId="0" shapeId="0">
      <text>
        <r>
          <rPr>
            <sz val="8"/>
            <color indexed="8"/>
            <rFont val="Tahoma"/>
            <family val="2"/>
          </rPr>
          <t xml:space="preserve">Le propulseur doit être sélectionné dans l'onglet Stabilito.
</t>
        </r>
        <r>
          <rPr>
            <i/>
            <sz val="8"/>
            <color indexed="8"/>
            <rFont val="Tahoma"/>
            <family val="2"/>
          </rPr>
          <t>Motor must be selected in Stabilito sheet.</t>
        </r>
      </text>
    </comment>
    <comment ref="B14" authorId="1" shapeId="0">
      <text>
        <r>
          <rPr>
            <sz val="8"/>
            <color indexed="8"/>
            <rFont val="Tahoma"/>
            <family val="2"/>
          </rPr>
          <t xml:space="preserve">La Surface de Référence utilisée pour le calcul de la Traînée est la surface projetée dans l'axe de la fusée. Ce </t>
        </r>
        <r>
          <rPr>
            <b/>
            <sz val="8"/>
            <color indexed="8"/>
            <rFont val="Tahoma"/>
            <family val="2"/>
          </rPr>
          <t>Maître Couple</t>
        </r>
        <r>
          <rPr>
            <sz val="8"/>
            <color indexed="8"/>
            <rFont val="Tahoma"/>
            <family val="2"/>
          </rPr>
          <t xml:space="preserve"> inclut donc l'épaisseur des ailerons.
</t>
        </r>
        <r>
          <rPr>
            <i/>
            <sz val="8"/>
            <color indexed="8"/>
            <rFont val="Tahoma"/>
            <family val="2"/>
          </rPr>
          <t>Reference Surface used to compute the Drag. It includes Fin thickness.</t>
        </r>
      </text>
    </comment>
    <comment ref="B15" authorId="1" shapeId="0">
      <text>
        <r>
          <rPr>
            <sz val="8"/>
            <color indexed="8"/>
            <rFont val="Tahoma"/>
            <family val="2"/>
          </rPr>
          <t xml:space="preserve">Coefficient de Traînée de la fusée. Par défaut, le </t>
        </r>
        <r>
          <rPr>
            <b/>
            <sz val="8"/>
            <color indexed="8"/>
            <rFont val="Tahoma"/>
            <family val="2"/>
          </rPr>
          <t>Cx</t>
        </r>
        <r>
          <rPr>
            <sz val="8"/>
            <color indexed="8"/>
            <rFont val="Tahoma"/>
            <family val="2"/>
          </rPr>
          <t xml:space="preserve"> vaut 0.6. On peut ajouter ou retrancher 0.2 en fonction des aspérités de la fusée, du profilage des ailerons…
</t>
        </r>
        <r>
          <rPr>
            <i/>
            <sz val="8"/>
            <color indexed="8"/>
            <rFont val="Tahoma"/>
            <family val="2"/>
          </rPr>
          <t>Rocket Drag Coefficient is generally between 0.4 and 0.8, with a default value of 0.6.</t>
        </r>
      </text>
    </comment>
    <comment ref="B18" authorId="1" shapeId="0">
      <text>
        <r>
          <rPr>
            <b/>
            <sz val="8"/>
            <color indexed="8"/>
            <rFont val="Tahoma"/>
            <family val="2"/>
          </rPr>
          <t>Longueur de la rampe de lancement.</t>
        </r>
        <r>
          <rPr>
            <sz val="8"/>
            <color indexed="8"/>
            <rFont val="Tahoma"/>
            <family val="2"/>
          </rPr>
          <t xml:space="preserve">
</t>
        </r>
        <r>
          <rPr>
            <i/>
            <sz val="8"/>
            <color indexed="8"/>
            <rFont val="Tahoma"/>
            <family val="2"/>
          </rPr>
          <t xml:space="preserve">                                          Length of the launch pad.</t>
        </r>
        <r>
          <rPr>
            <sz val="8"/>
            <color indexed="8"/>
            <rFont val="Tahoma"/>
            <family val="2"/>
          </rPr>
          <t xml:space="preserve">
Valeurs courantes :                  </t>
        </r>
        <r>
          <rPr>
            <i/>
            <sz val="8"/>
            <color indexed="8"/>
            <rFont val="Tahoma"/>
            <family val="2"/>
          </rPr>
          <t>Average values :</t>
        </r>
        <r>
          <rPr>
            <sz val="8"/>
            <color indexed="8"/>
            <rFont val="Tahoma"/>
            <family val="2"/>
          </rPr>
          <t xml:space="preserve">
MicroFusée                  : 1m  :    </t>
        </r>
        <r>
          <rPr>
            <i/>
            <sz val="8"/>
            <color indexed="8"/>
            <rFont val="Tahoma"/>
            <family val="2"/>
          </rPr>
          <t>Micro-rocket</t>
        </r>
        <r>
          <rPr>
            <sz val="8"/>
            <color indexed="8"/>
            <rFont val="Tahoma"/>
            <family val="2"/>
          </rPr>
          <t xml:space="preserve">
MiniFusée                    : 2m5:   </t>
        </r>
        <r>
          <rPr>
            <i/>
            <sz val="8"/>
            <color indexed="8"/>
            <rFont val="Tahoma"/>
            <family val="2"/>
          </rPr>
          <t xml:space="preserve"> Mini-rocket
Rocketry Challenge    </t>
        </r>
        <r>
          <rPr>
            <sz val="8"/>
            <color indexed="8"/>
            <rFont val="Tahoma"/>
            <family val="2"/>
          </rPr>
          <t xml:space="preserve">: 3m
Fusée Expérimentale  : 4m  :   </t>
        </r>
        <r>
          <rPr>
            <i/>
            <sz val="8"/>
            <color indexed="8"/>
            <rFont val="Tahoma"/>
            <family val="2"/>
          </rPr>
          <t>Experimental Rocket</t>
        </r>
      </text>
    </comment>
    <comment ref="B19" authorId="1" shapeId="0">
      <text>
        <r>
          <rPr>
            <sz val="8"/>
            <color indexed="8"/>
            <rFont val="Tahoma"/>
            <family val="2"/>
          </rPr>
          <t xml:space="preserve">Elévation de la rampe, angle par rapport à l'horizontale, "site" de la rampe, par défaut cet angle est à 80°.
</t>
        </r>
        <r>
          <rPr>
            <i/>
            <sz val="8"/>
            <color indexed="8"/>
            <rFont val="Tahoma"/>
            <family val="2"/>
          </rPr>
          <t>Angle of the lauch pad versus horizontal.</t>
        </r>
      </text>
    </comment>
    <comment ref="B20" authorId="1" shapeId="0">
      <text>
        <r>
          <rPr>
            <sz val="8"/>
            <color indexed="8"/>
            <rFont val="Tahoma"/>
            <family val="2"/>
          </rPr>
          <t xml:space="preserve">L'Altitude de la rampe est utilisée pour calculer la densité de l'air.
</t>
        </r>
        <r>
          <rPr>
            <i/>
            <sz val="8"/>
            <color indexed="8"/>
            <rFont val="Tahoma"/>
            <family val="2"/>
          </rPr>
          <t>Launch Pad Altitude is used to compute the air density.</t>
        </r>
      </text>
    </comment>
    <comment ref="D23" authorId="2" shapeId="0">
      <text>
        <r>
          <rPr>
            <b/>
            <sz val="8"/>
            <color indexed="8"/>
            <rFont val="Tahoma"/>
            <family val="2"/>
          </rPr>
          <t>Objet largué</t>
        </r>
        <r>
          <rPr>
            <sz val="8"/>
            <color indexed="8"/>
            <rFont val="Tahoma"/>
            <family val="2"/>
          </rPr>
          <t xml:space="preserve"> (CanSat, quasi-satellite, partie contenant l'œuf...)
</t>
        </r>
        <r>
          <rPr>
            <i/>
            <sz val="8"/>
            <color indexed="8"/>
            <rFont val="Tahoma"/>
            <family val="2"/>
          </rPr>
          <t>Separated object (CanSat, quasi-satellite, payload/egg...)</t>
        </r>
      </text>
    </comment>
    <comment ref="K23" authorId="1" shapeId="0">
      <text>
        <r>
          <rPr>
            <sz val="8"/>
            <color indexed="8"/>
            <rFont val="Tahoma"/>
            <family val="2"/>
          </rPr>
          <t xml:space="preserve">La Vitesse en Sortie de Rampe doit être supérieure à 18m/s (MiniFusée) ou 20m/s (Fusée Exp.).
Alléger la fusée ou choisir un propu plus puissant.
</t>
        </r>
        <r>
          <rPr>
            <i/>
            <sz val="8"/>
            <color indexed="8"/>
            <rFont val="Tahoma"/>
            <family val="2"/>
          </rPr>
          <t>Speed at Launch Pad Exit must by higher than 18m/s (mini-rocket) or 20m/s (experimental rocket).
Lighten the rocket or choose a bigger motor.</t>
        </r>
      </text>
    </comment>
    <comment ref="C24" authorId="2" shapeId="0">
      <text>
        <r>
          <rPr>
            <sz val="8"/>
            <color indexed="8"/>
            <rFont val="Tahoma"/>
            <family val="2"/>
          </rPr>
          <t xml:space="preserve">Masse de la fusée (sans satellite) sous parachute.
</t>
        </r>
        <r>
          <rPr>
            <i/>
            <sz val="8"/>
            <color indexed="8"/>
            <rFont val="Tahoma"/>
            <family val="2"/>
          </rPr>
          <t>Mass of the rocket (w/o sat) when it fall with a parachute.</t>
        </r>
      </text>
    </comment>
    <comment ref="M27" authorId="3" shapeId="0">
      <text>
        <r>
          <rPr>
            <sz val="8"/>
            <color indexed="81"/>
            <rFont val="Tahoma"/>
            <family val="2"/>
          </rPr>
          <t xml:space="preserve">Efforts sur les fixations du parachute lors de sont ouverture.
</t>
        </r>
        <r>
          <rPr>
            <i/>
            <sz val="8"/>
            <color indexed="81"/>
            <rFont val="Tahoma"/>
            <family val="2"/>
          </rPr>
          <t>Stress on the parachute's bindings when it opened.</t>
        </r>
      </text>
    </comment>
    <comment ref="B28" authorId="1" shapeId="0">
      <text>
        <r>
          <rPr>
            <sz val="8"/>
            <color indexed="8"/>
            <rFont val="Tahoma"/>
            <family val="2"/>
          </rPr>
          <t xml:space="preserve">Le Coefficient de Traînée </t>
        </r>
        <r>
          <rPr>
            <b/>
            <sz val="8"/>
            <color indexed="8"/>
            <rFont val="Tahoma"/>
            <family val="2"/>
          </rPr>
          <t>Cx</t>
        </r>
        <r>
          <rPr>
            <sz val="8"/>
            <color indexed="8"/>
            <rFont val="Tahoma"/>
            <family val="2"/>
          </rPr>
          <t xml:space="preserve"> (ou Cd) d'un parachute est généralement compris entre 0.7 et 1.4 (1 par défaut).
</t>
        </r>
        <r>
          <rPr>
            <i/>
            <sz val="8"/>
            <color indexed="8"/>
            <rFont val="Tahoma"/>
            <family val="2"/>
          </rPr>
          <t xml:space="preserve">Parachute Drag Coefficient </t>
        </r>
        <r>
          <rPr>
            <b/>
            <i/>
            <sz val="8"/>
            <color indexed="8"/>
            <rFont val="Tahoma"/>
            <family val="2"/>
          </rPr>
          <t>Cx</t>
        </r>
        <r>
          <rPr>
            <i/>
            <sz val="8"/>
            <color indexed="8"/>
            <rFont val="Tahoma"/>
            <family val="2"/>
          </rPr>
          <t xml:space="preserve"> (or Cd) should be between 0.7 and 1.4, with a default value of 1.</t>
        </r>
      </text>
    </comment>
    <comment ref="M28" authorId="3" shapeId="0">
      <text>
        <r>
          <rPr>
            <sz val="8"/>
            <color indexed="81"/>
            <rFont val="Tahoma"/>
            <family val="2"/>
          </rPr>
          <t>Energie libérée lors de l'impact balistique.</t>
        </r>
        <r>
          <rPr>
            <b/>
            <sz val="8"/>
            <color indexed="81"/>
            <rFont val="Tahoma"/>
            <family val="2"/>
          </rPr>
          <t xml:space="preserve">
</t>
        </r>
        <r>
          <rPr>
            <i/>
            <sz val="8"/>
            <color indexed="81"/>
            <rFont val="Tahoma"/>
            <family val="2"/>
          </rPr>
          <t>Balistic impact energy</t>
        </r>
      </text>
    </comment>
    <comment ref="B30" authorId="4" shapeId="0">
      <text>
        <r>
          <rPr>
            <sz val="8"/>
            <color indexed="81"/>
            <rFont val="Tahoma"/>
            <family val="2"/>
          </rPr>
          <t xml:space="preserve">La Vitesse de descente sous parachute doit être comprise entre 5 &amp; 15m/s.
</t>
        </r>
        <r>
          <rPr>
            <i/>
            <sz val="8"/>
            <color indexed="81"/>
            <rFont val="Tahoma"/>
            <family val="2"/>
          </rPr>
          <t>Fall Velocity with parachute must be between 5 &amp; 15 m/s.</t>
        </r>
      </text>
    </comment>
    <comment ref="B33" authorId="0" shapeId="0">
      <text>
        <r>
          <rPr>
            <sz val="8"/>
            <color indexed="8"/>
            <rFont val="Tahoma"/>
            <family val="2"/>
          </rPr>
          <t xml:space="preserve">Déviation due au vent lors de la descente sous parachute.
</t>
        </r>
        <r>
          <rPr>
            <i/>
            <sz val="8"/>
            <color indexed="8"/>
            <rFont val="Tahoma"/>
            <family val="2"/>
          </rPr>
          <t>Deviation due to wind during the fall over parachute.</t>
        </r>
      </text>
    </comment>
    <comment ref="F40" authorId="1" shapeId="0">
      <text>
        <r>
          <rPr>
            <sz val="8"/>
            <color indexed="8"/>
            <rFont val="Tahoma"/>
            <family val="2"/>
          </rPr>
          <t xml:space="preserve">Les Conditions Initiales permettent de simuler le 2e boost des fusée bi-étage ou des fusées larguant une masse (CanSat, bi-inerte). Laisser à 0 dans les autres cas.
</t>
        </r>
        <r>
          <rPr>
            <i/>
            <sz val="8"/>
            <color indexed="8"/>
            <rFont val="Tahoma"/>
            <family val="2"/>
          </rPr>
          <t>Initial Conditions can be used to simulate the 2nd boost of 2-stages rockets, or rocket releasing mass (Quasi-Satellites). Set them to 0 otherwise.</t>
        </r>
      </text>
    </comment>
    <comment ref="I40" authorId="1" shapeId="0">
      <text>
        <r>
          <rPr>
            <sz val="8"/>
            <color indexed="8"/>
            <rFont val="Tahoma"/>
            <family val="2"/>
          </rPr>
          <t xml:space="preserve">Altitude par rapport à la rampe, par rapport au sol.
</t>
        </r>
        <r>
          <rPr>
            <i/>
            <sz val="8"/>
            <color indexed="8"/>
            <rFont val="Tahoma"/>
            <family val="2"/>
          </rPr>
          <t>Altitude with respect to the earth surface.</t>
        </r>
      </text>
    </comment>
    <comment ref="K40" authorId="1" shapeId="0">
      <text>
        <r>
          <rPr>
            <sz val="8"/>
            <color indexed="8"/>
            <rFont val="Tahoma"/>
            <family val="2"/>
          </rPr>
          <t xml:space="preserve">La vitesse initiale doit être non-nulle dans le cas d'un 2e boost (allumage hors de la rampe, Portée et Altitude non-nulles).
</t>
        </r>
        <r>
          <rPr>
            <i/>
            <sz val="8"/>
            <color indexed="8"/>
            <rFont val="Tahoma"/>
            <family val="2"/>
          </rPr>
          <t>Initial Velocity must be non-zero in case of 2nd boost (ignition without launch pad, non-zero Range and Altitude).</t>
        </r>
      </text>
    </comment>
  </commentList>
</comments>
</file>

<file path=xl/comments3.xml><?xml version="1.0" encoding="utf-8"?>
<comments xmlns="http://schemas.openxmlformats.org/spreadsheetml/2006/main">
  <authors>
    <author xml:space="preserve"> </author>
    <author>M363040</author>
    <author>Léo Côme</author>
  </authors>
  <commentList>
    <comment ref="B10" authorId="0" shapeId="0">
      <text>
        <r>
          <rPr>
            <sz val="8"/>
            <color indexed="8"/>
            <rFont val="Tahoma"/>
            <family val="2"/>
          </rPr>
          <t xml:space="preserve">Masse sans propu, à changer dans la feuille Stabilito,
ou à l'aide des boutons (revérifiez alors la stabilité).
</t>
        </r>
        <r>
          <rPr>
            <i/>
            <sz val="8"/>
            <color indexed="8"/>
            <rFont val="Tahoma"/>
            <family val="2"/>
          </rPr>
          <t>Rocket mass without motor, to be changed in Stabilito sheet,
or with the buttons (then recheck stability).</t>
        </r>
      </text>
    </comment>
    <comment ref="B11" authorId="0" shapeId="0">
      <text>
        <r>
          <rPr>
            <sz val="8"/>
            <color indexed="8"/>
            <rFont val="Tahoma"/>
            <family val="2"/>
          </rPr>
          <t>Masse totale, à changer dans la feuille Stabilito,
ou à l'aide des boutons (revérifiez alors la stabilité).
Rocket total mass, to be changed in Stabilito sheet,
or with the buttons (then recheck stability).</t>
        </r>
      </text>
    </comment>
    <comment ref="B12" authorId="0" shapeId="0">
      <text>
        <r>
          <rPr>
            <sz val="8"/>
            <color indexed="8"/>
            <rFont val="Tahoma"/>
            <family val="2"/>
          </rPr>
          <t xml:space="preserve">Le propulseur doit être sélectionné dans l'onglet Stabilito.
</t>
        </r>
        <r>
          <rPr>
            <i/>
            <sz val="8"/>
            <color indexed="8"/>
            <rFont val="Tahoma"/>
            <family val="2"/>
          </rPr>
          <t>Motor must be selected in Stabilito sheet.</t>
        </r>
      </text>
    </comment>
    <comment ref="B15" authorId="1" shapeId="0">
      <text>
        <r>
          <rPr>
            <sz val="8"/>
            <color indexed="8"/>
            <rFont val="Tahoma"/>
            <family val="2"/>
          </rPr>
          <t xml:space="preserve">Diamètre de référence. D_réf = D_ogive ou le diamètre "principal".
</t>
        </r>
        <r>
          <rPr>
            <i/>
            <sz val="8"/>
            <color indexed="8"/>
            <rFont val="Tahoma"/>
            <family val="2"/>
          </rPr>
          <t>Reference Diameter. D_ref = D_ogive or the "main" diameter.</t>
        </r>
      </text>
    </comment>
    <comment ref="B16" authorId="2" shapeId="0">
      <text>
        <r>
          <rPr>
            <sz val="8"/>
            <color indexed="8"/>
            <rFont val="Tahoma"/>
            <family val="2"/>
          </rPr>
          <t xml:space="preserve">Coefficient de Traînée de la fusée. Par défaut, le </t>
        </r>
        <r>
          <rPr>
            <b/>
            <sz val="8"/>
            <color indexed="8"/>
            <rFont val="Tahoma"/>
            <family val="2"/>
          </rPr>
          <t>Cx</t>
        </r>
        <r>
          <rPr>
            <sz val="8"/>
            <color indexed="8"/>
            <rFont val="Tahoma"/>
            <family val="2"/>
          </rPr>
          <t xml:space="preserve"> vaut 0.6. On peut ajouter ou retrancher 0.2 en fonction des aspérités de la fusée, du profilage des ailerons…
</t>
        </r>
        <r>
          <rPr>
            <i/>
            <sz val="8"/>
            <color indexed="8"/>
            <rFont val="Tahoma"/>
            <family val="2"/>
          </rPr>
          <t>Rocket Drag Coefficient is generally between 0.4 and 0.8, with a default value of 0.6.</t>
        </r>
      </text>
    </comment>
  </commentList>
</comments>
</file>

<file path=xl/comments4.xml><?xml version="1.0" encoding="utf-8"?>
<comments xmlns="http://schemas.openxmlformats.org/spreadsheetml/2006/main">
  <authors>
    <author xml:space="preserve"> Léo</author>
  </authors>
  <commentList>
    <comment ref="E53" authorId="0" shapeId="0">
      <text>
        <r>
          <rPr>
            <sz val="8"/>
            <color indexed="81"/>
            <rFont val="Tahoma"/>
            <family val="2"/>
          </rPr>
          <t xml:space="preserve">Masse volumique de l'air (ρ) à P=1013,25hPa &amp; T=15°C.
Utilisée tel quel pour la descente sous parachute,
utilisée comme référence (z=0) pour le calcul de ρ en fonction de l'altitude dans le calcul de la trajectoire pas à pas.
Idéalement, valeur à adapter aux conditions atmosphériques au moment du lancement.
</t>
        </r>
        <r>
          <rPr>
            <i/>
            <sz val="8"/>
            <color indexed="81"/>
            <rFont val="Tahoma"/>
            <family val="2"/>
          </rPr>
          <t>Air density (ρ) at P=1013,25hPa &amp; T=15°C.</t>
        </r>
      </text>
    </comment>
  </commentList>
</comments>
</file>

<file path=xl/sharedStrings.xml><?xml version="1.0" encoding="utf-8"?>
<sst xmlns="http://schemas.openxmlformats.org/spreadsheetml/2006/main" count="1788" uniqueCount="610">
  <si>
    <t>TRAJECTO</t>
  </si>
  <si>
    <t>Français</t>
  </si>
  <si>
    <t>t</t>
  </si>
  <si>
    <t>x</t>
  </si>
  <si>
    <t>Club</t>
  </si>
  <si>
    <t>Cx</t>
  </si>
  <si>
    <t>Altitude</t>
  </si>
  <si>
    <t>m/s²</t>
  </si>
  <si>
    <t>kg/m3</t>
  </si>
  <si>
    <t>Surface para</t>
  </si>
  <si>
    <t>Cx parachute</t>
  </si>
  <si>
    <t>Temps</t>
  </si>
  <si>
    <t>Altitude z</t>
  </si>
  <si>
    <t>Accélération</t>
  </si>
  <si>
    <t>-</t>
  </si>
  <si>
    <t>Culmination, Apogée</t>
  </si>
  <si>
    <t>~0</t>
  </si>
  <si>
    <t>Forces</t>
  </si>
  <si>
    <t>Accélération longitudinale</t>
  </si>
  <si>
    <t>pas</t>
  </si>
  <si>
    <t>Beta</t>
  </si>
  <si>
    <t>BetaD</t>
  </si>
  <si>
    <t>Débit</t>
  </si>
  <si>
    <t>Trainée</t>
  </si>
  <si>
    <t>Rho</t>
  </si>
  <si>
    <t>Poussée</t>
  </si>
  <si>
    <t>i_P</t>
  </si>
  <si>
    <t>Poids</t>
  </si>
  <si>
    <t>R_rampe</t>
  </si>
  <si>
    <t>z</t>
  </si>
  <si>
    <t>non-gravit.</t>
  </si>
  <si>
    <t>gravitationnelle</t>
  </si>
  <si>
    <t>Ligne</t>
  </si>
  <si>
    <t>Temps (en s)</t>
  </si>
  <si>
    <t>Poussée (en N)</t>
  </si>
  <si>
    <t>Isard</t>
  </si>
  <si>
    <t>Chamois</t>
  </si>
  <si>
    <t>Pro75-2G</t>
  </si>
  <si>
    <t>espace@planete-sciences.org</t>
  </si>
  <si>
    <t>m</t>
  </si>
  <si>
    <t>http://www.planete-sciences.org/espace/basedoc/</t>
  </si>
  <si>
    <t>Surface Réf.</t>
  </si>
  <si>
    <t>Angle</t>
  </si>
  <si>
    <t>Léo Côme</t>
  </si>
  <si>
    <t>Notes :</t>
  </si>
  <si>
    <t>Aucun (2e ét. inerte)</t>
  </si>
  <si>
    <t>z para</t>
  </si>
  <si>
    <t>z sat</t>
  </si>
  <si>
    <t>xz max</t>
  </si>
  <si>
    <t>t para</t>
  </si>
  <si>
    <t>x para</t>
  </si>
  <si>
    <t>t sat</t>
  </si>
  <si>
    <t>x sat</t>
  </si>
  <si>
    <t>Moteurs Rocketry-Challenge, bug Surface_parachute, Satellite, bug Ooo</t>
  </si>
  <si>
    <t>STABILITO</t>
  </si>
  <si>
    <t>Type</t>
  </si>
  <si>
    <t>XCp</t>
  </si>
  <si>
    <t>MpropuPlein</t>
  </si>
  <si>
    <t>XpropuPlein</t>
  </si>
  <si>
    <t>MpropuVide</t>
  </si>
  <si>
    <t>XpropuVide</t>
  </si>
  <si>
    <t>Longueur</t>
  </si>
  <si>
    <t>Diamètre</t>
  </si>
  <si>
    <t>Min</t>
  </si>
  <si>
    <t>Max</t>
  </si>
  <si>
    <t>Finesse</t>
  </si>
  <si>
    <t>Cnα</t>
  </si>
  <si>
    <t>MS /L</t>
  </si>
  <si>
    <t>English</t>
  </si>
  <si>
    <t>X longi</t>
  </si>
  <si>
    <t>Y latéral</t>
  </si>
  <si>
    <t>- Y latéral</t>
  </si>
  <si>
    <t>Pointe</t>
  </si>
  <si>
    <t>Ogive</t>
  </si>
  <si>
    <t>chmt1 pt1</t>
  </si>
  <si>
    <t>chmt1 pt2</t>
  </si>
  <si>
    <t>chmt2 pt1</t>
  </si>
  <si>
    <t>chmt2 pt2</t>
  </si>
  <si>
    <t>culot</t>
  </si>
  <si>
    <t>aileron pt1</t>
  </si>
  <si>
    <t>aileron pt2</t>
  </si>
  <si>
    <t>aileron pt3</t>
  </si>
  <si>
    <t>aileron pt4</t>
  </si>
  <si>
    <t>Xcg plein</t>
  </si>
  <si>
    <t>Xcg vide</t>
  </si>
  <si>
    <t>Xcp</t>
  </si>
  <si>
    <t>canard pt1</t>
  </si>
  <si>
    <t>canard pt2</t>
  </si>
  <si>
    <t>canard pt3</t>
  </si>
  <si>
    <t>canard pt4</t>
  </si>
  <si>
    <t>masquage pt1</t>
  </si>
  <si>
    <t>masquage pt2</t>
  </si>
  <si>
    <t>masquage pt3</t>
  </si>
  <si>
    <t>masquage pt4</t>
  </si>
  <si>
    <t>cadre</t>
  </si>
  <si>
    <t>propu pt1</t>
  </si>
  <si>
    <t>propu pt2</t>
  </si>
  <si>
    <t>propu pt3</t>
  </si>
  <si>
    <t>propu pt4</t>
  </si>
  <si>
    <t>propu pt5</t>
  </si>
  <si>
    <t>MS (X)</t>
  </si>
  <si>
    <t>Cna (Y)</t>
  </si>
  <si>
    <t>2002-2007</t>
  </si>
  <si>
    <t>Stabilito V1.x</t>
  </si>
  <si>
    <t>Stabilito V2.0</t>
  </si>
  <si>
    <t>Stabilito V2.1</t>
  </si>
  <si>
    <t>Stabilito V2.2</t>
  </si>
  <si>
    <t>Trajecto V1.x</t>
  </si>
  <si>
    <t>Trajecto V2.x</t>
  </si>
  <si>
    <t>Trajecto V2.4</t>
  </si>
  <si>
    <t>Trajecto V2.5</t>
  </si>
  <si>
    <t>OpenOffice Calc</t>
  </si>
  <si>
    <t>µ-propu A8-3</t>
  </si>
  <si>
    <t>µ-propu B4-4</t>
  </si>
  <si>
    <t>µ-propu C6-3</t>
  </si>
  <si>
    <t>ISP</t>
  </si>
  <si>
    <t>I_total</t>
  </si>
  <si>
    <t>I_total_i (en N.s)</t>
  </si>
  <si>
    <t>Micro</t>
  </si>
  <si>
    <t>Fusex</t>
  </si>
  <si>
    <t>Mini</t>
  </si>
  <si>
    <t>0 satellite</t>
  </si>
  <si>
    <t>1 satellite</t>
  </si>
  <si>
    <t>http://creativecommons.org/licenses/by-sa/3.0/</t>
  </si>
  <si>
    <t>VL4</t>
  </si>
  <si>
    <t>Vsortie de rampe (&gt; 18 m/s)</t>
  </si>
  <si>
    <t>10 &lt; finesse &lt; 20</t>
  </si>
  <si>
    <t>15 &lt; Cn &lt; 30</t>
  </si>
  <si>
    <t>30 &lt; Ms x Cn &lt; 100</t>
  </si>
  <si>
    <t>RC1</t>
  </si>
  <si>
    <t>5 &lt; Vc &lt; 15 m/s</t>
  </si>
  <si>
    <t>RC2</t>
  </si>
  <si>
    <t>Temps de retard ralentisseur</t>
  </si>
  <si>
    <t>RC5</t>
  </si>
  <si>
    <t>Portée balistique (m)</t>
  </si>
  <si>
    <t>Temps de vol avec parachute (s)</t>
  </si>
  <si>
    <t>Culmination</t>
  </si>
  <si>
    <t>Accélération max (m/s²)</t>
  </si>
  <si>
    <t>Vmax (m/s)</t>
  </si>
  <si>
    <t>Altitude (m)</t>
  </si>
  <si>
    <t>Temps (s)</t>
  </si>
  <si>
    <t>Vitesse (m/s)</t>
  </si>
  <si>
    <t>Inclinaison</t>
  </si>
  <si>
    <t>Longueur totale</t>
  </si>
  <si>
    <t>Longueur rampe</t>
  </si>
  <si>
    <t>Epaisseur ailerons</t>
  </si>
  <si>
    <t>Nombre ailerons</t>
  </si>
  <si>
    <t>Type d'ogive</t>
  </si>
  <si>
    <t>Longueur ogive "l"</t>
  </si>
  <si>
    <t>Haut du propu "Prop"</t>
  </si>
  <si>
    <t>Diamètre "D"</t>
  </si>
  <si>
    <t>Position ailerons "L"</t>
  </si>
  <si>
    <t>M</t>
  </si>
  <si>
    <t>Microsoft Excel 2003 ou +</t>
  </si>
  <si>
    <t>s</t>
  </si>
  <si>
    <t>m/s</t>
  </si>
  <si>
    <t>°</t>
  </si>
  <si>
    <t>Transition A</t>
  </si>
  <si>
    <t>Transition B</t>
  </si>
  <si>
    <t>Jaune</t>
  </si>
  <si>
    <t>conique</t>
  </si>
  <si>
    <t>ogive</t>
  </si>
  <si>
    <t>parabole</t>
  </si>
  <si>
    <t>env pt4</t>
  </si>
  <si>
    <t>flèche pt2</t>
  </si>
  <si>
    <t>saumon pt3</t>
  </si>
  <si>
    <t>flèche milieu</t>
  </si>
  <si>
    <t>env milieu</t>
  </si>
  <si>
    <t>saumon milieu</t>
  </si>
  <si>
    <t>empl milieu</t>
  </si>
  <si>
    <t>empl pt4</t>
  </si>
  <si>
    <t>MS milieu</t>
  </si>
  <si>
    <t>MS Xcp</t>
  </si>
  <si>
    <t>1s</t>
  </si>
  <si>
    <t>t/T</t>
  </si>
  <si>
    <t>z/Z</t>
  </si>
  <si>
    <t>vertical</t>
  </si>
  <si>
    <t>horizontal</t>
  </si>
  <si>
    <t>flèches</t>
  </si>
  <si>
    <t>StabTraj</t>
  </si>
  <si>
    <t>StabTraj V3.0</t>
  </si>
  <si>
    <t>Trajecto</t>
  </si>
  <si>
    <t>µ-propu</t>
  </si>
  <si>
    <t>Minif</t>
  </si>
  <si>
    <t xml:space="preserve"> </t>
  </si>
  <si>
    <t>Événements</t>
  </si>
  <si>
    <t>Sous-échantillon 1Hz</t>
  </si>
  <si>
    <t>pos_x</t>
  </si>
  <si>
    <t>pos_z</t>
  </si>
  <si>
    <t>pos_xz</t>
  </si>
  <si>
    <t>vit_x</t>
  </si>
  <si>
    <t>vit_z</t>
  </si>
  <si>
    <t>vit_xz</t>
  </si>
  <si>
    <t>acc_x</t>
  </si>
  <si>
    <t>acc_z</t>
  </si>
  <si>
    <t>acc_xz</t>
  </si>
  <si>
    <t>Donneés au format des fiches de contrôles Fusex :</t>
  </si>
  <si>
    <t>Diamètre max</t>
  </si>
  <si>
    <t>Envergure totale</t>
  </si>
  <si>
    <t>sans</t>
  </si>
  <si>
    <t>vide</t>
  </si>
  <si>
    <t>plein</t>
  </si>
  <si>
    <t>Masse</t>
  </si>
  <si>
    <t>STAB 1</t>
  </si>
  <si>
    <t>STAB 2</t>
  </si>
  <si>
    <t>STAB 3</t>
  </si>
  <si>
    <t>STAB 4</t>
  </si>
  <si>
    <t>STAB 5</t>
  </si>
  <si>
    <t>Vsortie de rampe (&gt; 20 m/s)</t>
  </si>
  <si>
    <t>10 &lt; finesse &lt; 35</t>
  </si>
  <si>
    <t>15 &lt; Portance &lt; 40</t>
  </si>
  <si>
    <t>2*D &lt; Ms &lt; 6*D</t>
  </si>
  <si>
    <t>40 &lt; Ms x Cn &lt; 100</t>
  </si>
  <si>
    <t>Maître couple (m²)</t>
  </si>
  <si>
    <t>Site</t>
  </si>
  <si>
    <t>Temps balistique (s)</t>
  </si>
  <si>
    <t>Temps culmi (s)</t>
  </si>
  <si>
    <t>Altitude culmi (m)</t>
  </si>
  <si>
    <t>Vitesse culmi (m/s)</t>
  </si>
  <si>
    <t>CdG</t>
  </si>
  <si>
    <t>Diamètre max (40à200)</t>
  </si>
  <si>
    <t>Envergure totale &lt;720</t>
  </si>
  <si>
    <t>Masse &lt;15</t>
  </si>
  <si>
    <t>Pensez à modifier l'inclinaison pour avoir les 2 valeurs.</t>
  </si>
  <si>
    <t>Resist long aileron</t>
  </si>
  <si>
    <t>Resist transv aileron</t>
  </si>
  <si>
    <t>Compression 2.Acc.M</t>
  </si>
  <si>
    <t>N</t>
  </si>
  <si>
    <t>kg</t>
  </si>
  <si>
    <t>Surface aileron (m²)</t>
  </si>
  <si>
    <t>Masse aileron (kg)</t>
  </si>
  <si>
    <t>T dépotage +/-2s /appogée</t>
  </si>
  <si>
    <t>REC 2</t>
  </si>
  <si>
    <t>SEQ 5</t>
  </si>
  <si>
    <t>CR 1</t>
  </si>
  <si>
    <t>CR 2</t>
  </si>
  <si>
    <t>MEC 3</t>
  </si>
  <si>
    <t>Vitesse à l'ouverture m/s</t>
  </si>
  <si>
    <t>Surface parachute m²</t>
  </si>
  <si>
    <t xml:space="preserve">Choc à l'ouverture   N </t>
  </si>
  <si>
    <t>Choc à l'ouverture   kg</t>
  </si>
  <si>
    <t>Compression porte</t>
  </si>
  <si>
    <t>Masse au-dessus porte</t>
  </si>
  <si>
    <t>REC 8</t>
  </si>
  <si>
    <t>rad</t>
  </si>
  <si>
    <t>kg/s</t>
  </si>
  <si>
    <t>Méthodes d'intégration maison</t>
  </si>
  <si>
    <t>Wikipedia</t>
  </si>
  <si>
    <t>Pour se limiter à 1000 lignes, pas variable (les transitions sont-elles rigoureuses ?).</t>
  </si>
  <si>
    <t>Le Vol de la Fusée</t>
  </si>
  <si>
    <t>Beeman (2nd order, explicit variant)</t>
  </si>
  <si>
    <t>Newmark-beta (with γ=1/2 &amp; β=1/4) (2nd order)</t>
  </si>
  <si>
    <t>Spécificités de notre problème (2nd order mechanical ODE) :</t>
  </si>
  <si>
    <t>Verlet (2-stage 2nd order, symplectic, explicit)</t>
  </si>
  <si>
    <t>Trajec 2.x utililse un mélange douteux de différentes méthodes :</t>
  </si>
  <si>
    <t>Méthodes d'intégration explicites officielles</t>
  </si>
  <si>
    <t>On peut anticiper la Poussée (force qui varie le +) et la masse.</t>
  </si>
  <si>
    <t>L'Acc dépend de la vitesse (et peu de la position).</t>
  </si>
  <si>
    <t>Semi-implicit Euler (1st order, symplectic) [§ "Euler modifié" dans Le Vol de La Fusée]</t>
  </si>
  <si>
    <t>Explicit Euler (1st order, non-symplectic) [RK1]</t>
  </si>
  <si>
    <t>Velocity Verlet, Leapfrog variant (2nd order, symplectic, explicit)</t>
  </si>
  <si>
    <t>Midpoint, Modified Euler (2nd order, explicit) [§ "RK2" dans Le Vol de La Fusée]</t>
  </si>
  <si>
    <t>Heun, Improved Euler (2-stage 2nd-order, explicit, predictor-corrector) [Trapezoidal] [RK2]</t>
  </si>
  <si>
    <t>Les méthodes symplectic (conserve l'énergie) gardent-elles leur avantage quand la masse varie (ph propu) ?</t>
  </si>
  <si>
    <t>Sous Excel, on a les pas précédent (linear multistep possible), mais ordre élevé ou implicite sont à exclure.</t>
  </si>
  <si>
    <t>Multi{sub}step (RK), linear multi{previous}step (ADAMS), predictor-corrector, implicit …</t>
  </si>
  <si>
    <t>Dynamique de la fusée (repère sol)</t>
  </si>
  <si>
    <t>Brun/Orange…</t>
  </si>
  <si>
    <t>Rouge…</t>
  </si>
  <si>
    <t>Trajecto/StabTraj corrige l'erreur de Trajec sur Xn+1 en utilisant la vitesse moyenne :</t>
  </si>
  <si>
    <t>Idéalement, il serait préférable de tout calculer à n+0.5 (m, V, β, ρ).</t>
  </si>
  <si>
    <t>Checksum :</t>
  </si>
  <si>
    <t>M_éjecté</t>
  </si>
  <si>
    <t>M_burnout</t>
  </si>
  <si>
    <t>m_poudre</t>
  </si>
  <si>
    <t>Wapiti</t>
  </si>
  <si>
    <t>Cariacou</t>
  </si>
  <si>
    <t>H2O</t>
  </si>
  <si>
    <t>H2O 2.0L 400g 6bar</t>
  </si>
  <si>
    <t>H2O 2.0L 600g 6bar</t>
  </si>
  <si>
    <t>H2O 2.0L 800g 6bar</t>
  </si>
  <si>
    <t>H2O 2.0L 1000g 6bar</t>
  </si>
  <si>
    <t>ABACO</t>
  </si>
  <si>
    <t>Masse totale</t>
  </si>
  <si>
    <t>Traînée prop</t>
  </si>
  <si>
    <t>Traînée bal</t>
  </si>
  <si>
    <t>1/2.ρ.S.Cx</t>
  </si>
  <si>
    <t>M ph prop</t>
  </si>
  <si>
    <t>M ph bal</t>
  </si>
  <si>
    <t>alt_prop</t>
  </si>
  <si>
    <t>V_prop</t>
  </si>
  <si>
    <t>t_culmi</t>
  </si>
  <si>
    <t>D_var</t>
  </si>
  <si>
    <t>Q_var</t>
  </si>
  <si>
    <t>m_var</t>
  </si>
  <si>
    <t>m_prop</t>
  </si>
  <si>
    <t>m_bal</t>
  </si>
  <si>
    <t>a_prop</t>
  </si>
  <si>
    <t>b_prop</t>
  </si>
  <si>
    <t>b_bal</t>
  </si>
  <si>
    <t>Alt prop</t>
  </si>
  <si>
    <t>V max</t>
  </si>
  <si>
    <t>LibreOffice Calc 3.4 ou +</t>
  </si>
  <si>
    <t>alt_culmi</t>
  </si>
  <si>
    <t>x_triomphe</t>
  </si>
  <si>
    <t>z_triomphe</t>
  </si>
  <si>
    <t>Arc de triomphe</t>
  </si>
  <si>
    <t>z_Eiffel</t>
  </si>
  <si>
    <t>x_Eiffel</t>
  </si>
  <si>
    <t>Tour Eiffel</t>
  </si>
  <si>
    <t>H2O 1.5L 300g 6bar</t>
  </si>
  <si>
    <t>H2O 1.5L 450g 6bar</t>
  </si>
  <si>
    <t>H2O 1.5L 600g 6bar</t>
  </si>
  <si>
    <t>H2O 1.5L 750g 6bar</t>
  </si>
  <si>
    <t>FUSEX</t>
  </si>
  <si>
    <t>MINIF PRO29-1G</t>
  </si>
  <si>
    <t>MINIF PRO24-3G</t>
  </si>
  <si>
    <t>MINIF PRO29-2G</t>
  </si>
  <si>
    <t>MINIF PRO24-1G</t>
  </si>
  <si>
    <t>Pro98-2G WT</t>
  </si>
  <si>
    <t>Pro98-3G WT</t>
  </si>
  <si>
    <t>p24-1G 24E22</t>
  </si>
  <si>
    <t>p24-1G 26E31</t>
  </si>
  <si>
    <t>p24-3G 60F50</t>
  </si>
  <si>
    <t>p24-3G 68F79</t>
  </si>
  <si>
    <t>p24-3G 68F240</t>
  </si>
  <si>
    <t>p24-3G 73F30</t>
  </si>
  <si>
    <t>p24-3G 74F85</t>
  </si>
  <si>
    <t>p24-3G 75F51</t>
  </si>
  <si>
    <t>StabTraj V3.1</t>
  </si>
  <si>
    <t>StabTraj V3.2</t>
  </si>
  <si>
    <t>µ-propu C6-3 x2</t>
  </si>
  <si>
    <t>µ-propu C6-3 x3</t>
  </si>
  <si>
    <t>Propu : +RC &amp; +Tintin 2013 : 3 p24-1G, p24-3G 75F51 &amp; 60F50, Pro98-2G &amp; 3G WT</t>
  </si>
  <si>
    <t>Propu : +multi-µ-fu, -Wapiti, warning Cariacou, "Rufina"</t>
  </si>
  <si>
    <t>Donneés au format des fiches de lancement Fusex :</t>
  </si>
  <si>
    <t>Projet</t>
  </si>
  <si>
    <t>Chef de projet</t>
  </si>
  <si>
    <t>Date</t>
  </si>
  <si>
    <t>Moteur</t>
  </si>
  <si>
    <t>Virole</t>
  </si>
  <si>
    <t>MECANIQUE</t>
  </si>
  <si>
    <t xml:space="preserve">l = </t>
  </si>
  <si>
    <t xml:space="preserve">D = </t>
  </si>
  <si>
    <t>Dj =</t>
  </si>
  <si>
    <t xml:space="preserve">Dr = </t>
  </si>
  <si>
    <t xml:space="preserve">m = </t>
  </si>
  <si>
    <t>Epaisseur :</t>
  </si>
  <si>
    <t>Nb Aileron</t>
  </si>
  <si>
    <t>Type ogive</t>
  </si>
  <si>
    <t>ogivale</t>
  </si>
  <si>
    <t>parabolique</t>
  </si>
  <si>
    <t>X_plaque de poussée</t>
  </si>
  <si>
    <t>Masse fusée</t>
  </si>
  <si>
    <t>X_CdG</t>
  </si>
  <si>
    <t>Propu plein</t>
  </si>
  <si>
    <t>Sans propu</t>
  </si>
  <si>
    <t>Masse avec propu vide</t>
  </si>
  <si>
    <t>Simulation de vol</t>
  </si>
  <si>
    <t>Tenue mécanique</t>
  </si>
  <si>
    <t>masse d'un aileron</t>
  </si>
  <si>
    <t>superficie d'un aileron</t>
  </si>
  <si>
    <t>fleche acceptable(mm)</t>
  </si>
  <si>
    <t>compression</t>
  </si>
  <si>
    <t>Resistance longitudinale d'un aileron</t>
  </si>
  <si>
    <t>Resistance transversale d'un aileron</t>
  </si>
  <si>
    <t>Récupération</t>
  </si>
  <si>
    <t>Ralentisseur</t>
  </si>
  <si>
    <t>nombre de suspentes</t>
  </si>
  <si>
    <t>surface parachute</t>
  </si>
  <si>
    <t>force à tester totale</t>
  </si>
  <si>
    <t>force sur suspente</t>
  </si>
  <si>
    <t>Séparation latérale</t>
  </si>
  <si>
    <t>masse au dessus case para</t>
  </si>
  <si>
    <t>Force de compression</t>
  </si>
  <si>
    <t>MINIF PRO24-6G</t>
  </si>
  <si>
    <t>MINIF PRO38-1G</t>
  </si>
  <si>
    <t>p29-2G 84G88</t>
  </si>
  <si>
    <t>p29-2G 93G80</t>
  </si>
  <si>
    <t>p29-2G 110G250</t>
  </si>
  <si>
    <t>p29-2G 116G126</t>
  </si>
  <si>
    <t>p38-1G 137G58</t>
  </si>
  <si>
    <t>p38-1G 128G185</t>
  </si>
  <si>
    <t>p29-1G 41F36</t>
  </si>
  <si>
    <t>p29-1G 51F36</t>
  </si>
  <si>
    <t>p29-1G 55F29</t>
  </si>
  <si>
    <t>p29-1G 56F120</t>
  </si>
  <si>
    <t>p29-1G 57F59</t>
  </si>
  <si>
    <t>MINIF PRO29-3G</t>
  </si>
  <si>
    <t>p29-3G 125G131</t>
  </si>
  <si>
    <t>p38-1G 141G78</t>
  </si>
  <si>
    <t>MINIF PRO24-2G</t>
  </si>
  <si>
    <t>p24-2G 50E51</t>
  </si>
  <si>
    <t>p24-1G 53E70</t>
  </si>
  <si>
    <t>p29-3G 159G125</t>
  </si>
  <si>
    <t>Dépotage</t>
  </si>
  <si>
    <t>Combustion</t>
  </si>
  <si>
    <t>Sylvain Besson</t>
  </si>
  <si>
    <t>Minif Test</t>
  </si>
  <si>
    <t>Rocketry Challenge</t>
  </si>
  <si>
    <t>,Minif Tests</t>
  </si>
  <si>
    <t>MiniR</t>
  </si>
  <si>
    <t>MiniRN</t>
  </si>
  <si>
    <t>MiniN</t>
  </si>
  <si>
    <t>H20</t>
  </si>
  <si>
    <t>micro</t>
  </si>
  <si>
    <t>minif N</t>
  </si>
  <si>
    <t>Verification moteur</t>
  </si>
  <si>
    <t>Minif RC</t>
  </si>
  <si>
    <t>N/A</t>
  </si>
  <si>
    <t>T_para =</t>
  </si>
  <si>
    <t>-9</t>
  </si>
  <si>
    <t>-7</t>
  </si>
  <si>
    <t>-5</t>
  </si>
  <si>
    <t>-3</t>
  </si>
  <si>
    <t>-0</t>
  </si>
  <si>
    <t>Délais dépotage</t>
  </si>
  <si>
    <t>Propu : +ProX, Stabilito : séparation minif/RC, Trajecto : dépotage +rampe RC 3m</t>
  </si>
  <si>
    <t>StabTraj V3.3a</t>
  </si>
  <si>
    <t>p24-1G 25E75 (Rufina)</t>
  </si>
  <si>
    <t>Modification des alertes, +Effort subit par les parachutes</t>
  </si>
  <si>
    <t>Pour prendre en compte plsu de moteurs, il faut changer les variables "menu_type" et "liste"propu" dans le gestionnaire de noms.</t>
  </si>
  <si>
    <t>StabTraj V3.3e</t>
  </si>
  <si>
    <t>Efforts</t>
  </si>
  <si>
    <t>Xcp0</t>
  </si>
  <si>
    <t>sans propu</t>
  </si>
  <si>
    <t>Mono-empennage</t>
  </si>
  <si>
    <t>Bi-empennage</t>
  </si>
  <si>
    <t>Portée balistique &lt; 200 m</t>
  </si>
  <si>
    <t>Indication dépotage lanceur</t>
  </si>
  <si>
    <t>~0 m</t>
  </si>
  <si>
    <t>Données au format des fiches de contrôles minif :</t>
  </si>
  <si>
    <t xml:space="preserve">n = </t>
  </si>
  <si>
    <t xml:space="preserve">E = </t>
  </si>
  <si>
    <t xml:space="preserve">p = </t>
  </si>
  <si>
    <t>1,5.D &lt; Ms &lt; 6.D</t>
  </si>
  <si>
    <t xml:space="preserve">ailrons haut </t>
  </si>
  <si>
    <t>nombre</t>
  </si>
  <si>
    <t xml:space="preserve">ep = </t>
  </si>
  <si>
    <t>Fusée</t>
  </si>
  <si>
    <t>D</t>
  </si>
  <si>
    <t>L ogive</t>
  </si>
  <si>
    <t>L tot</t>
  </si>
  <si>
    <t>X prop</t>
  </si>
  <si>
    <t>Ailerons</t>
  </si>
  <si>
    <t>n</t>
  </si>
  <si>
    <t>p</t>
  </si>
  <si>
    <t>E</t>
  </si>
  <si>
    <t>X ail</t>
  </si>
  <si>
    <t>Bi empennage</t>
  </si>
  <si>
    <t>L</t>
  </si>
  <si>
    <t>D 1</t>
  </si>
  <si>
    <t>D 2</t>
  </si>
  <si>
    <t>X</t>
  </si>
  <si>
    <t>X cg (sans)</t>
  </si>
  <si>
    <t>(mm)</t>
  </si>
  <si>
    <t>Masse sans propu (kg)</t>
  </si>
  <si>
    <t>Couleur de la fusée</t>
  </si>
  <si>
    <t>Type d'éjection du para.</t>
  </si>
  <si>
    <t>Couleur du ralentisseur</t>
  </si>
  <si>
    <t>Surface ralentisseur (m²)</t>
  </si>
  <si>
    <t>Masse sans prop. (kg)</t>
  </si>
  <si>
    <t>Diamètre max (mm)</t>
  </si>
  <si>
    <t>Longeur de la rampe (m)</t>
  </si>
  <si>
    <t>Propulseur</t>
  </si>
  <si>
    <t>module rocket(){</t>
  </si>
  <si>
    <t>}</t>
  </si>
  <si>
    <t>//--------------------------------coiffe</t>
  </si>
  <si>
    <t>if (coiffe_type   == "conique"){</t>
  </si>
  <si>
    <t>//--------------------------------corps</t>
  </si>
  <si>
    <t>if (plusieur_diametres == false){</t>
  </si>
  <si>
    <t>} else {</t>
  </si>
  <si>
    <t>//--------------------------------ailerons</t>
  </si>
  <si>
    <t>aileron(coiffe_diametre, aileron_m_emplature,</t>
  </si>
  <si>
    <t xml:space="preserve"> aileron_position_bas);</t>
  </si>
  <si>
    <t>if (bi_empennage == true){</t>
  </si>
  <si>
    <t xml:space="preserve"> aileron_sup_nombre,</t>
  </si>
  <si>
    <t>rocket();</t>
  </si>
  <si>
    <t xml:space="preserve">	module aileron(diam, m, n, p, e, ep, nb, pos, masque = true){</t>
  </si>
  <si>
    <t xml:space="preserve"> 		depha =   masque ? 0 : 45 ;</t>
  </si>
  <si>
    <t xml:space="preserve">		for (angle = [0 : 360/nb : 360] ){</t>
  </si>
  <si>
    <t xml:space="preserve">			translate ([-diam*sin(angle+depha), diam*cos(angle+depha), pos-m]) {</t>
  </si>
  <si>
    <t xml:space="preserve">				rotate( [0, 0, angle+depha] ){</t>
  </si>
  <si>
    <t xml:space="preserve">	</t>
  </si>
  <si>
    <t xml:space="preserve">					polyhedron</t>
  </si>
  <si>
    <t xml:space="preserve">						(points = [</t>
  </si>
  <si>
    <t xml:space="preserve">							[+ep, 0, 0], [+ep, 0, m], [+ep, e, p+n],  [+ep, e, p],</t>
  </si>
  <si>
    <t xml:space="preserve">							[-ep, 0, 0], [-ep, 0, m], [-ep, e, p+n],  [-ep, e, p]</t>
  </si>
  <si>
    <t xml:space="preserve">							],</t>
  </si>
  <si>
    <t xml:space="preserve">						triangles = [</t>
  </si>
  <si>
    <t xml:space="preserve">							[0, 2, 1], [0, 2, 3], //carre +</t>
  </si>
  <si>
    <t xml:space="preserve">							[4, 6, 5], [4, 6, 7], //carre -</t>
  </si>
  <si>
    <t xml:space="preserve">							[0, 5, 1], [0, 5, 4],</t>
  </si>
  <si>
    <t xml:space="preserve">							[1, 6, 2], [1, 6, 5],</t>
  </si>
  <si>
    <t xml:space="preserve">							[2, 7, 3], [2, 7, 6],</t>
  </si>
  <si>
    <t xml:space="preserve">							[0, 7, 3], [0, 7, 4]</t>
  </si>
  <si>
    <t xml:space="preserve">							]</t>
  </si>
  <si>
    <t xml:space="preserve">						);</t>
  </si>
  <si>
    <t xml:space="preserve">				}</t>
  </si>
  <si>
    <t xml:space="preserve">			}</t>
  </si>
  <si>
    <t xml:space="preserve">		}</t>
  </si>
  <si>
    <t xml:space="preserve">	}	</t>
  </si>
  <si>
    <t xml:space="preserve">	module coiffe(diam, hauteur, resolution = 20.0){</t>
  </si>
  <si>
    <t xml:space="preserve">		pas = hauteur/resolution;</t>
  </si>
  <si>
    <t xml:space="preserve">		for (x = [0: pas : hauteur] ){</t>
  </si>
  <si>
    <t xml:space="preserve">			translate( [0, 0, x+pas] ){</t>
  </si>
  <si>
    <t xml:space="preserve">				cylinder(pas, pow(x, 1.0/2.0), pow(x+pas, 1.0/2.0), false);</t>
  </si>
  <si>
    <t xml:space="preserve">	}</t>
  </si>
  <si>
    <t xml:space="preserve">	cylinder(coiffe_hauteur, 0, coiffe_diametre, false);</t>
  </si>
  <si>
    <t xml:space="preserve">	translate ([0, 0, coiffe_hauteur]) {</t>
  </si>
  <si>
    <t xml:space="preserve">		cylinder(longeur_total-coiffe_hauteur, coiffe_diametre, coiffe_diametre, false);</t>
  </si>
  <si>
    <t xml:space="preserve">	//Premier cylindre</t>
  </si>
  <si>
    <t xml:space="preserve">		cylinder(diam_A_X_implantation-coiffe_hauteur, coiffe_diametre, coiffe_diametre, false);</t>
  </si>
  <si>
    <t xml:space="preserve">	//Premier chanvrin</t>
  </si>
  <si>
    <t xml:space="preserve">	translate ([0, 0, diam_A_X_implantation]) {</t>
  </si>
  <si>
    <t xml:space="preserve">		cylinder(diam_A_L_longeur, diam_A_D1_diametre, diam_A_D2_diametre, false);</t>
  </si>
  <si>
    <t xml:space="preserve">		</t>
  </si>
  <si>
    <t xml:space="preserve">	//Second cylindre</t>
  </si>
  <si>
    <t xml:space="preserve">	translate ([0, 0, diam_A_X_implantation+diam_A_L_longeur]) {</t>
  </si>
  <si>
    <t xml:space="preserve">		cylinder(diam_B_X_implantation-(diam_A_X_implantation+diam_A_L_longeur), diam_A_D2_diametre, diam_B_D1_diametre, false);</t>
  </si>
  <si>
    <t xml:space="preserve">	//Second chanvrin</t>
  </si>
  <si>
    <t xml:space="preserve">	translate ([0, 0, diam_B_X_implantation]) {</t>
  </si>
  <si>
    <t xml:space="preserve">		cylinder(diam_B_L_longeur, diam_B_D1_diametre, diam_B_D2_diametre, false);</t>
  </si>
  <si>
    <t xml:space="preserve">	//Troisieme cylindre</t>
  </si>
  <si>
    <t xml:space="preserve">	translate ([0, 0, diam_B_X_implantation + diam_B_L_longeur]) {</t>
  </si>
  <si>
    <t xml:space="preserve">		cylinder(longeur_total-(diam_B_X_implantation + diam_B_L_longeur), diam_B_D2_diametre, diam_B_D2_diametre, false);</t>
  </si>
  <si>
    <t xml:space="preserve">	 aileron_n_saumon, </t>
  </si>
  <si>
    <t xml:space="preserve">	 aileron_p_fleche,</t>
  </si>
  <si>
    <t xml:space="preserve">	 aileron_e_envergure,</t>
  </si>
  <si>
    <t xml:space="preserve">	 aileron_epaisseur,</t>
  </si>
  <si>
    <t xml:space="preserve">	 aileron_nombre,</t>
  </si>
  <si>
    <t xml:space="preserve">	aileron(coiffe_diametre, aileron_sup_m_emplature,</t>
  </si>
  <si>
    <t xml:space="preserve">	 aileron_sup_n_saumon,</t>
  </si>
  <si>
    <t xml:space="preserve">	 aileron_sup_p_fleche,</t>
  </si>
  <si>
    <t xml:space="preserve">	 aileron_sup_e_envergure,</t>
  </si>
  <si>
    <t xml:space="preserve">	 aileron_sup_epaisseur,</t>
  </si>
  <si>
    <t xml:space="preserve">	 aileron_sup_position_bas,</t>
  </si>
  <si>
    <t xml:space="preserve">	 aileron_sup_masque);</t>
  </si>
  <si>
    <t>p24-6G 140G145 PK</t>
  </si>
  <si>
    <t>p24-6G 139G107 DT</t>
  </si>
  <si>
    <t>p24-6G 142G117 WT</t>
  </si>
  <si>
    <t>Klima D9-7 x2</t>
  </si>
  <si>
    <t>Klima D9-7 x3</t>
  </si>
  <si>
    <t>Klima D9-7</t>
  </si>
  <si>
    <t>StabTraj V3.4.1</t>
  </si>
  <si>
    <t>Propu : +Klima D9</t>
  </si>
  <si>
    <t>v3.4.2</t>
  </si>
  <si>
    <t>p29-1G 56F31</t>
  </si>
  <si>
    <t xml:space="preserve"> 143G150 BS</t>
  </si>
  <si>
    <t>StabTraj V3.4.2</t>
  </si>
  <si>
    <t>Ajout propu</t>
  </si>
  <si>
    <t>Pandora (Pro24-6G BS)</t>
  </si>
  <si>
    <t>Barasinga (Pro54-5G C)</t>
  </si>
  <si>
    <t>Orignal (Pro75-3G C)</t>
  </si>
  <si>
    <t>Blastocerus (Pro98-6GXL RL)</t>
  </si>
  <si>
    <t>FICHE GENERALE</t>
  </si>
  <si>
    <t>Club :</t>
  </si>
  <si>
    <t>Projet :</t>
  </si>
  <si>
    <t>Propu</t>
  </si>
  <si>
    <t>Stabilité</t>
  </si>
  <si>
    <t>Expériences embarquées</t>
  </si>
  <si>
    <t>Portance</t>
  </si>
  <si>
    <t>Marge Statique</t>
  </si>
  <si>
    <t>Remarques Spécifiques</t>
  </si>
  <si>
    <t>produit MS*Cn</t>
  </si>
  <si>
    <t>Commentaire</t>
  </si>
  <si>
    <t>Demandes du club</t>
  </si>
  <si>
    <t/>
  </si>
  <si>
    <t>Note
 trajectographie</t>
  </si>
  <si>
    <t>RAMPE</t>
  </si>
  <si>
    <t>longueur hors tout</t>
  </si>
  <si>
    <t>plus grand diamètre</t>
  </si>
  <si>
    <t>Envergure maximale</t>
  </si>
  <si>
    <t>Rampes compatibles</t>
  </si>
  <si>
    <t>Obelix</t>
  </si>
  <si>
    <t>Menhir</t>
  </si>
  <si>
    <t>Toutatis</t>
  </si>
  <si>
    <t>Rail</t>
  </si>
  <si>
    <t>LOC</t>
  </si>
  <si>
    <t>élément principal</t>
  </si>
  <si>
    <t>élément secondaire</t>
  </si>
  <si>
    <t>autre</t>
  </si>
  <si>
    <t>Couleur du corps :</t>
  </si>
  <si>
    <t xml:space="preserve">Couleur de l'ogive : </t>
  </si>
  <si>
    <t>Couleur du parachute :</t>
  </si>
  <si>
    <t>METEO / TRAJECTO</t>
  </si>
  <si>
    <t>Site utilisé</t>
  </si>
  <si>
    <t>Temps de culmination</t>
  </si>
  <si>
    <t>Distance sommet ogive /CG</t>
  </si>
  <si>
    <t>Altitude de culmination</t>
  </si>
  <si>
    <t>Vitesse culmination</t>
  </si>
  <si>
    <t>Portée balistique</t>
  </si>
  <si>
    <t>Satellite</t>
  </si>
  <si>
    <t>Vitesse maximale</t>
  </si>
  <si>
    <t>Vitesse de descente</t>
  </si>
  <si>
    <t>Accélération max</t>
  </si>
  <si>
    <t>Temps de descente</t>
  </si>
  <si>
    <t>Cx utilisé</t>
  </si>
  <si>
    <t>Fusée expérimentale.</t>
  </si>
  <si>
    <t>Compatibilité Rampe</t>
  </si>
  <si>
    <t>Résistance des patins</t>
  </si>
  <si>
    <t>Parabolique (arrondie)</t>
  </si>
  <si>
    <t>Plusieurs diamètres.</t>
  </si>
  <si>
    <t>AcelSpace</t>
  </si>
  <si>
    <t>Karlvagnen</t>
  </si>
  <si>
    <t>Mesure de force de traction para / Mesures de vitesse Venturi et Pitot</t>
  </si>
  <si>
    <t>telem 2,4GHz / Pas d'OP en tente club / 10min d'OP en rampe</t>
  </si>
  <si>
    <t>blanc</t>
  </si>
  <si>
    <t>rouge et blanc</t>
  </si>
  <si>
    <t>STABLE / stabilité validée avec modélisations avec et sans canards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</si>
</sst>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9">
    <numFmt numFmtId="164" formatCode="General&quot; kg&quot;"/>
    <numFmt numFmtId="165" formatCode="0.0"/>
    <numFmt numFmtId="166" formatCode="0.000000&quot; m²&quot;"/>
    <numFmt numFmtId="167" formatCode="General&quot; m&quot;"/>
    <numFmt numFmtId="168" formatCode="General&quot; °&quot;"/>
    <numFmt numFmtId="169" formatCode="0.000"/>
    <numFmt numFmtId="170" formatCode="General&quot; s&quot;"/>
    <numFmt numFmtId="171" formatCode="General&quot; m²&quot;"/>
    <numFmt numFmtId="172" formatCode="0&quot; m/s&quot;"/>
    <numFmt numFmtId="173" formatCode="0&quot; s&quot;"/>
    <numFmt numFmtId="174" formatCode="General&quot; m/s&quot;"/>
    <numFmt numFmtId="175" formatCode="0&quot; m&quot;"/>
    <numFmt numFmtId="176" formatCode="General\ &quot;kg&quot;"/>
    <numFmt numFmtId="177" formatCode="General\ &quot;mm&quot;"/>
    <numFmt numFmtId="178" formatCode="0&quot; mm&quot;"/>
    <numFmt numFmtId="179" formatCode="General\ &quot;D&quot;"/>
    <numFmt numFmtId="180" formatCode="0.00&quot; D&quot;"/>
    <numFmt numFmtId="181" formatCode="0&quot;% L&quot;"/>
    <numFmt numFmtId="182" formatCode="General\°"/>
    <numFmt numFmtId="183" formatCode="0.#"/>
    <numFmt numFmtId="184" formatCode="0.0&quot; N.s&quot;"/>
    <numFmt numFmtId="185" formatCode="\±\ 0&quot; m&quot;"/>
    <numFmt numFmtId="186" formatCode="0.0&quot; s&quot;"/>
    <numFmt numFmtId="187" formatCode="0.0&quot; m/s&quot;"/>
    <numFmt numFmtId="188" formatCode="0&quot; m/s²&quot;"/>
    <numFmt numFmtId="189" formatCode="0.00&quot; m²&quot;"/>
    <numFmt numFmtId="190" formatCode="General\ &quot;g&quot;"/>
    <numFmt numFmtId="191" formatCode="#,##0.0\ [$ N]"/>
    <numFmt numFmtId="192" formatCode="#,##0.000\ [$KG]"/>
    <numFmt numFmtId="193" formatCode="0.0&quot; mm&quot;"/>
    <numFmt numFmtId="194" formatCode="General&quot; kg ±100%&quot;"/>
    <numFmt numFmtId="195" formatCode="0&quot; mm ±50%&quot;"/>
    <numFmt numFmtId="196" formatCode="General\ &quot;m/s²&quot;"/>
    <numFmt numFmtId="197" formatCode="&quot;Ø = &quot;0&quot; mm&quot;"/>
    <numFmt numFmtId="198" formatCode="#,##0\ [$ mm²]"/>
    <numFmt numFmtId="199" formatCode="#,#00\ [$ mm]"/>
    <numFmt numFmtId="200" formatCode="#,##0\ [$mm]"/>
    <numFmt numFmtId="201" formatCode="#,##0.00000\ [$ m²]"/>
    <numFmt numFmtId="202" formatCode="#,##0.0\ [$ kg]"/>
    <numFmt numFmtId="203" formatCode="0.00&quot; s&quot;"/>
    <numFmt numFmtId="204" formatCode="0.0&quot; N&quot;"/>
    <numFmt numFmtId="205" formatCode="0&quot; J&quot;"/>
    <numFmt numFmtId="206" formatCode="0&quot; G&quot;"/>
    <numFmt numFmtId="207" formatCode="#,##0.000\ [$kg]"/>
    <numFmt numFmtId="208" formatCode="#,##0.0\ [$ sec]"/>
    <numFmt numFmtId="209" formatCode="#,000\ [$M]"/>
    <numFmt numFmtId="210" formatCode="#,#00\ [$ m/s]"/>
    <numFmt numFmtId="211" formatCode="#,##0\ [$ m/s²]"/>
    <numFmt numFmtId="212" formatCode="#,##0.0\ [$KG]"/>
  </numFmts>
  <fonts count="57" x14ac:knownFonts="1">
    <font>
      <sz val="10"/>
      <name val="Arial"/>
      <family val="2"/>
    </font>
    <font>
      <sz val="10"/>
      <name val="Arial"/>
      <family val="2"/>
    </font>
    <font>
      <b/>
      <sz val="10"/>
      <name val="Arial"/>
      <family val="2"/>
    </font>
    <font>
      <b/>
      <sz val="20"/>
      <color indexed="9"/>
      <name val="Arial"/>
      <family val="2"/>
    </font>
    <font>
      <b/>
      <sz val="12"/>
      <name val="Times New Roman"/>
      <family val="1"/>
    </font>
    <font>
      <b/>
      <sz val="9"/>
      <name val="Arial"/>
      <family val="2"/>
    </font>
    <font>
      <b/>
      <u/>
      <sz val="10"/>
      <name val="Arial"/>
      <family val="2"/>
    </font>
    <font>
      <sz val="10"/>
      <color indexed="9"/>
      <name val="Arial"/>
      <family val="2"/>
    </font>
    <font>
      <sz val="8"/>
      <name val="Arial"/>
      <family val="2"/>
    </font>
    <font>
      <u/>
      <sz val="10"/>
      <name val="Arial"/>
      <family val="2"/>
    </font>
    <font>
      <u/>
      <sz val="10"/>
      <color indexed="12"/>
      <name val="Arial"/>
      <family val="2"/>
    </font>
    <font>
      <b/>
      <sz val="10"/>
      <color indexed="18"/>
      <name val="Arial"/>
      <family val="2"/>
    </font>
    <font>
      <b/>
      <sz val="10"/>
      <color indexed="58"/>
      <name val="Arial"/>
      <family val="2"/>
    </font>
    <font>
      <b/>
      <sz val="10"/>
      <color indexed="17"/>
      <name val="Arial"/>
      <family val="2"/>
    </font>
    <font>
      <b/>
      <sz val="10"/>
      <color indexed="23"/>
      <name val="Arial"/>
      <family val="2"/>
    </font>
    <font>
      <sz val="10"/>
      <name val="Arial"/>
      <family val="2"/>
    </font>
    <font>
      <b/>
      <sz val="10"/>
      <color indexed="10"/>
      <name val="Arial"/>
      <family val="2"/>
    </font>
    <font>
      <b/>
      <sz val="14"/>
      <color indexed="10"/>
      <name val="Arial"/>
      <family val="2"/>
    </font>
    <font>
      <sz val="8"/>
      <color indexed="8"/>
      <name val="Tahoma"/>
      <family val="2"/>
    </font>
    <font>
      <i/>
      <sz val="8"/>
      <color indexed="8"/>
      <name val="Tahoma"/>
      <family val="2"/>
    </font>
    <font>
      <b/>
      <sz val="8"/>
      <color indexed="8"/>
      <name val="Tahoma"/>
      <family val="2"/>
    </font>
    <font>
      <sz val="8"/>
      <color indexed="10"/>
      <name val="Tahoma"/>
      <family val="2"/>
    </font>
    <font>
      <i/>
      <sz val="8"/>
      <color indexed="10"/>
      <name val="Tahoma"/>
      <family val="2"/>
    </font>
    <font>
      <b/>
      <u/>
      <sz val="8"/>
      <color indexed="8"/>
      <name val="Tahoma"/>
      <family val="2"/>
    </font>
    <font>
      <b/>
      <sz val="8"/>
      <color indexed="16"/>
      <name val="Tahoma"/>
      <family val="2"/>
    </font>
    <font>
      <i/>
      <sz val="8"/>
      <color indexed="16"/>
      <name val="Tahoma"/>
      <family val="2"/>
    </font>
    <font>
      <strike/>
      <sz val="10"/>
      <name val="Arial"/>
      <family val="2"/>
    </font>
    <font>
      <b/>
      <i/>
      <sz val="8"/>
      <color indexed="8"/>
      <name val="Tahoma"/>
      <family val="2"/>
    </font>
    <font>
      <b/>
      <sz val="10"/>
      <color indexed="23"/>
      <name val="Arial"/>
      <family val="2"/>
    </font>
    <font>
      <b/>
      <sz val="6"/>
      <name val="Arial"/>
      <family val="2"/>
    </font>
    <font>
      <sz val="8"/>
      <color indexed="23"/>
      <name val="Arial"/>
      <family val="2"/>
    </font>
    <font>
      <b/>
      <sz val="10"/>
      <color indexed="23"/>
      <name val="Arial"/>
      <family val="2"/>
    </font>
    <font>
      <b/>
      <sz val="10"/>
      <color indexed="23"/>
      <name val="Arial"/>
      <family val="2"/>
    </font>
    <font>
      <sz val="10"/>
      <color indexed="23"/>
      <name val="Arial"/>
      <family val="2"/>
    </font>
    <font>
      <sz val="10"/>
      <color indexed="12"/>
      <name val="Arial"/>
      <family val="2"/>
    </font>
    <font>
      <b/>
      <sz val="12"/>
      <name val="Arial"/>
      <family val="2"/>
    </font>
    <font>
      <b/>
      <sz val="8"/>
      <name val="Arial"/>
      <family val="2"/>
    </font>
    <font>
      <sz val="8"/>
      <color indexed="12"/>
      <name val="Tahoma"/>
      <family val="2"/>
    </font>
    <font>
      <i/>
      <sz val="8"/>
      <color indexed="12"/>
      <name val="Tahoma"/>
      <family val="2"/>
    </font>
    <font>
      <sz val="8"/>
      <color indexed="81"/>
      <name val="Tahoma"/>
      <family val="2"/>
    </font>
    <font>
      <i/>
      <sz val="8"/>
      <color indexed="81"/>
      <name val="Tahoma"/>
      <family val="2"/>
    </font>
    <font>
      <b/>
      <sz val="10"/>
      <color indexed="53"/>
      <name val="Arial"/>
      <family val="2"/>
    </font>
    <font>
      <b/>
      <u/>
      <sz val="12"/>
      <name val="Arial"/>
      <family val="2"/>
    </font>
    <font>
      <b/>
      <i/>
      <sz val="10"/>
      <name val="Arial"/>
      <family val="2"/>
    </font>
    <font>
      <b/>
      <sz val="8"/>
      <color indexed="81"/>
      <name val="Tahoma"/>
      <family val="2"/>
    </font>
    <font>
      <b/>
      <sz val="10"/>
      <color rgb="FFFF0000"/>
      <name val="Arial"/>
      <family val="2"/>
    </font>
    <font>
      <b/>
      <sz val="10"/>
      <color rgb="FF808080"/>
      <name val="Arial"/>
      <family val="2"/>
    </font>
    <font>
      <sz val="10"/>
      <color rgb="FF808080"/>
      <name val="Arial"/>
      <family val="2"/>
    </font>
    <font>
      <sz val="8"/>
      <color rgb="FF808080"/>
      <name val="Arial"/>
      <family val="2"/>
    </font>
    <font>
      <sz val="8"/>
      <color theme="0"/>
      <name val="Arial"/>
      <family val="2"/>
    </font>
    <font>
      <sz val="10"/>
      <color rgb="FFFF0000"/>
      <name val="Arial"/>
      <family val="2"/>
    </font>
    <font>
      <sz val="12"/>
      <name val="Arial"/>
      <family val="2"/>
    </font>
    <font>
      <b/>
      <u/>
      <sz val="18"/>
      <name val="Arial"/>
      <family val="2"/>
    </font>
    <font>
      <b/>
      <u/>
      <sz val="16"/>
      <name val="Arial"/>
      <family val="2"/>
    </font>
    <font>
      <sz val="14"/>
      <name val="Arial"/>
      <family val="2"/>
    </font>
    <font>
      <sz val="16"/>
      <name val="Arial"/>
      <family val="2"/>
    </font>
    <font>
      <sz val="10"/>
      <color theme="0"/>
      <name val="Arial"/>
      <family val="2"/>
    </font>
  </fonts>
  <fills count="38">
    <fill>
      <patternFill patternType="none"/>
    </fill>
    <fill>
      <patternFill patternType="gray125"/>
    </fill>
    <fill>
      <patternFill patternType="solid">
        <fgColor indexed="9"/>
        <bgColor indexed="26"/>
      </patternFill>
    </fill>
    <fill>
      <patternFill patternType="solid">
        <fgColor indexed="43"/>
        <bgColor indexed="42"/>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7"/>
        <bgColor indexed="42"/>
      </patternFill>
    </fill>
    <fill>
      <patternFill patternType="solid">
        <fgColor indexed="44"/>
        <bgColor indexed="27"/>
      </patternFill>
    </fill>
    <fill>
      <patternFill patternType="solid">
        <fgColor indexed="44"/>
        <bgColor indexed="22"/>
      </patternFill>
    </fill>
    <fill>
      <patternFill patternType="solid">
        <fgColor indexed="47"/>
        <bgColor indexed="64"/>
      </patternFill>
    </fill>
    <fill>
      <patternFill patternType="solid">
        <fgColor indexed="47"/>
        <bgColor indexed="27"/>
      </patternFill>
    </fill>
    <fill>
      <patternFill patternType="solid">
        <fgColor indexed="47"/>
        <bgColor indexed="44"/>
      </patternFill>
    </fill>
    <fill>
      <patternFill patternType="solid">
        <fgColor indexed="42"/>
        <bgColor indexed="42"/>
      </patternFill>
    </fill>
    <fill>
      <patternFill patternType="solid">
        <fgColor indexed="42"/>
        <bgColor indexed="64"/>
      </patternFill>
    </fill>
    <fill>
      <patternFill patternType="solid">
        <fgColor indexed="43"/>
        <bgColor indexed="44"/>
      </patternFill>
    </fill>
    <fill>
      <patternFill patternType="solid">
        <fgColor indexed="26"/>
        <bgColor indexed="41"/>
      </patternFill>
    </fill>
    <fill>
      <patternFill patternType="solid">
        <fgColor indexed="42"/>
        <bgColor indexed="41"/>
      </patternFill>
    </fill>
    <fill>
      <patternFill patternType="solid">
        <fgColor indexed="43"/>
        <bgColor indexed="41"/>
      </patternFill>
    </fill>
    <fill>
      <patternFill patternType="solid">
        <fgColor indexed="8"/>
        <bgColor indexed="64"/>
      </patternFill>
    </fill>
    <fill>
      <patternFill patternType="solid">
        <fgColor indexed="8"/>
        <bgColor indexed="58"/>
      </patternFill>
    </fill>
    <fill>
      <patternFill patternType="solid">
        <fgColor rgb="FFCCFFFF"/>
        <bgColor indexed="41"/>
      </patternFill>
    </fill>
    <fill>
      <patternFill patternType="solid">
        <fgColor rgb="FF99CCFF"/>
        <bgColor indexed="31"/>
      </patternFill>
    </fill>
    <fill>
      <patternFill patternType="solid">
        <fgColor rgb="FFCCFFFF"/>
        <bgColor indexed="42"/>
      </patternFill>
    </fill>
    <fill>
      <patternFill patternType="solid">
        <fgColor rgb="FFCCFFCC"/>
        <bgColor indexed="42"/>
      </patternFill>
    </fill>
    <fill>
      <patternFill patternType="solid">
        <fgColor rgb="FFCCFFCC"/>
        <bgColor indexed="41"/>
      </patternFill>
    </fill>
    <fill>
      <patternFill patternType="solid">
        <fgColor rgb="FFFFCC99"/>
        <bgColor indexed="31"/>
      </patternFill>
    </fill>
    <fill>
      <patternFill patternType="solid">
        <fgColor rgb="FF99CCFF"/>
        <bgColor indexed="64"/>
      </patternFill>
    </fill>
    <fill>
      <patternFill patternType="solid">
        <fgColor rgb="FFFFCC99"/>
        <bgColor indexed="64"/>
      </patternFill>
    </fill>
    <fill>
      <patternFill patternType="solid">
        <fgColor rgb="FFCCFFCC"/>
        <bgColor indexed="64"/>
      </patternFill>
    </fill>
    <fill>
      <patternFill patternType="solid">
        <fgColor rgb="FFFFFF99"/>
        <bgColor indexed="64"/>
      </patternFill>
    </fill>
    <fill>
      <patternFill patternType="solid">
        <fgColor rgb="FFFFCC99"/>
        <bgColor indexed="42"/>
      </patternFill>
    </fill>
    <fill>
      <patternFill patternType="solid">
        <fgColor rgb="FFCCFFFF"/>
        <bgColor indexed="64"/>
      </patternFill>
    </fill>
    <fill>
      <patternFill patternType="solid">
        <fgColor rgb="FFFFFF99"/>
        <bgColor indexed="42"/>
      </patternFill>
    </fill>
    <fill>
      <patternFill patternType="solid">
        <fgColor indexed="41"/>
        <bgColor indexed="64"/>
      </patternFill>
    </fill>
    <fill>
      <patternFill patternType="solid">
        <fgColor theme="4" tint="0.79998168889431442"/>
        <bgColor indexed="64"/>
      </patternFill>
    </fill>
    <fill>
      <patternFill patternType="solid">
        <fgColor indexed="22"/>
        <bgColor indexed="64"/>
      </patternFill>
    </fill>
    <fill>
      <patternFill patternType="solid">
        <fgColor theme="0" tint="-0.14999847407452621"/>
        <bgColor indexed="64"/>
      </patternFill>
    </fill>
  </fills>
  <borders count="142">
    <border>
      <left/>
      <right/>
      <top/>
      <bottom/>
      <diagonal/>
    </border>
    <border>
      <left style="medium">
        <color indexed="8"/>
      </left>
      <right style="medium">
        <color indexed="8"/>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double">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8"/>
      </right>
      <top style="medium">
        <color indexed="8"/>
      </top>
      <bottom style="medium">
        <color indexed="8"/>
      </bottom>
      <diagonal/>
    </border>
    <border>
      <left style="hair">
        <color indexed="8"/>
      </left>
      <right style="hair">
        <color indexed="8"/>
      </right>
      <top style="hair">
        <color indexed="8"/>
      </top>
      <bottom style="hair">
        <color indexed="8"/>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23"/>
      </bottom>
      <diagonal/>
    </border>
    <border>
      <left style="thin">
        <color indexed="8"/>
      </left>
      <right style="thin">
        <color indexed="8"/>
      </right>
      <top style="thin">
        <color indexed="23"/>
      </top>
      <bottom style="thin">
        <color indexed="8"/>
      </bottom>
      <diagonal/>
    </border>
    <border>
      <left style="thin">
        <color indexed="8"/>
      </left>
      <right/>
      <top style="thin">
        <color indexed="8"/>
      </top>
      <bottom style="thin">
        <color indexed="8"/>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8"/>
      </right>
      <top style="thin">
        <color indexed="8"/>
      </top>
      <bottom style="thin">
        <color indexed="8"/>
      </bottom>
      <diagonal/>
    </border>
    <border>
      <left style="thick">
        <color indexed="11"/>
      </left>
      <right style="thick">
        <color indexed="11"/>
      </right>
      <top style="thick">
        <color indexed="11"/>
      </top>
      <bottom style="thick">
        <color indexed="11"/>
      </bottom>
      <diagonal/>
    </border>
    <border>
      <left style="thick">
        <color indexed="11"/>
      </left>
      <right style="thick">
        <color indexed="57"/>
      </right>
      <top style="thick">
        <color indexed="57"/>
      </top>
      <bottom style="thick">
        <color indexed="57"/>
      </bottom>
      <diagonal/>
    </border>
    <border>
      <left style="thick">
        <color indexed="57"/>
      </left>
      <right style="mediumDashed">
        <color indexed="10"/>
      </right>
      <top style="mediumDashed">
        <color indexed="10"/>
      </top>
      <bottom style="mediumDashed">
        <color indexed="10"/>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64"/>
      </bottom>
      <diagonal/>
    </border>
    <border>
      <left style="thin">
        <color indexed="8"/>
      </left>
      <right style="medium">
        <color indexed="8"/>
      </right>
      <top style="thin">
        <color indexed="8"/>
      </top>
      <bottom style="thin">
        <color indexed="64"/>
      </bottom>
      <diagonal/>
    </border>
    <border>
      <left style="medium">
        <color indexed="8"/>
      </left>
      <right style="thin">
        <color indexed="8"/>
      </right>
      <top/>
      <bottom style="thin">
        <color indexed="8"/>
      </bottom>
      <diagonal/>
    </border>
    <border>
      <left style="thin">
        <color indexed="8"/>
      </left>
      <right style="thin">
        <color indexed="8"/>
      </right>
      <top style="medium">
        <color indexed="8"/>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style="thin">
        <color indexed="8"/>
      </top>
      <bottom style="thin">
        <color indexed="64"/>
      </bottom>
      <diagonal/>
    </border>
    <border>
      <left style="medium">
        <color indexed="8"/>
      </left>
      <right style="medium">
        <color indexed="8"/>
      </right>
      <top/>
      <bottom style="thin">
        <color indexed="8"/>
      </bottom>
      <diagonal/>
    </border>
    <border>
      <left style="thin">
        <color indexed="8"/>
      </left>
      <right style="medium">
        <color indexed="8"/>
      </right>
      <top style="thin">
        <color indexed="8"/>
      </top>
      <bottom/>
      <diagonal/>
    </border>
    <border>
      <left style="thin">
        <color indexed="8"/>
      </left>
      <right style="thin">
        <color indexed="8"/>
      </right>
      <top style="thin">
        <color indexed="8"/>
      </top>
      <bottom/>
      <diagonal/>
    </border>
    <border>
      <left style="medium">
        <color indexed="8"/>
      </left>
      <right style="medium">
        <color indexed="8"/>
      </right>
      <top style="thin">
        <color indexed="8"/>
      </top>
      <bottom/>
      <diagonal/>
    </border>
    <border>
      <left style="medium">
        <color indexed="8"/>
      </left>
      <right/>
      <top style="thin">
        <color indexed="8"/>
      </top>
      <bottom/>
      <diagonal/>
    </border>
    <border>
      <left/>
      <right/>
      <top style="thin">
        <color indexed="8"/>
      </top>
      <bottom/>
      <diagonal/>
    </border>
    <border>
      <left/>
      <right style="medium">
        <color indexed="8"/>
      </right>
      <top style="thin">
        <color indexed="8"/>
      </top>
      <bottom/>
      <diagonal/>
    </border>
    <border>
      <left style="medium">
        <color indexed="8"/>
      </left>
      <right style="medium">
        <color indexed="8"/>
      </right>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top/>
      <bottom/>
      <diagonal/>
    </border>
    <border>
      <left/>
      <right style="medium">
        <color indexed="8"/>
      </right>
      <top/>
      <bottom/>
      <diagonal/>
    </border>
    <border>
      <left/>
      <right style="thin">
        <color indexed="64"/>
      </right>
      <top style="thin">
        <color indexed="8"/>
      </top>
      <bottom/>
      <diagonal/>
    </border>
    <border>
      <left style="medium">
        <color indexed="64"/>
      </left>
      <right style="medium">
        <color indexed="64"/>
      </right>
      <top style="medium">
        <color indexed="64"/>
      </top>
      <bottom style="medium">
        <color indexed="64"/>
      </bottom>
      <diagonal/>
    </border>
    <border>
      <left/>
      <right/>
      <top style="medium">
        <color indexed="8"/>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style="thin">
        <color indexed="8"/>
      </left>
      <right style="thin">
        <color indexed="8"/>
      </right>
      <top style="thin">
        <color indexed="64"/>
      </top>
      <bottom style="thin">
        <color indexed="8"/>
      </bottom>
      <diagonal/>
    </border>
    <border>
      <left style="thin">
        <color indexed="8"/>
      </left>
      <right style="thin">
        <color indexed="64"/>
      </right>
      <top style="thin">
        <color indexed="64"/>
      </top>
      <bottom style="thin">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thin">
        <color indexed="8"/>
      </top>
      <bottom style="thin">
        <color indexed="23"/>
      </bottom>
      <diagonal/>
    </border>
    <border>
      <left style="thin">
        <color indexed="8"/>
      </left>
      <right style="thin">
        <color indexed="64"/>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style="thin">
        <color indexed="8"/>
      </top>
      <bottom style="thin">
        <color indexed="64"/>
      </bottom>
      <diagonal/>
    </border>
    <border>
      <left style="thick">
        <color indexed="14"/>
      </left>
      <right style="thin">
        <color indexed="64"/>
      </right>
      <top style="thick">
        <color indexed="14"/>
      </top>
      <bottom style="thick">
        <color indexed="14"/>
      </bottom>
      <diagonal/>
    </border>
    <border>
      <left style="thin">
        <color indexed="64"/>
      </left>
      <right style="thick">
        <color indexed="14"/>
      </right>
      <top style="thick">
        <color indexed="14"/>
      </top>
      <bottom style="thick">
        <color indexed="14"/>
      </bottom>
      <diagonal/>
    </border>
    <border>
      <left style="thin">
        <color indexed="64"/>
      </left>
      <right style="double">
        <color indexed="64"/>
      </right>
      <top/>
      <bottom style="thin">
        <color indexed="64"/>
      </bottom>
      <diagonal/>
    </border>
    <border>
      <left style="thick">
        <color indexed="20"/>
      </left>
      <right/>
      <top style="thick">
        <color indexed="20"/>
      </top>
      <bottom style="thick">
        <color indexed="20"/>
      </bottom>
      <diagonal/>
    </border>
    <border>
      <left/>
      <right style="thick">
        <color indexed="20"/>
      </right>
      <top style="thick">
        <color indexed="20"/>
      </top>
      <bottom style="thick">
        <color indexed="20"/>
      </bottom>
      <diagonal/>
    </border>
    <border>
      <left style="thick">
        <color indexed="18"/>
      </left>
      <right/>
      <top style="thick">
        <color indexed="18"/>
      </top>
      <bottom style="thick">
        <color indexed="18"/>
      </bottom>
      <diagonal/>
    </border>
    <border>
      <left/>
      <right style="thick">
        <color indexed="18"/>
      </right>
      <top style="thick">
        <color indexed="18"/>
      </top>
      <bottom style="thick">
        <color indexed="18"/>
      </bottom>
      <diagonal/>
    </border>
    <border>
      <left/>
      <right style="double">
        <color indexed="64"/>
      </right>
      <top style="thin">
        <color indexed="64"/>
      </top>
      <bottom style="thin">
        <color indexed="64"/>
      </bottom>
      <diagonal/>
    </border>
    <border>
      <left/>
      <right/>
      <top style="thin">
        <color indexed="64"/>
      </top>
      <bottom style="thick">
        <color indexed="20"/>
      </bottom>
      <diagonal/>
    </border>
    <border>
      <left/>
      <right style="double">
        <color indexed="64"/>
      </right>
      <top/>
      <bottom style="thin">
        <color indexed="64"/>
      </bottom>
      <diagonal/>
    </border>
    <border>
      <left style="thin">
        <color indexed="8"/>
      </left>
      <right/>
      <top style="thin">
        <color indexed="23"/>
      </top>
      <bottom style="thin">
        <color indexed="8"/>
      </bottom>
      <diagonal/>
    </border>
    <border>
      <left/>
      <right style="thin">
        <color indexed="8"/>
      </right>
      <top style="thin">
        <color indexed="23"/>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23"/>
      </bottom>
      <diagonal/>
    </border>
    <border>
      <left/>
      <right style="thin">
        <color indexed="8"/>
      </right>
      <top style="thin">
        <color indexed="8"/>
      </top>
      <bottom style="thin">
        <color indexed="23"/>
      </bottom>
      <diagonal/>
    </border>
    <border>
      <left style="thin">
        <color indexed="64"/>
      </left>
      <right style="thin">
        <color indexed="8"/>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64"/>
      </left>
      <right style="double">
        <color indexed="8"/>
      </right>
      <top style="thin">
        <color indexed="64"/>
      </top>
      <bottom style="thin">
        <color indexed="64"/>
      </bottom>
      <diagonal/>
    </border>
    <border>
      <left/>
      <right style="thin">
        <color indexed="8"/>
      </right>
      <top style="thin">
        <color indexed="8"/>
      </top>
      <bottom/>
      <diagonal/>
    </border>
    <border>
      <left style="thin">
        <color indexed="64"/>
      </left>
      <right style="thin">
        <color indexed="8"/>
      </right>
      <top style="thin">
        <color indexed="64"/>
      </top>
      <bottom style="thin">
        <color indexed="8"/>
      </bottom>
      <diagonal/>
    </border>
    <border>
      <left style="thin">
        <color indexed="64"/>
      </left>
      <right style="thin">
        <color indexed="8"/>
      </right>
      <top style="thin">
        <color indexed="8"/>
      </top>
      <bottom style="thin">
        <color indexed="23"/>
      </bottom>
      <diagonal/>
    </border>
    <border>
      <left style="thin">
        <color indexed="64"/>
      </left>
      <right style="thin">
        <color indexed="8"/>
      </right>
      <top style="thin">
        <color indexed="8"/>
      </top>
      <bottom style="thin">
        <color indexed="8"/>
      </bottom>
      <diagonal/>
    </border>
    <border>
      <left style="thin">
        <color indexed="64"/>
      </left>
      <right/>
      <top style="thin">
        <color indexed="8"/>
      </top>
      <bottom style="thin">
        <color indexed="23"/>
      </bottom>
      <diagonal/>
    </border>
    <border>
      <left style="thin">
        <color indexed="64"/>
      </left>
      <right style="thin">
        <color indexed="8"/>
      </right>
      <top style="thin">
        <color indexed="8"/>
      </top>
      <bottom style="thin">
        <color indexed="64"/>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hair">
        <color indexed="8"/>
      </left>
      <right style="hair">
        <color indexed="8"/>
      </right>
      <top style="hair">
        <color indexed="8"/>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
    <xf numFmtId="0" fontId="0" fillId="0" borderId="0"/>
    <xf numFmtId="0" fontId="10" fillId="0" borderId="0" applyNumberFormat="0" applyFill="0" applyBorder="0" applyAlignment="0" applyProtection="0"/>
    <xf numFmtId="0" fontId="1" fillId="0" borderId="0"/>
  </cellStyleXfs>
  <cellXfs count="943">
    <xf numFmtId="0" fontId="0" fillId="0" borderId="0" xfId="0"/>
    <xf numFmtId="0" fontId="0" fillId="0" borderId="0" xfId="0" applyAlignment="1">
      <alignment vertical="center"/>
    </xf>
    <xf numFmtId="0" fontId="2" fillId="0" borderId="0" xfId="0" applyFont="1" applyBorder="1"/>
    <xf numFmtId="0" fontId="0" fillId="0" borderId="0" xfId="0" applyBorder="1" applyAlignment="1">
      <alignment vertical="center"/>
    </xf>
    <xf numFmtId="0" fontId="2" fillId="0" borderId="0" xfId="0" applyFont="1" applyFill="1" applyBorder="1" applyAlignment="1">
      <alignment horizontal="center" vertical="center"/>
    </xf>
    <xf numFmtId="0" fontId="2" fillId="0" borderId="0" xfId="0" applyFont="1" applyFill="1" applyBorder="1" applyAlignment="1">
      <alignment vertical="center"/>
    </xf>
    <xf numFmtId="0" fontId="0" fillId="0" borderId="0" xfId="0" applyFont="1" applyBorder="1" applyAlignment="1">
      <alignment vertical="center"/>
    </xf>
    <xf numFmtId="0" fontId="0" fillId="0" borderId="0" xfId="0" applyFont="1" applyFill="1" applyBorder="1" applyAlignment="1">
      <alignment horizontal="center" vertical="center"/>
    </xf>
    <xf numFmtId="0" fontId="2" fillId="0" borderId="0" xfId="0" applyFont="1" applyBorder="1" applyAlignment="1">
      <alignment horizontal="center"/>
    </xf>
    <xf numFmtId="0" fontId="0" fillId="0" borderId="0" xfId="0" applyFont="1" applyFill="1" applyBorder="1" applyAlignment="1">
      <alignment vertical="center"/>
    </xf>
    <xf numFmtId="0" fontId="2" fillId="0" borderId="0" xfId="0" applyFont="1" applyBorder="1" applyAlignment="1">
      <alignment vertical="center"/>
    </xf>
    <xf numFmtId="2" fontId="0" fillId="0" borderId="0" xfId="0" applyNumberFormat="1" applyFill="1" applyAlignment="1">
      <alignment horizontal="center"/>
    </xf>
    <xf numFmtId="2" fontId="7" fillId="0" borderId="0" xfId="0" applyNumberFormat="1" applyFont="1" applyAlignment="1">
      <alignment horizontal="center"/>
    </xf>
    <xf numFmtId="2" fontId="0" fillId="0" borderId="0" xfId="0" applyNumberFormat="1" applyAlignment="1">
      <alignment horizontal="center"/>
    </xf>
    <xf numFmtId="2" fontId="0" fillId="2" borderId="0" xfId="0" applyNumberFormat="1" applyFill="1" applyAlignment="1">
      <alignment horizontal="center"/>
    </xf>
    <xf numFmtId="0" fontId="7" fillId="0" borderId="0" xfId="0" applyFont="1" applyFill="1" applyAlignment="1">
      <alignment horizontal="center"/>
    </xf>
    <xf numFmtId="0" fontId="7" fillId="0" borderId="1" xfId="0" applyFont="1" applyFill="1" applyBorder="1" applyAlignment="1">
      <alignment horizontal="center"/>
    </xf>
    <xf numFmtId="0" fontId="0" fillId="0" borderId="0" xfId="0" applyAlignment="1">
      <alignment horizontal="center"/>
    </xf>
    <xf numFmtId="0" fontId="6" fillId="0" borderId="0" xfId="0" applyFont="1" applyBorder="1"/>
    <xf numFmtId="0" fontId="2" fillId="0" borderId="0" xfId="0" applyFont="1"/>
    <xf numFmtId="0" fontId="9" fillId="0" borderId="0" xfId="0" applyFont="1"/>
    <xf numFmtId="0" fontId="10" fillId="0" borderId="0" xfId="1" applyNumberFormat="1" applyFont="1" applyFill="1" applyBorder="1" applyAlignment="1" applyProtection="1"/>
    <xf numFmtId="14" fontId="0" fillId="0" borderId="0" xfId="0" applyNumberFormat="1" applyAlignment="1">
      <alignment horizontal="left"/>
    </xf>
    <xf numFmtId="0" fontId="0" fillId="0" borderId="0" xfId="0" applyFont="1" applyFill="1" applyBorder="1"/>
    <xf numFmtId="0" fontId="0" fillId="0" borderId="0" xfId="0" applyFill="1" applyBorder="1"/>
    <xf numFmtId="0" fontId="10" fillId="0" borderId="0" xfId="1" applyNumberFormat="1" applyFill="1" applyBorder="1" applyAlignment="1" applyProtection="1"/>
    <xf numFmtId="171" fontId="2" fillId="3" borderId="2" xfId="0" applyNumberFormat="1" applyFont="1" applyFill="1" applyBorder="1" applyAlignment="1" applyProtection="1">
      <alignment horizontal="center" vertical="center"/>
      <protection locked="0"/>
    </xf>
    <xf numFmtId="0" fontId="0" fillId="0" borderId="0" xfId="0" applyFont="1" applyBorder="1" applyAlignment="1">
      <alignment horizontal="center" vertical="center"/>
    </xf>
    <xf numFmtId="0" fontId="16" fillId="0" borderId="0" xfId="0" applyFont="1" applyBorder="1" applyAlignment="1">
      <alignment vertical="center"/>
    </xf>
    <xf numFmtId="0" fontId="2" fillId="0" borderId="3" xfId="2" applyFont="1" applyBorder="1"/>
    <xf numFmtId="0" fontId="2" fillId="0" borderId="4" xfId="2" applyFont="1" applyBorder="1"/>
    <xf numFmtId="0" fontId="2" fillId="0" borderId="4" xfId="2" applyFont="1" applyBorder="1" applyAlignment="1">
      <alignment horizontal="center"/>
    </xf>
    <xf numFmtId="0" fontId="15" fillId="0" borderId="4" xfId="2" applyFont="1" applyBorder="1" applyProtection="1">
      <protection hidden="1"/>
    </xf>
    <xf numFmtId="0" fontId="1" fillId="0" borderId="5" xfId="2" applyBorder="1"/>
    <xf numFmtId="0" fontId="2" fillId="0" borderId="0" xfId="2" applyFont="1" applyBorder="1"/>
    <xf numFmtId="0" fontId="2" fillId="0" borderId="0" xfId="2" applyFont="1"/>
    <xf numFmtId="0" fontId="2" fillId="0" borderId="6" xfId="2" applyFont="1" applyBorder="1"/>
    <xf numFmtId="0" fontId="15" fillId="0" borderId="0" xfId="2" applyFont="1" applyBorder="1" applyProtection="1">
      <protection hidden="1"/>
    </xf>
    <xf numFmtId="0" fontId="1" fillId="0" borderId="7" xfId="2" applyBorder="1"/>
    <xf numFmtId="0" fontId="4" fillId="0" borderId="0" xfId="2" applyFont="1" applyBorder="1"/>
    <xf numFmtId="0" fontId="2" fillId="0" borderId="7" xfId="2" applyFont="1" applyBorder="1"/>
    <xf numFmtId="0" fontId="2" fillId="0" borderId="0" xfId="2" applyFont="1" applyBorder="1" applyAlignment="1" applyProtection="1">
      <alignment horizontal="center"/>
      <protection hidden="1"/>
    </xf>
    <xf numFmtId="0" fontId="2" fillId="0" borderId="0" xfId="2" applyFont="1" applyBorder="1" applyAlignment="1">
      <alignment horizontal="center"/>
    </xf>
    <xf numFmtId="0" fontId="16" fillId="0" borderId="0" xfId="2" applyFont="1" applyBorder="1"/>
    <xf numFmtId="0" fontId="2" fillId="0" borderId="0" xfId="2" applyFont="1" applyBorder="1" applyAlignment="1" applyProtection="1">
      <protection hidden="1"/>
    </xf>
    <xf numFmtId="0" fontId="2" fillId="0" borderId="0" xfId="2" applyFont="1" applyBorder="1" applyProtection="1">
      <protection hidden="1"/>
    </xf>
    <xf numFmtId="0" fontId="2" fillId="0" borderId="0" xfId="2" applyFont="1" applyFill="1" applyBorder="1" applyAlignment="1">
      <alignment horizontal="center"/>
    </xf>
    <xf numFmtId="0" fontId="15" fillId="4" borderId="8" xfId="2" applyFont="1" applyFill="1" applyBorder="1" applyAlignment="1" applyProtection="1">
      <alignment horizontal="center"/>
      <protection locked="0"/>
    </xf>
    <xf numFmtId="177" fontId="2" fillId="4" borderId="2" xfId="2" applyNumberFormat="1" applyFont="1" applyFill="1" applyBorder="1" applyAlignment="1" applyProtection="1">
      <alignment horizontal="center"/>
      <protection locked="0"/>
    </xf>
    <xf numFmtId="0" fontId="2" fillId="4" borderId="2" xfId="2" applyFont="1" applyFill="1" applyBorder="1" applyAlignment="1" applyProtection="1">
      <alignment horizontal="center"/>
      <protection locked="0"/>
    </xf>
    <xf numFmtId="0" fontId="16" fillId="0" borderId="0" xfId="2" applyFont="1" applyBorder="1" applyProtection="1">
      <protection hidden="1"/>
    </xf>
    <xf numFmtId="0" fontId="2" fillId="0" borderId="0" xfId="2" applyFont="1" applyFill="1" applyBorder="1" applyAlignment="1" applyProtection="1">
      <alignment horizontal="center"/>
      <protection hidden="1"/>
    </xf>
    <xf numFmtId="0" fontId="2" fillId="0" borderId="0" xfId="2" applyFont="1" applyAlignment="1">
      <alignment horizontal="center"/>
    </xf>
    <xf numFmtId="0" fontId="2" fillId="0" borderId="0" xfId="2" applyFont="1" applyBorder="1" applyAlignment="1"/>
    <xf numFmtId="0" fontId="15" fillId="0" borderId="0" xfId="2" applyFont="1" applyBorder="1"/>
    <xf numFmtId="14" fontId="15" fillId="0" borderId="0" xfId="2" applyNumberFormat="1" applyFont="1" applyBorder="1" applyAlignment="1" applyProtection="1">
      <alignment horizontal="center"/>
      <protection hidden="1"/>
    </xf>
    <xf numFmtId="0" fontId="15" fillId="0" borderId="0" xfId="2" applyFont="1" applyProtection="1">
      <protection hidden="1"/>
    </xf>
    <xf numFmtId="0" fontId="2" fillId="0" borderId="9" xfId="2" applyFont="1" applyBorder="1"/>
    <xf numFmtId="0" fontId="2" fillId="0" borderId="10" xfId="2" applyFont="1" applyBorder="1" applyAlignment="1" applyProtection="1">
      <alignment horizontal="center"/>
      <protection locked="0"/>
    </xf>
    <xf numFmtId="0" fontId="2" fillId="0" borderId="10" xfId="2" applyFont="1" applyBorder="1" applyAlignment="1" applyProtection="1">
      <protection locked="0"/>
    </xf>
    <xf numFmtId="0" fontId="2" fillId="0" borderId="10" xfId="2" applyFont="1" applyBorder="1" applyProtection="1">
      <protection locked="0"/>
    </xf>
    <xf numFmtId="0" fontId="2" fillId="0" borderId="0" xfId="2" applyFont="1" applyBorder="1" applyProtection="1">
      <protection locked="0"/>
    </xf>
    <xf numFmtId="0" fontId="2" fillId="0" borderId="0" xfId="2" applyFont="1" applyBorder="1" applyAlignment="1" applyProtection="1">
      <alignment horizontal="center"/>
      <protection locked="0"/>
    </xf>
    <xf numFmtId="0" fontId="15" fillId="0" borderId="0" xfId="2" applyFont="1" applyBorder="1" applyAlignment="1" applyProtection="1">
      <protection hidden="1"/>
    </xf>
    <xf numFmtId="0" fontId="15" fillId="0" borderId="0" xfId="2" applyFont="1"/>
    <xf numFmtId="0" fontId="15" fillId="0" borderId="0" xfId="2" applyFont="1" applyBorder="1" applyAlignment="1"/>
    <xf numFmtId="0" fontId="15" fillId="0" borderId="0" xfId="2" applyFont="1" applyAlignment="1" applyProtection="1">
      <alignment horizontal="center"/>
      <protection hidden="1"/>
    </xf>
    <xf numFmtId="1" fontId="15" fillId="0" borderId="0" xfId="2" applyNumberFormat="1" applyFont="1" applyAlignment="1" applyProtection="1">
      <alignment horizontal="center"/>
      <protection hidden="1"/>
    </xf>
    <xf numFmtId="0" fontId="0" fillId="0" borderId="0" xfId="0" applyAlignment="1">
      <alignment horizontal="left"/>
    </xf>
    <xf numFmtId="0" fontId="15" fillId="0" borderId="0" xfId="0" applyFont="1" applyFill="1" applyBorder="1"/>
    <xf numFmtId="0" fontId="26" fillId="0" borderId="0" xfId="0" applyFont="1"/>
    <xf numFmtId="14" fontId="0" fillId="0" borderId="0" xfId="0" applyNumberFormat="1" applyFont="1" applyBorder="1" applyAlignment="1">
      <alignment horizontal="center" vertical="center"/>
    </xf>
    <xf numFmtId="0" fontId="2" fillId="0" borderId="3" xfId="0" applyFont="1" applyBorder="1"/>
    <xf numFmtId="0" fontId="2" fillId="0" borderId="4" xfId="0" applyFont="1" applyBorder="1"/>
    <xf numFmtId="0" fontId="2" fillId="0" borderId="4" xfId="0" applyFont="1" applyBorder="1" applyAlignment="1">
      <alignment horizontal="center"/>
    </xf>
    <xf numFmtId="0" fontId="0" fillId="0" borderId="4" xfId="0" applyBorder="1" applyAlignment="1">
      <alignment vertical="center"/>
    </xf>
    <xf numFmtId="0" fontId="0" fillId="0" borderId="5" xfId="0" applyBorder="1" applyAlignment="1">
      <alignment vertical="center"/>
    </xf>
    <xf numFmtId="0" fontId="2" fillId="0" borderId="6" xfId="0" applyFont="1" applyBorder="1"/>
    <xf numFmtId="0" fontId="2" fillId="0" borderId="7" xfId="0" applyFont="1" applyFill="1" applyBorder="1" applyAlignment="1">
      <alignment vertical="center"/>
    </xf>
    <xf numFmtId="0" fontId="0" fillId="0" borderId="7" xfId="0" applyBorder="1" applyAlignment="1">
      <alignment vertical="center"/>
    </xf>
    <xf numFmtId="0" fontId="0" fillId="0" borderId="6" xfId="0" applyBorder="1" applyAlignment="1">
      <alignment vertical="center"/>
    </xf>
    <xf numFmtId="0" fontId="0" fillId="0" borderId="0" xfId="0" applyBorder="1"/>
    <xf numFmtId="0" fontId="0" fillId="0" borderId="9" xfId="0" applyBorder="1" applyAlignment="1">
      <alignment vertical="center"/>
    </xf>
    <xf numFmtId="0" fontId="0" fillId="0" borderId="10" xfId="0" applyBorder="1" applyAlignment="1" applyProtection="1">
      <alignment vertical="center"/>
      <protection locked="0"/>
    </xf>
    <xf numFmtId="0" fontId="0" fillId="0" borderId="0" xfId="0" applyFont="1" applyFill="1" applyBorder="1" applyAlignment="1" applyProtection="1">
      <alignment vertical="center"/>
      <protection hidden="1"/>
    </xf>
    <xf numFmtId="169" fontId="0" fillId="0" borderId="0" xfId="0" applyNumberFormat="1" applyFont="1" applyFill="1" applyBorder="1" applyAlignment="1" applyProtection="1">
      <alignment vertical="center"/>
      <protection hidden="1"/>
    </xf>
    <xf numFmtId="164" fontId="0" fillId="3" borderId="11" xfId="0" applyNumberFormat="1" applyFill="1" applyBorder="1" applyAlignment="1">
      <alignment horizontal="center"/>
    </xf>
    <xf numFmtId="178" fontId="0" fillId="3" borderId="11" xfId="0" applyNumberFormat="1" applyFill="1" applyBorder="1" applyAlignment="1">
      <alignment horizontal="center"/>
    </xf>
    <xf numFmtId="0" fontId="0" fillId="3" borderId="11" xfId="0" applyNumberFormat="1" applyFill="1" applyBorder="1" applyAlignment="1">
      <alignment horizontal="center"/>
    </xf>
    <xf numFmtId="0" fontId="15" fillId="0" borderId="10" xfId="2" applyFont="1" applyBorder="1" applyProtection="1">
      <protection locked="0"/>
    </xf>
    <xf numFmtId="0" fontId="10" fillId="0" borderId="0" xfId="1"/>
    <xf numFmtId="0" fontId="2" fillId="0" borderId="12" xfId="0" applyFont="1" applyBorder="1" applyAlignment="1">
      <alignment horizontal="center" vertical="center"/>
    </xf>
    <xf numFmtId="0" fontId="2" fillId="0" borderId="12" xfId="0" applyFont="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5" fontId="0" fillId="0" borderId="0" xfId="0" applyNumberFormat="1" applyBorder="1" applyAlignment="1">
      <alignment horizontal="center"/>
    </xf>
    <xf numFmtId="0" fontId="0" fillId="0" borderId="9" xfId="0" applyBorder="1"/>
    <xf numFmtId="0" fontId="0" fillId="0" borderId="10" xfId="0" applyFont="1" applyFill="1" applyBorder="1"/>
    <xf numFmtId="0" fontId="0" fillId="0" borderId="13" xfId="0" applyBorder="1"/>
    <xf numFmtId="0" fontId="0" fillId="0" borderId="10" xfId="0" applyBorder="1"/>
    <xf numFmtId="1" fontId="0" fillId="0" borderId="0" xfId="0" applyNumberFormat="1" applyFont="1" applyFill="1" applyBorder="1" applyAlignment="1">
      <alignment horizontal="center"/>
    </xf>
    <xf numFmtId="165" fontId="0" fillId="0" borderId="0" xfId="0" applyNumberFormat="1" applyFont="1" applyFill="1" applyBorder="1" applyAlignment="1">
      <alignment horizontal="center" vertical="center"/>
    </xf>
    <xf numFmtId="1" fontId="0" fillId="0" borderId="0" xfId="0" applyNumberFormat="1" applyFont="1" applyFill="1" applyBorder="1" applyAlignment="1">
      <alignment horizontal="center" vertical="center"/>
    </xf>
    <xf numFmtId="165" fontId="0" fillId="0" borderId="0" xfId="0" applyNumberFormat="1" applyFont="1" applyFill="1" applyBorder="1" applyAlignment="1">
      <alignment horizontal="center"/>
    </xf>
    <xf numFmtId="182" fontId="2" fillId="0" borderId="12" xfId="0" applyNumberFormat="1" applyFont="1" applyFill="1" applyBorder="1" applyAlignment="1">
      <alignment horizontal="center"/>
    </xf>
    <xf numFmtId="1" fontId="2" fillId="0" borderId="12" xfId="0" applyNumberFormat="1" applyFont="1" applyFill="1" applyBorder="1" applyAlignment="1">
      <alignment horizontal="center"/>
    </xf>
    <xf numFmtId="165" fontId="2" fillId="0" borderId="12" xfId="0" applyNumberFormat="1" applyFont="1" applyFill="1" applyBorder="1" applyAlignment="1">
      <alignment horizontal="center" vertical="center"/>
    </xf>
    <xf numFmtId="165" fontId="2" fillId="0" borderId="12" xfId="0" applyNumberFormat="1" applyFont="1" applyFill="1" applyBorder="1" applyAlignment="1">
      <alignment horizontal="center"/>
    </xf>
    <xf numFmtId="0" fontId="0" fillId="0" borderId="0" xfId="2" applyFont="1" applyBorder="1" applyAlignment="1" applyProtection="1">
      <alignment horizontal="center"/>
      <protection hidden="1"/>
    </xf>
    <xf numFmtId="0" fontId="0" fillId="0" borderId="0" xfId="0" applyNumberFormat="1" applyAlignment="1">
      <alignment horizontal="center"/>
    </xf>
    <xf numFmtId="0" fontId="8" fillId="0" borderId="4" xfId="2" applyFont="1" applyBorder="1"/>
    <xf numFmtId="0" fontId="8" fillId="0" borderId="0" xfId="2" applyFont="1" applyBorder="1"/>
    <xf numFmtId="0" fontId="8" fillId="0" borderId="0" xfId="2" applyFont="1" applyBorder="1" applyAlignment="1" applyProtection="1">
      <protection hidden="1"/>
    </xf>
    <xf numFmtId="0" fontId="8" fillId="0" borderId="0" xfId="2" applyFont="1" applyBorder="1" applyProtection="1">
      <protection hidden="1"/>
    </xf>
    <xf numFmtId="0" fontId="8" fillId="0" borderId="0" xfId="2" applyFont="1" applyBorder="1" applyAlignment="1"/>
    <xf numFmtId="0" fontId="8" fillId="0" borderId="10" xfId="2" applyFont="1" applyBorder="1" applyAlignment="1" applyProtection="1">
      <protection locked="0"/>
    </xf>
    <xf numFmtId="0" fontId="8" fillId="0" borderId="0" xfId="2" applyFont="1"/>
    <xf numFmtId="0" fontId="8" fillId="0" borderId="0" xfId="2" applyFont="1" applyAlignment="1" applyProtection="1">
      <alignment horizontal="center"/>
      <protection hidden="1"/>
    </xf>
    <xf numFmtId="1" fontId="8" fillId="0" borderId="0" xfId="2" applyNumberFormat="1" applyFont="1" applyAlignment="1" applyProtection="1">
      <alignment horizontal="center"/>
      <protection hidden="1"/>
    </xf>
    <xf numFmtId="0" fontId="8" fillId="0" borderId="0" xfId="2" applyFont="1" applyProtection="1">
      <protection hidden="1"/>
    </xf>
    <xf numFmtId="0" fontId="31" fillId="0" borderId="0" xfId="2" applyFont="1" applyBorder="1"/>
    <xf numFmtId="0" fontId="0" fillId="0" borderId="0" xfId="0" applyBorder="1" applyProtection="1">
      <protection locked="0"/>
    </xf>
    <xf numFmtId="165" fontId="2" fillId="5" borderId="14" xfId="2" applyNumberFormat="1" applyFont="1" applyFill="1" applyBorder="1" applyAlignment="1">
      <alignment horizontal="center"/>
    </xf>
    <xf numFmtId="180" fontId="2" fillId="5" borderId="2" xfId="2" applyNumberFormat="1" applyFont="1" applyFill="1" applyBorder="1" applyAlignment="1">
      <alignment horizontal="center"/>
    </xf>
    <xf numFmtId="180" fontId="2" fillId="5" borderId="14" xfId="2" applyNumberFormat="1" applyFont="1" applyFill="1" applyBorder="1" applyAlignment="1">
      <alignment horizontal="center"/>
    </xf>
    <xf numFmtId="165" fontId="2" fillId="5" borderId="2" xfId="2" applyNumberFormat="1" applyFont="1" applyFill="1" applyBorder="1" applyAlignment="1">
      <alignment horizontal="center"/>
    </xf>
    <xf numFmtId="181" fontId="28" fillId="5" borderId="2" xfId="2" applyNumberFormat="1" applyFont="1" applyFill="1" applyBorder="1" applyAlignment="1">
      <alignment horizontal="center"/>
    </xf>
    <xf numFmtId="181" fontId="28" fillId="5" borderId="14" xfId="2" applyNumberFormat="1" applyFont="1" applyFill="1" applyBorder="1" applyAlignment="1">
      <alignment horizontal="center"/>
    </xf>
    <xf numFmtId="0" fontId="2" fillId="5" borderId="2" xfId="2" applyFont="1" applyFill="1" applyBorder="1" applyAlignment="1" applyProtection="1">
      <alignment horizontal="center"/>
      <protection hidden="1"/>
    </xf>
    <xf numFmtId="0" fontId="28" fillId="5" borderId="2" xfId="2" applyFont="1" applyFill="1" applyBorder="1" applyAlignment="1" applyProtection="1">
      <alignment horizontal="center"/>
      <protection hidden="1"/>
    </xf>
    <xf numFmtId="0" fontId="32" fillId="5" borderId="2" xfId="2" applyFont="1" applyFill="1" applyBorder="1" applyAlignment="1" applyProtection="1">
      <alignment horizontal="center"/>
      <protection hidden="1"/>
    </xf>
    <xf numFmtId="0" fontId="2" fillId="6" borderId="2" xfId="2" applyFont="1" applyFill="1" applyBorder="1" applyAlignment="1">
      <alignment horizontal="center"/>
    </xf>
    <xf numFmtId="0" fontId="28" fillId="6" borderId="2" xfId="2" applyFont="1" applyFill="1" applyBorder="1" applyAlignment="1">
      <alignment horizontal="center"/>
    </xf>
    <xf numFmtId="0" fontId="33" fillId="0" borderId="0" xfId="2" applyFont="1" applyBorder="1"/>
    <xf numFmtId="0" fontId="33" fillId="6" borderId="2" xfId="2" applyFont="1" applyFill="1" applyBorder="1" applyAlignment="1" applyProtection="1">
      <alignment horizontal="center"/>
      <protection hidden="1"/>
    </xf>
    <xf numFmtId="176" fontId="33" fillId="5" borderId="2" xfId="2" applyNumberFormat="1" applyFont="1" applyFill="1" applyBorder="1" applyAlignment="1" applyProtection="1">
      <alignment horizontal="center"/>
      <protection hidden="1"/>
    </xf>
    <xf numFmtId="0" fontId="33" fillId="5" borderId="2" xfId="2" applyFont="1" applyFill="1" applyBorder="1" applyAlignment="1">
      <alignment horizontal="center"/>
    </xf>
    <xf numFmtId="177" fontId="33" fillId="5" borderId="2" xfId="2" applyNumberFormat="1" applyFont="1" applyFill="1" applyBorder="1" applyAlignment="1" applyProtection="1">
      <alignment horizontal="center"/>
      <protection hidden="1"/>
    </xf>
    <xf numFmtId="176" fontId="33" fillId="5" borderId="2" xfId="2" applyNumberFormat="1" applyFont="1" applyFill="1" applyBorder="1" applyAlignment="1">
      <alignment horizontal="center"/>
    </xf>
    <xf numFmtId="178" fontId="33" fillId="5" borderId="2" xfId="2" applyNumberFormat="1" applyFont="1" applyFill="1" applyBorder="1" applyAlignment="1" applyProtection="1">
      <alignment horizontal="center"/>
      <protection hidden="1"/>
    </xf>
    <xf numFmtId="0" fontId="33" fillId="0" borderId="0" xfId="2" applyFont="1" applyBorder="1" applyProtection="1">
      <protection hidden="1"/>
    </xf>
    <xf numFmtId="2" fontId="0" fillId="7" borderId="15" xfId="0" applyNumberFormat="1" applyFill="1" applyBorder="1" applyAlignment="1">
      <alignment horizontal="center" vertical="center"/>
    </xf>
    <xf numFmtId="165" fontId="0" fillId="7" borderId="15" xfId="0" applyNumberFormat="1" applyFont="1" applyFill="1" applyBorder="1" applyAlignment="1">
      <alignment horizontal="center" vertical="center"/>
    </xf>
    <xf numFmtId="165" fontId="0" fillId="7" borderId="15" xfId="0" applyNumberFormat="1" applyFill="1" applyBorder="1" applyAlignment="1">
      <alignment horizontal="center" vertical="center"/>
    </xf>
    <xf numFmtId="1" fontId="2" fillId="7" borderId="15" xfId="0" applyNumberFormat="1" applyFont="1" applyFill="1" applyBorder="1" applyAlignment="1">
      <alignment horizontal="center" vertical="center"/>
    </xf>
    <xf numFmtId="165" fontId="2" fillId="7" borderId="15" xfId="0" applyNumberFormat="1" applyFont="1" applyFill="1" applyBorder="1" applyAlignment="1">
      <alignment horizontal="center" vertical="center"/>
    </xf>
    <xf numFmtId="1" fontId="0" fillId="7" borderId="15" xfId="0" applyNumberFormat="1" applyFill="1" applyBorder="1" applyAlignment="1">
      <alignment horizontal="center" vertical="center"/>
    </xf>
    <xf numFmtId="1" fontId="0" fillId="7" borderId="15" xfId="0" applyNumberFormat="1" applyFont="1" applyFill="1" applyBorder="1" applyAlignment="1">
      <alignment horizontal="center" vertical="center"/>
    </xf>
    <xf numFmtId="1" fontId="15" fillId="7" borderId="15" xfId="0" applyNumberFormat="1" applyFont="1" applyFill="1" applyBorder="1" applyAlignment="1">
      <alignment horizontal="center" vertical="center"/>
    </xf>
    <xf numFmtId="165" fontId="15" fillId="7" borderId="15" xfId="0" applyNumberFormat="1" applyFont="1" applyFill="1" applyBorder="1" applyAlignment="1">
      <alignment horizontal="center" vertical="center"/>
    </xf>
    <xf numFmtId="165" fontId="0" fillId="7" borderId="16" xfId="0" applyNumberFormat="1" applyFont="1" applyFill="1" applyBorder="1" applyAlignment="1">
      <alignment horizontal="center" vertical="center"/>
    </xf>
    <xf numFmtId="1" fontId="2" fillId="7" borderId="16" xfId="0" applyNumberFormat="1" applyFont="1" applyFill="1" applyBorder="1" applyAlignment="1">
      <alignment horizontal="center" vertical="center"/>
    </xf>
    <xf numFmtId="165" fontId="0" fillId="7" borderId="16" xfId="0" applyNumberFormat="1" applyFill="1" applyBorder="1" applyAlignment="1">
      <alignment horizontal="center" vertical="center"/>
    </xf>
    <xf numFmtId="165" fontId="15" fillId="7" borderId="16" xfId="0" applyNumberFormat="1" applyFont="1" applyFill="1" applyBorder="1" applyAlignment="1">
      <alignment horizontal="center" vertical="center"/>
    </xf>
    <xf numFmtId="1" fontId="2" fillId="7" borderId="17" xfId="0" applyNumberFormat="1" applyFont="1" applyFill="1" applyBorder="1" applyAlignment="1">
      <alignment horizontal="center" vertical="center"/>
    </xf>
    <xf numFmtId="1" fontId="0" fillId="7" borderId="17" xfId="0" applyNumberFormat="1" applyFont="1" applyFill="1" applyBorder="1" applyAlignment="1">
      <alignment horizontal="center" vertical="center"/>
    </xf>
    <xf numFmtId="0" fontId="0" fillId="7" borderId="17" xfId="0" applyFont="1" applyFill="1" applyBorder="1" applyAlignment="1">
      <alignment horizontal="center" vertical="center"/>
    </xf>
    <xf numFmtId="1" fontId="0" fillId="7" borderId="17" xfId="0" applyNumberFormat="1" applyFill="1" applyBorder="1" applyAlignment="1">
      <alignment horizontal="center" vertical="center"/>
    </xf>
    <xf numFmtId="165" fontId="0" fillId="7" borderId="17" xfId="0" applyNumberFormat="1" applyFill="1" applyBorder="1" applyAlignment="1">
      <alignment horizontal="center" vertical="center"/>
    </xf>
    <xf numFmtId="1" fontId="15" fillId="7" borderId="16" xfId="0" applyNumberFormat="1" applyFont="1" applyFill="1" applyBorder="1" applyAlignment="1">
      <alignment horizontal="center" vertical="center"/>
    </xf>
    <xf numFmtId="1" fontId="15" fillId="7" borderId="17" xfId="0" applyNumberFormat="1" applyFont="1" applyFill="1" applyBorder="1" applyAlignment="1">
      <alignment horizontal="center" vertical="center"/>
    </xf>
    <xf numFmtId="165" fontId="2" fillId="7" borderId="17" xfId="0" applyNumberFormat="1" applyFont="1" applyFill="1" applyBorder="1" applyAlignment="1">
      <alignment horizontal="center" vertical="center"/>
    </xf>
    <xf numFmtId="173" fontId="2" fillId="7" borderId="2" xfId="0" applyNumberFormat="1" applyFont="1" applyFill="1" applyBorder="1" applyAlignment="1">
      <alignment horizontal="center" vertical="center"/>
    </xf>
    <xf numFmtId="0" fontId="2" fillId="8" borderId="18" xfId="0" applyFont="1" applyFill="1" applyBorder="1" applyAlignment="1" applyProtection="1">
      <alignment horizontal="center" vertical="center"/>
      <protection hidden="1"/>
    </xf>
    <xf numFmtId="0" fontId="2" fillId="9" borderId="15" xfId="0" applyFont="1" applyFill="1" applyBorder="1" applyAlignment="1" applyProtection="1">
      <alignment horizontal="center" vertical="center"/>
      <protection hidden="1"/>
    </xf>
    <xf numFmtId="0" fontId="5" fillId="9" borderId="15" xfId="0" applyFont="1" applyFill="1" applyBorder="1" applyAlignment="1" applyProtection="1">
      <alignment horizontal="center" vertical="center"/>
      <protection hidden="1"/>
    </xf>
    <xf numFmtId="0" fontId="0" fillId="9" borderId="15" xfId="0" applyFont="1" applyFill="1" applyBorder="1" applyAlignment="1" applyProtection="1">
      <alignment horizontal="center" vertical="center"/>
      <protection hidden="1"/>
    </xf>
    <xf numFmtId="0" fontId="2" fillId="6" borderId="2" xfId="2" applyFont="1" applyFill="1" applyBorder="1" applyAlignment="1" applyProtection="1">
      <alignment horizontal="center"/>
      <protection hidden="1"/>
    </xf>
    <xf numFmtId="0" fontId="2" fillId="10" borderId="2" xfId="2" applyFont="1" applyFill="1" applyBorder="1" applyAlignment="1" applyProtection="1">
      <alignment horizontal="center" vertical="center"/>
      <protection hidden="1"/>
    </xf>
    <xf numFmtId="0" fontId="2" fillId="10" borderId="2" xfId="2" applyFont="1" applyFill="1" applyBorder="1" applyAlignment="1" applyProtection="1">
      <alignment horizontal="center"/>
      <protection hidden="1"/>
    </xf>
    <xf numFmtId="0" fontId="2" fillId="11" borderId="15" xfId="0" applyFont="1" applyFill="1" applyBorder="1" applyAlignment="1" applyProtection="1">
      <alignment horizontal="center" vertical="center"/>
      <protection hidden="1"/>
    </xf>
    <xf numFmtId="0" fontId="2" fillId="11" borderId="18" xfId="0" applyFont="1" applyFill="1" applyBorder="1" applyAlignment="1" applyProtection="1">
      <alignment horizontal="center" vertical="center"/>
      <protection hidden="1"/>
    </xf>
    <xf numFmtId="0" fontId="13" fillId="12" borderId="2" xfId="0" applyFont="1" applyFill="1" applyBorder="1" applyAlignment="1" applyProtection="1">
      <alignment horizontal="center"/>
      <protection hidden="1"/>
    </xf>
    <xf numFmtId="0" fontId="2" fillId="13" borderId="2" xfId="0" applyFont="1" applyFill="1" applyBorder="1" applyAlignment="1" applyProtection="1">
      <alignment horizontal="center" vertical="center"/>
      <protection locked="0"/>
    </xf>
    <xf numFmtId="174" fontId="2" fillId="13" borderId="2" xfId="0" applyNumberFormat="1" applyFont="1" applyFill="1" applyBorder="1" applyAlignment="1" applyProtection="1">
      <alignment horizontal="center" vertical="center"/>
      <protection locked="0"/>
    </xf>
    <xf numFmtId="178" fontId="14" fillId="14" borderId="2" xfId="2" applyNumberFormat="1" applyFont="1" applyFill="1" applyBorder="1" applyAlignment="1">
      <alignment horizontal="center"/>
    </xf>
    <xf numFmtId="1" fontId="30" fillId="14" borderId="2" xfId="2" applyNumberFormat="1" applyFont="1" applyFill="1" applyBorder="1" applyAlignment="1">
      <alignment horizontal="center"/>
    </xf>
    <xf numFmtId="0" fontId="2" fillId="10" borderId="2" xfId="2" applyFont="1" applyFill="1" applyBorder="1" applyAlignment="1">
      <alignment horizontal="center"/>
    </xf>
    <xf numFmtId="0" fontId="0" fillId="7" borderId="15" xfId="0" applyFill="1" applyBorder="1" applyAlignment="1">
      <alignment horizontal="center" vertical="center"/>
    </xf>
    <xf numFmtId="0" fontId="2" fillId="7" borderId="15" xfId="0" applyFont="1" applyFill="1" applyBorder="1" applyAlignment="1" applyProtection="1">
      <alignment horizontal="center" vertical="center"/>
    </xf>
    <xf numFmtId="0" fontId="0" fillId="13" borderId="15" xfId="0" applyFont="1" applyFill="1" applyBorder="1" applyAlignment="1" applyProtection="1">
      <alignment horizontal="center" vertical="center"/>
      <protection locked="0"/>
    </xf>
    <xf numFmtId="185" fontId="2" fillId="7" borderId="2" xfId="0" applyNumberFormat="1" applyFont="1" applyFill="1" applyBorder="1" applyAlignment="1">
      <alignment horizontal="center" vertical="center"/>
    </xf>
    <xf numFmtId="186" fontId="0" fillId="7" borderId="16" xfId="0" applyNumberFormat="1" applyFont="1" applyFill="1" applyBorder="1" applyAlignment="1">
      <alignment horizontal="center" vertical="center"/>
    </xf>
    <xf numFmtId="186" fontId="2" fillId="7" borderId="15" xfId="0" applyNumberFormat="1" applyFont="1" applyFill="1" applyBorder="1" applyAlignment="1">
      <alignment horizontal="center" vertical="center"/>
    </xf>
    <xf numFmtId="175" fontId="15" fillId="7" borderId="16" xfId="0" applyNumberFormat="1" applyFont="1" applyFill="1" applyBorder="1" applyAlignment="1">
      <alignment horizontal="center" vertical="center"/>
    </xf>
    <xf numFmtId="175" fontId="15" fillId="7" borderId="15" xfId="0" applyNumberFormat="1" applyFont="1" applyFill="1" applyBorder="1" applyAlignment="1">
      <alignment horizontal="center" vertical="center"/>
    </xf>
    <xf numFmtId="175" fontId="2" fillId="7" borderId="16" xfId="0" applyNumberFormat="1" applyFont="1" applyFill="1" applyBorder="1" applyAlignment="1">
      <alignment horizontal="center" vertical="center"/>
    </xf>
    <xf numFmtId="175" fontId="2" fillId="7" borderId="15" xfId="0" applyNumberFormat="1" applyFont="1" applyFill="1" applyBorder="1" applyAlignment="1">
      <alignment horizontal="center" vertical="center"/>
    </xf>
    <xf numFmtId="172" fontId="2" fillId="7" borderId="15" xfId="0" applyNumberFormat="1" applyFont="1" applyFill="1" applyBorder="1" applyAlignment="1">
      <alignment horizontal="center" vertical="center"/>
    </xf>
    <xf numFmtId="172" fontId="2" fillId="7" borderId="16" xfId="0" applyNumberFormat="1" applyFont="1" applyFill="1" applyBorder="1" applyAlignment="1">
      <alignment horizontal="center" vertical="center"/>
    </xf>
    <xf numFmtId="172" fontId="15" fillId="7" borderId="15" xfId="0" applyNumberFormat="1" applyFont="1" applyFill="1" applyBorder="1" applyAlignment="1">
      <alignment horizontal="center" vertical="center"/>
    </xf>
    <xf numFmtId="0" fontId="0" fillId="0" borderId="19"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2" fillId="11" borderId="24" xfId="0" applyFont="1" applyFill="1" applyBorder="1" applyAlignment="1" applyProtection="1">
      <alignment horizontal="center" vertical="center"/>
      <protection hidden="1"/>
    </xf>
    <xf numFmtId="178" fontId="2" fillId="3" borderId="25" xfId="0" applyNumberFormat="1" applyFont="1" applyFill="1" applyBorder="1" applyAlignment="1" applyProtection="1">
      <alignment horizontal="center" vertical="center"/>
      <protection locked="0"/>
    </xf>
    <xf numFmtId="178" fontId="2" fillId="3" borderId="26" xfId="0" applyNumberFormat="1" applyFont="1" applyFill="1" applyBorder="1" applyAlignment="1" applyProtection="1">
      <alignment horizontal="center" vertical="center"/>
      <protection locked="0"/>
    </xf>
    <xf numFmtId="0" fontId="2" fillId="8" borderId="24" xfId="0" applyFont="1" applyFill="1" applyBorder="1" applyAlignment="1" applyProtection="1">
      <alignment horizontal="center" vertical="center"/>
      <protection hidden="1"/>
    </xf>
    <xf numFmtId="0" fontId="2" fillId="9" borderId="27" xfId="0" applyFont="1" applyFill="1" applyBorder="1" applyAlignment="1" applyProtection="1">
      <alignment horizontal="center" vertical="center"/>
      <protection hidden="1"/>
    </xf>
    <xf numFmtId="0" fontId="0" fillId="9" borderId="27" xfId="0" applyFont="1" applyFill="1" applyBorder="1" applyAlignment="1" applyProtection="1">
      <alignment horizontal="center" vertical="center"/>
      <protection hidden="1"/>
    </xf>
    <xf numFmtId="0" fontId="2" fillId="0" borderId="21" xfId="0" applyFont="1" applyBorder="1" applyAlignment="1">
      <alignment vertical="center"/>
    </xf>
    <xf numFmtId="14" fontId="0" fillId="0" borderId="23" xfId="0" applyNumberFormat="1" applyFont="1" applyBorder="1" applyAlignment="1">
      <alignment horizontal="center" vertical="center"/>
    </xf>
    <xf numFmtId="189" fontId="2" fillId="7" borderId="25" xfId="0" applyNumberFormat="1" applyFont="1" applyFill="1" applyBorder="1" applyAlignment="1">
      <alignment horizontal="center" vertical="center"/>
    </xf>
    <xf numFmtId="0" fontId="34" fillId="6" borderId="2" xfId="2" applyFont="1" applyFill="1" applyBorder="1" applyAlignment="1" applyProtection="1">
      <alignment horizontal="center"/>
      <protection hidden="1"/>
    </xf>
    <xf numFmtId="178" fontId="34" fillId="5" borderId="2" xfId="2" applyNumberFormat="1" applyFont="1" applyFill="1" applyBorder="1" applyAlignment="1">
      <alignment horizontal="center"/>
    </xf>
    <xf numFmtId="177" fontId="2" fillId="4" borderId="25" xfId="2" applyNumberFormat="1" applyFont="1" applyFill="1" applyBorder="1" applyAlignment="1" applyProtection="1">
      <alignment horizontal="center"/>
      <protection locked="0"/>
    </xf>
    <xf numFmtId="0" fontId="2" fillId="10" borderId="28" xfId="2" applyFont="1" applyFill="1" applyBorder="1" applyAlignment="1" applyProtection="1">
      <alignment horizontal="center"/>
      <protection hidden="1"/>
    </xf>
    <xf numFmtId="0" fontId="2" fillId="10" borderId="29" xfId="2" applyFont="1" applyFill="1" applyBorder="1" applyAlignment="1" applyProtection="1">
      <alignment horizontal="center"/>
      <protection hidden="1"/>
    </xf>
    <xf numFmtId="0" fontId="36" fillId="10" borderId="30" xfId="2" applyFont="1" applyFill="1" applyBorder="1" applyAlignment="1" applyProtection="1">
      <alignment horizontal="center"/>
      <protection hidden="1"/>
    </xf>
    <xf numFmtId="0" fontId="15" fillId="0" borderId="0" xfId="2" applyFont="1" applyBorder="1" applyAlignment="1" applyProtection="1">
      <alignment horizontal="center"/>
      <protection hidden="1"/>
    </xf>
    <xf numFmtId="0" fontId="0" fillId="0" borderId="10" xfId="0" applyFont="1" applyBorder="1" applyAlignment="1">
      <alignment vertical="center"/>
    </xf>
    <xf numFmtId="0" fontId="15" fillId="0" borderId="10" xfId="2" applyFont="1" applyBorder="1"/>
    <xf numFmtId="0" fontId="15" fillId="0" borderId="31" xfId="2" applyFont="1" applyBorder="1" applyAlignment="1" applyProtection="1">
      <alignment horizontal="center"/>
      <protection hidden="1"/>
    </xf>
    <xf numFmtId="0" fontId="15" fillId="0" borderId="32" xfId="2" applyFont="1" applyBorder="1" applyAlignment="1">
      <alignment horizontal="center"/>
    </xf>
    <xf numFmtId="0" fontId="15" fillId="0" borderId="19" xfId="2" applyFont="1" applyBorder="1" applyAlignment="1" applyProtection="1">
      <alignment horizontal="center"/>
      <protection hidden="1"/>
    </xf>
    <xf numFmtId="0" fontId="15" fillId="0" borderId="20" xfId="2" applyFont="1" applyBorder="1" applyAlignment="1">
      <alignment horizontal="center"/>
    </xf>
    <xf numFmtId="0" fontId="15" fillId="0" borderId="21" xfId="2" applyFont="1" applyBorder="1" applyAlignment="1" applyProtection="1">
      <alignment horizontal="center"/>
      <protection hidden="1"/>
    </xf>
    <xf numFmtId="0" fontId="15" fillId="0" borderId="23" xfId="2" applyFont="1" applyBorder="1" applyAlignment="1">
      <alignment horizontal="center"/>
    </xf>
    <xf numFmtId="0" fontId="15" fillId="0" borderId="20" xfId="2" applyFont="1" applyBorder="1" applyAlignment="1" applyProtection="1">
      <alignment horizontal="center"/>
      <protection hidden="1"/>
    </xf>
    <xf numFmtId="0" fontId="15" fillId="0" borderId="23" xfId="2" applyFont="1" applyBorder="1" applyAlignment="1" applyProtection="1">
      <alignment horizontal="center"/>
      <protection hidden="1"/>
    </xf>
    <xf numFmtId="2" fontId="15" fillId="0" borderId="31" xfId="2" applyNumberFormat="1" applyFont="1" applyBorder="1" applyAlignment="1" applyProtection="1">
      <alignment horizontal="center"/>
      <protection hidden="1"/>
    </xf>
    <xf numFmtId="0" fontId="0" fillId="0" borderId="31" xfId="2" applyFont="1" applyBorder="1" applyAlignment="1" applyProtection="1">
      <alignment horizontal="center"/>
      <protection hidden="1"/>
    </xf>
    <xf numFmtId="0" fontId="0" fillId="0" borderId="33" xfId="2" applyFont="1" applyBorder="1" applyAlignment="1" applyProtection="1">
      <alignment horizontal="center"/>
      <protection hidden="1"/>
    </xf>
    <xf numFmtId="0" fontId="0" fillId="0" borderId="32" xfId="2" applyFont="1" applyBorder="1" applyAlignment="1" applyProtection="1">
      <alignment horizontal="center"/>
      <protection hidden="1"/>
    </xf>
    <xf numFmtId="0" fontId="0" fillId="0" borderId="19" xfId="2" applyFont="1" applyBorder="1" applyAlignment="1" applyProtection="1">
      <alignment horizontal="center"/>
      <protection hidden="1"/>
    </xf>
    <xf numFmtId="0" fontId="15" fillId="0" borderId="22" xfId="2" applyFont="1" applyBorder="1" applyAlignment="1" applyProtection="1">
      <alignment horizontal="center"/>
      <protection hidden="1"/>
    </xf>
    <xf numFmtId="1" fontId="15" fillId="0" borderId="33" xfId="2" applyNumberFormat="1" applyFont="1" applyBorder="1" applyAlignment="1" applyProtection="1">
      <alignment horizontal="center"/>
      <protection hidden="1"/>
    </xf>
    <xf numFmtId="1" fontId="8" fillId="0" borderId="32" xfId="2" applyNumberFormat="1" applyFont="1" applyBorder="1" applyAlignment="1" applyProtection="1">
      <alignment horizontal="center"/>
      <protection hidden="1"/>
    </xf>
    <xf numFmtId="1" fontId="15" fillId="0" borderId="0" xfId="2" applyNumberFormat="1" applyFont="1" applyBorder="1" applyAlignment="1" applyProtection="1">
      <alignment horizontal="center"/>
      <protection hidden="1"/>
    </xf>
    <xf numFmtId="1" fontId="8" fillId="0" borderId="20" xfId="2" applyNumberFormat="1" applyFont="1" applyBorder="1" applyAlignment="1" applyProtection="1">
      <alignment horizontal="center"/>
      <protection hidden="1"/>
    </xf>
    <xf numFmtId="1" fontId="15" fillId="0" borderId="22" xfId="2" applyNumberFormat="1" applyFont="1" applyBorder="1" applyAlignment="1" applyProtection="1">
      <alignment horizontal="center"/>
      <protection hidden="1"/>
    </xf>
    <xf numFmtId="1" fontId="8" fillId="0" borderId="23" xfId="2" applyNumberFormat="1" applyFont="1" applyBorder="1" applyAlignment="1" applyProtection="1">
      <alignment horizontal="center"/>
      <protection hidden="1"/>
    </xf>
    <xf numFmtId="0" fontId="15" fillId="0" borderId="33" xfId="2" applyFont="1" applyBorder="1" applyAlignment="1" applyProtection="1">
      <alignment horizontal="center"/>
      <protection hidden="1"/>
    </xf>
    <xf numFmtId="2" fontId="15" fillId="0" borderId="33" xfId="2" applyNumberFormat="1" applyFont="1" applyBorder="1" applyAlignment="1" applyProtection="1">
      <alignment horizontal="center"/>
      <protection hidden="1"/>
    </xf>
    <xf numFmtId="0" fontId="8" fillId="0" borderId="32" xfId="2" applyFont="1" applyBorder="1" applyAlignment="1" applyProtection="1">
      <alignment horizontal="center"/>
      <protection hidden="1"/>
    </xf>
    <xf numFmtId="0" fontId="8" fillId="0" borderId="20" xfId="2" applyFont="1" applyBorder="1" applyAlignment="1" applyProtection="1">
      <alignment horizontal="center"/>
      <protection hidden="1"/>
    </xf>
    <xf numFmtId="0" fontId="8" fillId="0" borderId="23" xfId="2" applyFont="1" applyBorder="1" applyAlignment="1" applyProtection="1">
      <alignment horizontal="center"/>
      <protection hidden="1"/>
    </xf>
    <xf numFmtId="1" fontId="15" fillId="0" borderId="32" xfId="2" applyNumberFormat="1" applyFont="1" applyBorder="1" applyAlignment="1" applyProtection="1">
      <alignment horizontal="center"/>
      <protection hidden="1"/>
    </xf>
    <xf numFmtId="1" fontId="15" fillId="0" borderId="20" xfId="2" applyNumberFormat="1" applyFont="1" applyBorder="1" applyAlignment="1" applyProtection="1">
      <alignment horizontal="center"/>
      <protection hidden="1"/>
    </xf>
    <xf numFmtId="1" fontId="15" fillId="0" borderId="23" xfId="2" applyNumberFormat="1" applyFont="1" applyBorder="1" applyAlignment="1" applyProtection="1">
      <alignment horizontal="center"/>
      <protection hidden="1"/>
    </xf>
    <xf numFmtId="0" fontId="0" fillId="0" borderId="31" xfId="0" applyBorder="1" applyAlignment="1">
      <alignment horizontal="center" vertical="center"/>
    </xf>
    <xf numFmtId="0" fontId="0" fillId="0" borderId="32" xfId="0" applyBorder="1" applyAlignment="1">
      <alignment horizontal="center" vertical="center"/>
    </xf>
    <xf numFmtId="1" fontId="8" fillId="0" borderId="0" xfId="2" applyNumberFormat="1" applyFont="1" applyBorder="1" applyAlignment="1" applyProtection="1">
      <alignment horizontal="center"/>
      <protection hidden="1"/>
    </xf>
    <xf numFmtId="0" fontId="0" fillId="0" borderId="21" xfId="2" applyFont="1" applyBorder="1" applyAlignment="1" applyProtection="1">
      <alignment horizontal="center"/>
      <protection hidden="1"/>
    </xf>
    <xf numFmtId="165" fontId="0" fillId="0" borderId="19" xfId="0" applyNumberFormat="1" applyFont="1" applyBorder="1" applyAlignment="1">
      <alignment horizontal="center" vertical="center"/>
    </xf>
    <xf numFmtId="1" fontId="0" fillId="0" borderId="20" xfId="0" applyNumberFormat="1" applyFont="1" applyBorder="1" applyAlignment="1">
      <alignment horizontal="center" vertical="center"/>
    </xf>
    <xf numFmtId="165" fontId="0" fillId="0" borderId="21" xfId="0" applyNumberFormat="1" applyFont="1" applyBorder="1" applyAlignment="1">
      <alignment horizontal="center" vertical="center"/>
    </xf>
    <xf numFmtId="1" fontId="0" fillId="0" borderId="23" xfId="0" applyNumberFormat="1" applyFont="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1" fontId="0" fillId="0" borderId="19" xfId="0" applyNumberFormat="1" applyFont="1" applyBorder="1" applyAlignment="1">
      <alignment horizontal="center" vertical="center"/>
    </xf>
    <xf numFmtId="1" fontId="0" fillId="0" borderId="21" xfId="0" applyNumberFormat="1" applyFont="1" applyBorder="1" applyAlignment="1">
      <alignment horizontal="center" vertical="center"/>
    </xf>
    <xf numFmtId="0" fontId="0" fillId="0" borderId="23" xfId="0" applyFont="1" applyBorder="1" applyAlignment="1">
      <alignment horizontal="center" vertical="center"/>
    </xf>
    <xf numFmtId="0" fontId="14" fillId="15" borderId="8" xfId="0" applyFont="1" applyFill="1" applyBorder="1" applyAlignment="1" applyProtection="1">
      <alignment horizontal="center"/>
      <protection locked="0"/>
    </xf>
    <xf numFmtId="0" fontId="0" fillId="0" borderId="0" xfId="0" applyAlignment="1">
      <alignment horizontal="right" vertical="center"/>
    </xf>
    <xf numFmtId="190" fontId="2" fillId="4" borderId="2" xfId="2" applyNumberFormat="1" applyFont="1" applyFill="1" applyBorder="1" applyAlignment="1" applyProtection="1">
      <alignment horizontal="center"/>
      <protection locked="0"/>
    </xf>
    <xf numFmtId="0" fontId="0" fillId="0" borderId="0" xfId="2" applyFont="1" applyBorder="1" applyAlignment="1"/>
    <xf numFmtId="0" fontId="30" fillId="6" borderId="2" xfId="2" applyFont="1" applyFill="1" applyBorder="1" applyAlignment="1" applyProtection="1">
      <alignment horizontal="center"/>
      <protection hidden="1"/>
    </xf>
    <xf numFmtId="189" fontId="2" fillId="3" borderId="2" xfId="0" applyNumberFormat="1" applyFont="1" applyFill="1" applyBorder="1" applyAlignment="1" applyProtection="1">
      <alignment horizontal="center" vertical="center"/>
      <protection locked="0"/>
    </xf>
    <xf numFmtId="0" fontId="0" fillId="0" borderId="0" xfId="2" applyFont="1" applyAlignment="1" applyProtection="1">
      <alignment horizontal="center"/>
      <protection hidden="1"/>
    </xf>
    <xf numFmtId="0" fontId="0" fillId="0" borderId="0" xfId="0" applyAlignment="1">
      <alignment horizontal="right"/>
    </xf>
    <xf numFmtId="0" fontId="2" fillId="11" borderId="18" xfId="1" applyFont="1" applyFill="1" applyBorder="1" applyAlignment="1" applyProtection="1">
      <alignment horizontal="center" vertical="center"/>
      <protection hidden="1"/>
    </xf>
    <xf numFmtId="0" fontId="0" fillId="0" borderId="33" xfId="0" applyBorder="1" applyAlignment="1">
      <alignment horizontal="center" vertical="center"/>
    </xf>
    <xf numFmtId="0" fontId="0" fillId="0" borderId="21" xfId="0" applyBorder="1" applyAlignment="1">
      <alignment horizontal="center" vertical="center"/>
    </xf>
    <xf numFmtId="1" fontId="0" fillId="0" borderId="22" xfId="0" applyNumberFormat="1" applyFont="1" applyBorder="1" applyAlignment="1">
      <alignment horizontal="center" vertical="center"/>
    </xf>
    <xf numFmtId="1" fontId="0" fillId="0" borderId="23" xfId="0" applyNumberFormat="1" applyBorder="1" applyAlignment="1">
      <alignment horizontal="center" vertical="center"/>
    </xf>
    <xf numFmtId="0" fontId="0" fillId="0" borderId="19" xfId="0" applyBorder="1" applyAlignment="1">
      <alignment horizontal="center" vertical="center"/>
    </xf>
    <xf numFmtId="1" fontId="0" fillId="0" borderId="0" xfId="0" applyNumberFormat="1" applyBorder="1" applyAlignment="1">
      <alignment horizontal="center" vertical="center"/>
    </xf>
    <xf numFmtId="1" fontId="0" fillId="0" borderId="20" xfId="0" applyNumberFormat="1" applyBorder="1" applyAlignment="1">
      <alignment horizontal="center" vertical="center"/>
    </xf>
    <xf numFmtId="0" fontId="0" fillId="0" borderId="31" xfId="0" applyBorder="1" applyAlignment="1">
      <alignment vertical="center"/>
    </xf>
    <xf numFmtId="0" fontId="0" fillId="0" borderId="32" xfId="0" applyBorder="1" applyAlignment="1">
      <alignment horizontal="left" vertical="center"/>
    </xf>
    <xf numFmtId="0" fontId="0" fillId="0" borderId="20" xfId="0" applyBorder="1" applyAlignment="1">
      <alignment horizontal="left" vertical="center"/>
    </xf>
    <xf numFmtId="0" fontId="0" fillId="0" borderId="19" xfId="0" applyBorder="1" applyAlignment="1">
      <alignment horizontal="right" vertical="center"/>
    </xf>
    <xf numFmtId="2" fontId="0" fillId="0" borderId="20" xfId="0" applyNumberFormat="1" applyBorder="1" applyAlignment="1">
      <alignment horizontal="center" vertical="center"/>
    </xf>
    <xf numFmtId="0" fontId="0" fillId="0" borderId="21" xfId="0" applyBorder="1" applyAlignment="1">
      <alignment horizontal="right" vertical="center"/>
    </xf>
    <xf numFmtId="2" fontId="0" fillId="0" borderId="23" xfId="0" applyNumberFormat="1" applyBorder="1" applyAlignment="1">
      <alignment horizontal="center" vertical="center"/>
    </xf>
    <xf numFmtId="0" fontId="0" fillId="0" borderId="31" xfId="0" applyBorder="1" applyAlignment="1">
      <alignment horizontal="right" vertical="center"/>
    </xf>
    <xf numFmtId="2" fontId="0" fillId="0" borderId="32" xfId="0" applyNumberFormat="1" applyBorder="1" applyAlignment="1">
      <alignment horizontal="center" vertical="center"/>
    </xf>
    <xf numFmtId="0" fontId="2" fillId="0" borderId="20" xfId="0" applyFont="1" applyBorder="1" applyAlignment="1">
      <alignment horizontal="center" vertical="center"/>
    </xf>
    <xf numFmtId="0" fontId="0" fillId="0" borderId="0" xfId="0" applyBorder="1" applyAlignment="1">
      <alignment horizontal="center"/>
    </xf>
    <xf numFmtId="0" fontId="0" fillId="0" borderId="0" xfId="0" applyBorder="1" applyAlignment="1">
      <alignment horizontal="right"/>
    </xf>
    <xf numFmtId="1" fontId="2" fillId="0" borderId="0" xfId="0" applyNumberFormat="1" applyFont="1" applyBorder="1" applyAlignment="1">
      <alignment horizontal="center"/>
    </xf>
    <xf numFmtId="0" fontId="2" fillId="0" borderId="32" xfId="0" applyFont="1" applyBorder="1" applyAlignment="1">
      <alignment horizontal="center"/>
    </xf>
    <xf numFmtId="0" fontId="2" fillId="0" borderId="20" xfId="0" applyFont="1" applyBorder="1" applyAlignment="1">
      <alignment horizontal="center"/>
    </xf>
    <xf numFmtId="1" fontId="2" fillId="0" borderId="23" xfId="0" applyNumberFormat="1" applyFont="1" applyBorder="1" applyAlignment="1">
      <alignment horizontal="center"/>
    </xf>
    <xf numFmtId="0" fontId="2" fillId="0" borderId="33" xfId="0" applyFont="1" applyBorder="1" applyAlignment="1">
      <alignment horizontal="center"/>
    </xf>
    <xf numFmtId="165" fontId="2" fillId="0" borderId="0" xfId="0" applyNumberFormat="1" applyFont="1" applyBorder="1" applyAlignment="1">
      <alignment horizontal="center" vertical="center"/>
    </xf>
    <xf numFmtId="165" fontId="2" fillId="0" borderId="0" xfId="0" applyNumberFormat="1" applyFont="1" applyBorder="1" applyAlignment="1">
      <alignment horizontal="center"/>
    </xf>
    <xf numFmtId="0" fontId="2" fillId="0" borderId="33" xfId="0" applyFont="1" applyBorder="1"/>
    <xf numFmtId="165" fontId="2" fillId="0" borderId="33" xfId="0" applyNumberFormat="1" applyFont="1" applyBorder="1" applyAlignment="1">
      <alignment horizontal="center" vertical="center"/>
    </xf>
    <xf numFmtId="165" fontId="2" fillId="0" borderId="32" xfId="0" applyNumberFormat="1" applyFont="1" applyBorder="1" applyAlignment="1">
      <alignment horizontal="center" vertical="center"/>
    </xf>
    <xf numFmtId="0" fontId="2" fillId="0" borderId="20" xfId="0" applyFont="1" applyBorder="1"/>
    <xf numFmtId="165" fontId="2" fillId="0" borderId="20" xfId="0" applyNumberFormat="1" applyFont="1" applyBorder="1" applyAlignment="1">
      <alignment horizontal="center" vertical="center"/>
    </xf>
    <xf numFmtId="165" fontId="2" fillId="0" borderId="20" xfId="0" applyNumberFormat="1" applyFont="1" applyBorder="1" applyAlignment="1">
      <alignment horizontal="center"/>
    </xf>
    <xf numFmtId="0" fontId="2" fillId="0" borderId="22" xfId="0" applyFont="1" applyBorder="1"/>
    <xf numFmtId="165" fontId="2" fillId="0" borderId="22" xfId="0" applyNumberFormat="1" applyFont="1" applyBorder="1" applyAlignment="1">
      <alignment horizontal="center" vertical="center"/>
    </xf>
    <xf numFmtId="165" fontId="2" fillId="0" borderId="23" xfId="0" applyNumberFormat="1" applyFont="1" applyBorder="1" applyAlignment="1">
      <alignment horizontal="center" vertical="center"/>
    </xf>
    <xf numFmtId="165" fontId="0" fillId="0" borderId="0" xfId="0" applyNumberFormat="1" applyFont="1" applyBorder="1" applyAlignment="1">
      <alignment horizontal="left"/>
    </xf>
    <xf numFmtId="0" fontId="0" fillId="0" borderId="0" xfId="0" applyBorder="1" applyAlignment="1">
      <alignment horizontal="center" vertical="center"/>
    </xf>
    <xf numFmtId="165" fontId="2" fillId="0" borderId="0" xfId="0" applyNumberFormat="1" applyFont="1" applyFill="1" applyBorder="1" applyAlignment="1">
      <alignment horizontal="center" vertical="center"/>
    </xf>
    <xf numFmtId="0" fontId="2" fillId="4" borderId="0" xfId="0" applyFont="1" applyFill="1" applyBorder="1" applyAlignment="1" applyProtection="1">
      <alignment horizontal="center" vertical="center"/>
      <protection locked="0"/>
    </xf>
    <xf numFmtId="165" fontId="2" fillId="0" borderId="0" xfId="0" applyNumberFormat="1" applyFont="1" applyFill="1" applyBorder="1" applyAlignment="1">
      <alignment horizontal="center"/>
    </xf>
    <xf numFmtId="1" fontId="2" fillId="0" borderId="0" xfId="0" applyNumberFormat="1" applyFont="1" applyFill="1" applyBorder="1" applyAlignment="1">
      <alignment horizontal="center"/>
    </xf>
    <xf numFmtId="0" fontId="2" fillId="0" borderId="23" xfId="0" applyFont="1" applyBorder="1" applyAlignment="1">
      <alignment horizontal="center"/>
    </xf>
    <xf numFmtId="0" fontId="0" fillId="0" borderId="33" xfId="0" applyBorder="1" applyAlignment="1">
      <alignment horizontal="center"/>
    </xf>
    <xf numFmtId="0" fontId="0" fillId="0" borderId="32" xfId="0" applyBorder="1" applyAlignment="1">
      <alignment horizontal="center"/>
    </xf>
    <xf numFmtId="1" fontId="2" fillId="0" borderId="22" xfId="0" applyNumberFormat="1" applyFont="1" applyBorder="1" applyAlignment="1">
      <alignment horizontal="center"/>
    </xf>
    <xf numFmtId="165" fontId="2" fillId="0" borderId="23" xfId="0" applyNumberFormat="1" applyFont="1" applyBorder="1" applyAlignment="1">
      <alignment horizontal="center"/>
    </xf>
    <xf numFmtId="0" fontId="0" fillId="0" borderId="33" xfId="0" applyBorder="1"/>
    <xf numFmtId="0" fontId="0" fillId="0" borderId="32" xfId="0" applyBorder="1"/>
    <xf numFmtId="0" fontId="0" fillId="0" borderId="20" xfId="0" applyBorder="1"/>
    <xf numFmtId="0" fontId="2" fillId="4"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3" xfId="0" applyBorder="1"/>
    <xf numFmtId="0" fontId="29" fillId="0" borderId="20" xfId="0" applyFont="1" applyBorder="1" applyAlignment="1">
      <alignment horizontal="left"/>
    </xf>
    <xf numFmtId="0" fontId="2" fillId="0" borderId="0" xfId="0" applyFont="1" applyFill="1" applyBorder="1" applyAlignment="1">
      <alignment horizontal="right"/>
    </xf>
    <xf numFmtId="0" fontId="2" fillId="0" borderId="22" xfId="0" applyFont="1" applyBorder="1" applyAlignment="1">
      <alignment horizontal="center"/>
    </xf>
    <xf numFmtId="0" fontId="2" fillId="0" borderId="31" xfId="0" applyFont="1" applyBorder="1" applyAlignment="1">
      <alignment horizontal="center"/>
    </xf>
    <xf numFmtId="0" fontId="2" fillId="0" borderId="19" xfId="0" applyFont="1" applyBorder="1" applyAlignment="1">
      <alignment horizontal="center"/>
    </xf>
    <xf numFmtId="0" fontId="2" fillId="0" borderId="21" xfId="0" applyFont="1" applyBorder="1" applyAlignment="1">
      <alignment horizontal="center"/>
    </xf>
    <xf numFmtId="0" fontId="2" fillId="0" borderId="0" xfId="0" applyFont="1" applyAlignment="1">
      <alignment horizontal="center"/>
    </xf>
    <xf numFmtId="0" fontId="2" fillId="0" borderId="19" xfId="0" applyFont="1" applyBorder="1" applyAlignment="1">
      <alignment horizontal="center" vertical="center"/>
    </xf>
    <xf numFmtId="0" fontId="2" fillId="4" borderId="23" xfId="0" applyFont="1" applyFill="1" applyBorder="1" applyAlignment="1" applyProtection="1">
      <alignment horizontal="center" vertical="center"/>
      <protection locked="0"/>
    </xf>
    <xf numFmtId="0" fontId="2" fillId="0" borderId="0" xfId="0" applyFont="1" applyBorder="1" applyAlignment="1"/>
    <xf numFmtId="1" fontId="2" fillId="0" borderId="20" xfId="0" applyNumberFormat="1" applyFont="1" applyBorder="1" applyAlignment="1">
      <alignment horizontal="center"/>
    </xf>
    <xf numFmtId="165" fontId="2" fillId="0" borderId="22" xfId="0" applyNumberFormat="1" applyFont="1" applyBorder="1" applyAlignment="1">
      <alignment horizontal="center"/>
    </xf>
    <xf numFmtId="0" fontId="2" fillId="0" borderId="34" xfId="0" applyFont="1" applyBorder="1" applyAlignment="1">
      <alignment horizontal="center"/>
    </xf>
    <xf numFmtId="1" fontId="2" fillId="0" borderId="0" xfId="0" applyNumberFormat="1" applyFont="1" applyBorder="1" applyAlignment="1">
      <alignment horizontal="center" vertical="center"/>
    </xf>
    <xf numFmtId="1" fontId="2" fillId="0" borderId="20" xfId="0" applyNumberFormat="1" applyFont="1" applyBorder="1" applyAlignment="1">
      <alignment horizontal="center" vertical="center"/>
    </xf>
    <xf numFmtId="0" fontId="2" fillId="0" borderId="35" xfId="0" applyFont="1" applyBorder="1" applyAlignment="1"/>
    <xf numFmtId="1" fontId="2" fillId="0" borderId="35" xfId="0" applyNumberFormat="1" applyFont="1" applyBorder="1" applyAlignment="1">
      <alignment horizontal="center"/>
    </xf>
    <xf numFmtId="0" fontId="2" fillId="0" borderId="35" xfId="0" applyFont="1" applyBorder="1" applyAlignment="1">
      <alignment horizontal="center"/>
    </xf>
    <xf numFmtId="0" fontId="2" fillId="4" borderId="32" xfId="0" applyFont="1" applyFill="1" applyBorder="1" applyAlignment="1" applyProtection="1">
      <alignment horizontal="center" vertical="center"/>
      <protection locked="0"/>
    </xf>
    <xf numFmtId="0" fontId="2" fillId="0" borderId="23" xfId="0" applyFont="1" applyBorder="1"/>
    <xf numFmtId="0" fontId="30" fillId="0" borderId="13" xfId="0" applyFont="1" applyBorder="1" applyAlignment="1" applyProtection="1">
      <alignment horizontal="right" vertical="center"/>
    </xf>
    <xf numFmtId="0" fontId="30" fillId="0" borderId="13" xfId="2" applyFont="1" applyBorder="1" applyAlignment="1" applyProtection="1">
      <alignment horizontal="righ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0" fillId="0" borderId="0" xfId="0" applyNumberFormat="1" applyBorder="1" applyAlignment="1">
      <alignment horizontal="center"/>
    </xf>
    <xf numFmtId="2" fontId="0" fillId="16" borderId="31" xfId="0" applyNumberFormat="1" applyFont="1" applyFill="1" applyBorder="1" applyAlignment="1">
      <alignment horizontal="center"/>
    </xf>
    <xf numFmtId="2" fontId="0" fillId="16" borderId="33" xfId="0" applyNumberFormat="1" applyFont="1" applyFill="1" applyBorder="1" applyAlignment="1">
      <alignment horizontal="center"/>
    </xf>
    <xf numFmtId="2" fontId="0" fillId="16" borderId="32" xfId="0" applyNumberFormat="1" applyFont="1" applyFill="1" applyBorder="1" applyAlignment="1">
      <alignment horizontal="center"/>
    </xf>
    <xf numFmtId="0" fontId="0" fillId="16" borderId="31" xfId="0" applyNumberFormat="1" applyFont="1" applyFill="1" applyBorder="1" applyAlignment="1">
      <alignment horizontal="center"/>
    </xf>
    <xf numFmtId="0" fontId="0" fillId="16" borderId="33" xfId="0" applyNumberFormat="1" applyFont="1" applyFill="1" applyBorder="1" applyAlignment="1">
      <alignment horizontal="center"/>
    </xf>
    <xf numFmtId="0" fontId="0" fillId="16" borderId="32" xfId="0" applyNumberFormat="1" applyFont="1" applyFill="1" applyBorder="1" applyAlignment="1">
      <alignment horizontal="center"/>
    </xf>
    <xf numFmtId="2" fontId="0" fillId="0" borderId="0" xfId="0" applyNumberFormat="1" applyAlignment="1"/>
    <xf numFmtId="2" fontId="0" fillId="0" borderId="0" xfId="0" applyNumberFormat="1" applyAlignment="1">
      <alignment horizontal="left"/>
    </xf>
    <xf numFmtId="2" fontId="9" fillId="0" borderId="0" xfId="0" applyNumberFormat="1" applyFont="1" applyAlignment="1">
      <alignment horizontal="left"/>
    </xf>
    <xf numFmtId="2" fontId="10" fillId="0" borderId="0" xfId="1" applyNumberFormat="1" applyAlignment="1">
      <alignment horizontal="left"/>
    </xf>
    <xf numFmtId="2" fontId="10" fillId="0" borderId="0" xfId="1" applyNumberFormat="1" applyAlignment="1">
      <alignment horizontal="center"/>
    </xf>
    <xf numFmtId="2" fontId="0" fillId="0" borderId="0" xfId="0" quotePrefix="1" applyNumberFormat="1" applyAlignment="1">
      <alignment horizontal="center"/>
    </xf>
    <xf numFmtId="2" fontId="0" fillId="21" borderId="20" xfId="0" applyNumberFormat="1" applyFill="1" applyBorder="1" applyAlignment="1">
      <alignment horizontal="center"/>
    </xf>
    <xf numFmtId="2" fontId="0" fillId="21" borderId="23" xfId="0" applyNumberFormat="1" applyFill="1" applyBorder="1" applyAlignment="1">
      <alignment horizontal="center"/>
    </xf>
    <xf numFmtId="2" fontId="0" fillId="21" borderId="19" xfId="0" applyNumberFormat="1" applyFill="1" applyBorder="1" applyAlignment="1">
      <alignment horizontal="center"/>
    </xf>
    <xf numFmtId="2" fontId="0" fillId="21" borderId="0" xfId="0" applyNumberFormat="1" applyFill="1" applyBorder="1" applyAlignment="1">
      <alignment horizontal="center"/>
    </xf>
    <xf numFmtId="2" fontId="0" fillId="21" borderId="21" xfId="0" applyNumberFormat="1" applyFill="1" applyBorder="1" applyAlignment="1">
      <alignment horizontal="center"/>
    </xf>
    <xf numFmtId="2" fontId="0" fillId="21" borderId="22" xfId="0" applyNumberFormat="1" applyFill="1" applyBorder="1" applyAlignment="1">
      <alignment horizontal="center"/>
    </xf>
    <xf numFmtId="1" fontId="0" fillId="21" borderId="19" xfId="0" applyNumberFormat="1" applyFill="1" applyBorder="1" applyAlignment="1">
      <alignment horizontal="center"/>
    </xf>
    <xf numFmtId="2" fontId="0" fillId="21" borderId="26" xfId="0" applyNumberFormat="1" applyFill="1" applyBorder="1" applyAlignment="1">
      <alignment horizontal="center"/>
    </xf>
    <xf numFmtId="1" fontId="0" fillId="21" borderId="21" xfId="0" applyNumberFormat="1" applyFill="1" applyBorder="1" applyAlignment="1">
      <alignment horizontal="center"/>
    </xf>
    <xf numFmtId="2" fontId="0" fillId="21" borderId="25" xfId="0" applyNumberFormat="1" applyFill="1" applyBorder="1" applyAlignment="1">
      <alignment horizontal="center"/>
    </xf>
    <xf numFmtId="0" fontId="0" fillId="21" borderId="19" xfId="0" applyNumberFormat="1" applyFill="1" applyBorder="1" applyAlignment="1"/>
    <xf numFmtId="0" fontId="0" fillId="21" borderId="0" xfId="0" applyNumberFormat="1" applyFill="1" applyBorder="1" applyAlignment="1"/>
    <xf numFmtId="0" fontId="0" fillId="21" borderId="20" xfId="0" applyNumberFormat="1" applyFill="1" applyBorder="1" applyAlignment="1">
      <alignment horizontal="center"/>
    </xf>
    <xf numFmtId="0" fontId="0" fillId="21" borderId="21" xfId="0" applyNumberFormat="1" applyFill="1" applyBorder="1" applyAlignment="1"/>
    <xf numFmtId="0" fontId="0" fillId="21" borderId="22" xfId="0" applyNumberFormat="1" applyFill="1" applyBorder="1" applyAlignment="1"/>
    <xf numFmtId="0" fontId="0" fillId="21" borderId="23" xfId="0" applyNumberFormat="1" applyFill="1" applyBorder="1" applyAlignment="1">
      <alignment horizontal="center"/>
    </xf>
    <xf numFmtId="1" fontId="0" fillId="21" borderId="31" xfId="0" applyNumberFormat="1" applyFill="1" applyBorder="1" applyAlignment="1">
      <alignment horizontal="center"/>
    </xf>
    <xf numFmtId="1" fontId="0" fillId="21" borderId="33" xfId="0" applyNumberFormat="1" applyFill="1" applyBorder="1" applyAlignment="1">
      <alignment horizontal="center"/>
    </xf>
    <xf numFmtId="1" fontId="0" fillId="21" borderId="32" xfId="0" applyNumberFormat="1" applyFill="1" applyBorder="1" applyAlignment="1">
      <alignment horizontal="center"/>
    </xf>
    <xf numFmtId="1" fontId="0" fillId="21" borderId="0" xfId="0" applyNumberFormat="1" applyFill="1" applyBorder="1" applyAlignment="1">
      <alignment horizontal="center"/>
    </xf>
    <xf numFmtId="1" fontId="0" fillId="21" borderId="20" xfId="0" applyNumberFormat="1" applyFill="1" applyBorder="1" applyAlignment="1">
      <alignment horizontal="center"/>
    </xf>
    <xf numFmtId="1" fontId="0" fillId="21" borderId="22" xfId="0" applyNumberFormat="1" applyFill="1" applyBorder="1" applyAlignment="1">
      <alignment horizontal="center"/>
    </xf>
    <xf numFmtId="1" fontId="0" fillId="21" borderId="23" xfId="0" applyNumberFormat="1" applyFill="1" applyBorder="1" applyAlignment="1">
      <alignment horizontal="center"/>
    </xf>
    <xf numFmtId="2" fontId="0" fillId="21" borderId="32" xfId="0" applyNumberFormat="1" applyFill="1" applyBorder="1" applyAlignment="1">
      <alignment horizontal="center"/>
    </xf>
    <xf numFmtId="2" fontId="0" fillId="21" borderId="24" xfId="0" applyNumberFormat="1" applyFill="1" applyBorder="1" applyAlignment="1">
      <alignment horizontal="center"/>
    </xf>
    <xf numFmtId="2" fontId="0" fillId="21" borderId="31" xfId="0" applyNumberFormat="1" applyFill="1" applyBorder="1" applyAlignment="1">
      <alignment horizontal="center"/>
    </xf>
    <xf numFmtId="0" fontId="0" fillId="22" borderId="36" xfId="0" applyFill="1" applyBorder="1" applyAlignment="1">
      <alignment horizontal="center"/>
    </xf>
    <xf numFmtId="0" fontId="0" fillId="22" borderId="37" xfId="0" applyFont="1" applyFill="1" applyBorder="1" applyAlignment="1">
      <alignment horizontal="center"/>
    </xf>
    <xf numFmtId="0" fontId="0" fillId="22" borderId="38" xfId="0" applyFill="1" applyBorder="1" applyAlignment="1">
      <alignment horizontal="center"/>
    </xf>
    <xf numFmtId="0" fontId="0" fillId="22" borderId="39" xfId="0" applyFill="1" applyBorder="1" applyAlignment="1">
      <alignment horizontal="center"/>
    </xf>
    <xf numFmtId="0" fontId="0" fillId="22" borderId="40" xfId="0" applyFont="1" applyFill="1" applyBorder="1" applyAlignment="1">
      <alignment horizontal="center"/>
    </xf>
    <xf numFmtId="0" fontId="0" fillId="22" borderId="41" xfId="0" applyFont="1" applyFill="1" applyBorder="1" applyAlignment="1">
      <alignment horizontal="center"/>
    </xf>
    <xf numFmtId="0" fontId="0" fillId="22" borderId="36" xfId="0" applyFont="1" applyFill="1" applyBorder="1" applyAlignment="1">
      <alignment horizontal="center"/>
    </xf>
    <xf numFmtId="0" fontId="0" fillId="22" borderId="42" xfId="0" applyFill="1" applyBorder="1" applyAlignment="1">
      <alignment horizontal="center"/>
    </xf>
    <xf numFmtId="0" fontId="0" fillId="22" borderId="43" xfId="0" applyFill="1" applyBorder="1" applyAlignment="1">
      <alignment horizontal="center"/>
    </xf>
    <xf numFmtId="0" fontId="0" fillId="22" borderId="41" xfId="0" applyFill="1" applyBorder="1" applyAlignment="1">
      <alignment horizontal="center"/>
    </xf>
    <xf numFmtId="0" fontId="0" fillId="22" borderId="44" xfId="0" applyFont="1" applyFill="1" applyBorder="1" applyAlignment="1">
      <alignment horizontal="center"/>
    </xf>
    <xf numFmtId="0" fontId="0" fillId="22" borderId="45" xfId="0" applyFill="1" applyBorder="1" applyAlignment="1">
      <alignment horizontal="center"/>
    </xf>
    <xf numFmtId="0" fontId="0" fillId="22" borderId="46" xfId="0" applyFill="1" applyBorder="1" applyAlignment="1">
      <alignment horizontal="center"/>
    </xf>
    <xf numFmtId="0" fontId="0" fillId="22" borderId="47" xfId="0" applyFill="1" applyBorder="1" applyAlignment="1">
      <alignment horizontal="center"/>
    </xf>
    <xf numFmtId="0" fontId="0" fillId="22" borderId="48" xfId="0" applyFill="1" applyBorder="1" applyAlignment="1">
      <alignment horizontal="center"/>
    </xf>
    <xf numFmtId="0" fontId="0" fillId="22" borderId="49" xfId="0" applyFill="1" applyBorder="1" applyAlignment="1">
      <alignment horizontal="center"/>
    </xf>
    <xf numFmtId="0" fontId="0" fillId="22" borderId="50" xfId="0" applyFill="1" applyBorder="1" applyAlignment="1">
      <alignment horizontal="center"/>
    </xf>
    <xf numFmtId="0" fontId="8" fillId="22" borderId="36" xfId="0" applyFont="1" applyFill="1" applyBorder="1" applyAlignment="1">
      <alignment horizontal="center"/>
    </xf>
    <xf numFmtId="0" fontId="15" fillId="22" borderId="37" xfId="0" applyFont="1" applyFill="1" applyBorder="1" applyAlignment="1">
      <alignment horizontal="center"/>
    </xf>
    <xf numFmtId="2" fontId="0" fillId="23" borderId="19" xfId="0" applyNumberFormat="1" applyFont="1" applyFill="1" applyBorder="1" applyAlignment="1">
      <alignment horizontal="center"/>
    </xf>
    <xf numFmtId="2" fontId="0" fillId="23" borderId="21" xfId="0" applyNumberFormat="1" applyFont="1" applyFill="1" applyBorder="1" applyAlignment="1">
      <alignment horizontal="center"/>
    </xf>
    <xf numFmtId="2" fontId="0" fillId="24" borderId="32" xfId="0" applyNumberFormat="1" applyFill="1" applyBorder="1" applyAlignment="1">
      <alignment horizontal="center"/>
    </xf>
    <xf numFmtId="2" fontId="0" fillId="24" borderId="31" xfId="0" applyNumberFormat="1" applyFill="1" applyBorder="1" applyAlignment="1">
      <alignment horizontal="center"/>
    </xf>
    <xf numFmtId="2" fontId="0" fillId="24" borderId="33" xfId="0" applyNumberFormat="1" applyFill="1" applyBorder="1" applyAlignment="1">
      <alignment horizontal="center"/>
    </xf>
    <xf numFmtId="0" fontId="0" fillId="25" borderId="51" xfId="0" applyFill="1" applyBorder="1" applyAlignment="1">
      <alignment horizontal="center"/>
    </xf>
    <xf numFmtId="184" fontId="0" fillId="25" borderId="11" xfId="0" applyNumberFormat="1" applyFill="1" applyBorder="1" applyAlignment="1">
      <alignment horizontal="center"/>
    </xf>
    <xf numFmtId="173" fontId="0" fillId="25" borderId="11" xfId="0" applyNumberFormat="1" applyFill="1" applyBorder="1" applyAlignment="1">
      <alignment horizontal="center"/>
    </xf>
    <xf numFmtId="164" fontId="0" fillId="24" borderId="11" xfId="0" applyNumberFormat="1" applyFill="1" applyBorder="1" applyAlignment="1">
      <alignment horizontal="center"/>
    </xf>
    <xf numFmtId="164" fontId="0" fillId="25" borderId="11" xfId="0" applyNumberFormat="1" applyFill="1" applyBorder="1" applyAlignment="1">
      <alignment horizontal="center"/>
    </xf>
    <xf numFmtId="178" fontId="0" fillId="24" borderId="11" xfId="0" applyNumberFormat="1" applyFill="1" applyBorder="1" applyAlignment="1">
      <alignment horizontal="center"/>
    </xf>
    <xf numFmtId="0" fontId="0" fillId="24" borderId="11" xfId="0" applyNumberFormat="1" applyFill="1" applyBorder="1" applyAlignment="1">
      <alignment horizontal="center"/>
    </xf>
    <xf numFmtId="0" fontId="0" fillId="25" borderId="52" xfId="0" applyFill="1" applyBorder="1" applyAlignment="1">
      <alignment horizontal="center"/>
    </xf>
    <xf numFmtId="0" fontId="0" fillId="25" borderId="53" xfId="0" applyFill="1" applyBorder="1" applyAlignment="1">
      <alignment horizontal="center"/>
    </xf>
    <xf numFmtId="0" fontId="2" fillId="26" borderId="52" xfId="0" applyFont="1" applyFill="1" applyBorder="1" applyAlignment="1">
      <alignment horizontal="center"/>
    </xf>
    <xf numFmtId="0" fontId="0" fillId="26" borderId="54" xfId="0" applyFont="1" applyFill="1" applyBorder="1" applyAlignment="1">
      <alignment horizontal="center"/>
    </xf>
    <xf numFmtId="0" fontId="0" fillId="26" borderId="53" xfId="0" applyFont="1" applyFill="1" applyBorder="1" applyAlignment="1">
      <alignment horizontal="center"/>
    </xf>
    <xf numFmtId="0" fontId="0" fillId="25" borderId="55" xfId="0" applyFill="1" applyBorder="1" applyAlignment="1">
      <alignment horizontal="center"/>
    </xf>
    <xf numFmtId="0" fontId="0" fillId="25" borderId="56" xfId="0" applyFill="1" applyBorder="1" applyAlignment="1">
      <alignment horizontal="center"/>
    </xf>
    <xf numFmtId="0" fontId="0" fillId="25" borderId="57" xfId="0" applyFill="1" applyBorder="1" applyAlignment="1">
      <alignment horizontal="center"/>
    </xf>
    <xf numFmtId="0" fontId="0" fillId="25" borderId="58" xfId="0" applyFill="1" applyBorder="1" applyAlignment="1">
      <alignment horizontal="center"/>
    </xf>
    <xf numFmtId="0" fontId="0" fillId="25" borderId="59" xfId="0" applyFill="1" applyBorder="1" applyAlignment="1">
      <alignment horizontal="center"/>
    </xf>
    <xf numFmtId="0" fontId="0" fillId="25" borderId="60" xfId="0" applyFill="1" applyBorder="1" applyAlignment="1">
      <alignment horizontal="center"/>
    </xf>
    <xf numFmtId="0" fontId="0" fillId="3" borderId="55" xfId="0" applyFill="1" applyBorder="1" applyAlignment="1">
      <alignment horizontal="center"/>
    </xf>
    <xf numFmtId="0" fontId="0" fillId="3" borderId="56" xfId="0" applyFill="1" applyBorder="1" applyAlignment="1">
      <alignment horizontal="center"/>
    </xf>
    <xf numFmtId="0" fontId="0" fillId="3" borderId="61" xfId="0" applyFill="1" applyBorder="1" applyAlignment="1">
      <alignment horizontal="center"/>
    </xf>
    <xf numFmtId="0" fontId="0" fillId="3" borderId="0" xfId="0" applyFill="1" applyBorder="1" applyAlignment="1">
      <alignment horizontal="center"/>
    </xf>
    <xf numFmtId="183" fontId="0" fillId="25" borderId="58" xfId="0" applyNumberFormat="1" applyFill="1" applyBorder="1" applyAlignment="1">
      <alignment horizontal="center"/>
    </xf>
    <xf numFmtId="183" fontId="0" fillId="25" borderId="59" xfId="0" applyNumberFormat="1" applyFill="1" applyBorder="1" applyAlignment="1">
      <alignment horizontal="center"/>
    </xf>
    <xf numFmtId="2" fontId="0" fillId="3" borderId="0" xfId="0" applyNumberFormat="1" applyFill="1" applyBorder="1" applyAlignment="1">
      <alignment horizontal="center"/>
    </xf>
    <xf numFmtId="169" fontId="0" fillId="3" borderId="56" xfId="0" applyNumberFormat="1" applyFill="1" applyBorder="1" applyAlignment="1">
      <alignment horizontal="center"/>
    </xf>
    <xf numFmtId="0" fontId="0" fillId="3" borderId="0" xfId="0" applyNumberFormat="1" applyFill="1" applyBorder="1" applyAlignment="1">
      <alignment horizontal="center"/>
    </xf>
    <xf numFmtId="0" fontId="0" fillId="26" borderId="1" xfId="0" applyFont="1" applyFill="1" applyBorder="1" applyAlignment="1">
      <alignment horizontal="center"/>
    </xf>
    <xf numFmtId="0" fontId="0" fillId="26" borderId="51" xfId="0" applyFont="1" applyFill="1" applyBorder="1" applyAlignment="1">
      <alignment horizontal="center"/>
    </xf>
    <xf numFmtId="183" fontId="0" fillId="26" borderId="51" xfId="0" applyNumberFormat="1" applyFont="1" applyFill="1" applyBorder="1" applyAlignment="1">
      <alignment horizontal="center"/>
    </xf>
    <xf numFmtId="0" fontId="0" fillId="24" borderId="57" xfId="0" applyFill="1" applyBorder="1" applyAlignment="1">
      <alignment horizontal="center"/>
    </xf>
    <xf numFmtId="0" fontId="0" fillId="24" borderId="62" xfId="0" applyFill="1" applyBorder="1" applyAlignment="1">
      <alignment horizontal="center"/>
    </xf>
    <xf numFmtId="0" fontId="0" fillId="24" borderId="62" xfId="0" applyNumberFormat="1" applyFill="1" applyBorder="1" applyAlignment="1">
      <alignment horizontal="center"/>
    </xf>
    <xf numFmtId="183" fontId="0" fillId="25" borderId="60" xfId="0" applyNumberFormat="1" applyFill="1" applyBorder="1" applyAlignment="1">
      <alignment horizontal="center"/>
    </xf>
    <xf numFmtId="0" fontId="0" fillId="3" borderId="55" xfId="0" applyNumberFormat="1" applyFill="1" applyBorder="1" applyAlignment="1">
      <alignment horizontal="center"/>
    </xf>
    <xf numFmtId="0" fontId="0" fillId="3" borderId="56" xfId="0" applyNumberFormat="1" applyFill="1" applyBorder="1" applyAlignment="1">
      <alignment horizontal="center"/>
    </xf>
    <xf numFmtId="0" fontId="0" fillId="3" borderId="61" xfId="0" applyNumberFormat="1" applyFill="1" applyBorder="1" applyAlignment="1">
      <alignment horizontal="center"/>
    </xf>
    <xf numFmtId="0" fontId="0" fillId="24" borderId="57" xfId="0" applyNumberFormat="1" applyFill="1" applyBorder="1" applyAlignment="1">
      <alignment horizontal="center"/>
    </xf>
    <xf numFmtId="0" fontId="45" fillId="0" borderId="0" xfId="0" applyFont="1" applyBorder="1" applyAlignment="1">
      <alignment vertical="center"/>
    </xf>
    <xf numFmtId="0" fontId="46" fillId="0" borderId="0" xfId="2" applyFont="1"/>
    <xf numFmtId="0" fontId="46" fillId="27" borderId="2" xfId="2" applyFont="1" applyFill="1" applyBorder="1" applyAlignment="1" applyProtection="1">
      <alignment horizontal="center"/>
      <protection hidden="1"/>
    </xf>
    <xf numFmtId="177" fontId="47" fillId="5" borderId="2" xfId="2" applyNumberFormat="1" applyFont="1" applyFill="1" applyBorder="1" applyAlignment="1" applyProtection="1">
      <alignment horizontal="center"/>
      <protection hidden="1"/>
    </xf>
    <xf numFmtId="0" fontId="45" fillId="0" borderId="0" xfId="2" applyFont="1"/>
    <xf numFmtId="0" fontId="48" fillId="0" borderId="10" xfId="2" applyFont="1" applyBorder="1" applyAlignment="1" applyProtection="1">
      <alignment horizontal="right"/>
    </xf>
    <xf numFmtId="0" fontId="46" fillId="0" borderId="10" xfId="2" applyFont="1" applyBorder="1" applyProtection="1"/>
    <xf numFmtId="0" fontId="49" fillId="0" borderId="10" xfId="2" applyFont="1" applyBorder="1" applyAlignment="1" applyProtection="1">
      <alignment horizontal="left"/>
    </xf>
    <xf numFmtId="0" fontId="48" fillId="0" borderId="10" xfId="2" applyFont="1" applyBorder="1" applyAlignment="1" applyProtection="1"/>
    <xf numFmtId="0" fontId="48" fillId="0" borderId="7" xfId="0" applyFont="1" applyBorder="1" applyAlignment="1">
      <alignment horizontal="right" vertical="center"/>
    </xf>
    <xf numFmtId="0" fontId="49" fillId="0" borderId="7" xfId="0" applyFont="1" applyBorder="1" applyAlignment="1">
      <alignment horizontal="right" vertical="center"/>
    </xf>
    <xf numFmtId="166" fontId="0" fillId="0" borderId="7" xfId="0" applyNumberFormat="1" applyBorder="1" applyAlignment="1">
      <alignment horizontal="right" vertical="center"/>
    </xf>
    <xf numFmtId="193" fontId="0" fillId="3" borderId="11" xfId="0" applyNumberFormat="1" applyFill="1" applyBorder="1" applyAlignment="1">
      <alignment horizontal="center"/>
    </xf>
    <xf numFmtId="0" fontId="0" fillId="28" borderId="24" xfId="0" applyFont="1" applyFill="1" applyBorder="1" applyAlignment="1">
      <alignment horizontal="center"/>
    </xf>
    <xf numFmtId="0" fontId="0" fillId="29" borderId="26" xfId="0" applyFill="1" applyBorder="1" applyAlignment="1" applyProtection="1">
      <alignment horizontal="center"/>
    </xf>
    <xf numFmtId="186" fontId="0" fillId="25" borderId="11" xfId="0" applyNumberFormat="1" applyFill="1" applyBorder="1" applyAlignment="1">
      <alignment horizontal="center"/>
    </xf>
    <xf numFmtId="176" fontId="33" fillId="5" borderId="24" xfId="2" applyNumberFormat="1" applyFont="1" applyFill="1" applyBorder="1" applyAlignment="1" applyProtection="1">
      <alignment horizontal="center"/>
      <protection hidden="1"/>
    </xf>
    <xf numFmtId="176" fontId="33" fillId="5" borderId="26" xfId="2" applyNumberFormat="1" applyFont="1" applyFill="1" applyBorder="1" applyAlignment="1" applyProtection="1">
      <alignment horizontal="center"/>
      <protection hidden="1"/>
    </xf>
    <xf numFmtId="176" fontId="33" fillId="5" borderId="25" xfId="2" applyNumberFormat="1" applyFont="1" applyFill="1" applyBorder="1" applyAlignment="1" applyProtection="1">
      <alignment horizontal="center"/>
      <protection hidden="1"/>
    </xf>
    <xf numFmtId="0" fontId="33" fillId="5" borderId="63" xfId="2" applyNumberFormat="1" applyFont="1" applyFill="1" applyBorder="1" applyAlignment="1">
      <alignment horizontal="center"/>
    </xf>
    <xf numFmtId="0" fontId="33" fillId="5" borderId="20" xfId="2" applyNumberFormat="1" applyFont="1" applyFill="1" applyBorder="1" applyAlignment="1">
      <alignment horizontal="center"/>
    </xf>
    <xf numFmtId="0" fontId="33" fillId="5" borderId="23" xfId="2" applyNumberFormat="1" applyFont="1" applyFill="1" applyBorder="1" applyAlignment="1">
      <alignment horizontal="center"/>
    </xf>
    <xf numFmtId="176" fontId="33" fillId="5" borderId="63" xfId="2" applyNumberFormat="1" applyFont="1" applyFill="1" applyBorder="1" applyAlignment="1">
      <alignment horizontal="center"/>
    </xf>
    <xf numFmtId="196" fontId="33" fillId="5" borderId="63" xfId="2" applyNumberFormat="1" applyFont="1" applyFill="1" applyBorder="1" applyAlignment="1">
      <alignment horizontal="center"/>
    </xf>
    <xf numFmtId="196" fontId="33" fillId="5" borderId="20" xfId="2" applyNumberFormat="1" applyFont="1" applyFill="1" applyBorder="1" applyAlignment="1">
      <alignment horizontal="center"/>
    </xf>
    <xf numFmtId="196" fontId="33" fillId="5" borderId="23" xfId="2" applyNumberFormat="1" applyFont="1" applyFill="1" applyBorder="1" applyAlignment="1">
      <alignment horizontal="center"/>
    </xf>
    <xf numFmtId="174" fontId="33" fillId="5" borderId="63" xfId="2" applyNumberFormat="1" applyFont="1" applyFill="1" applyBorder="1" applyAlignment="1">
      <alignment horizontal="center"/>
    </xf>
    <xf numFmtId="174" fontId="33" fillId="5" borderId="20" xfId="2" applyNumberFormat="1" applyFont="1" applyFill="1" applyBorder="1" applyAlignment="1">
      <alignment horizontal="center"/>
    </xf>
    <xf numFmtId="174" fontId="33" fillId="5" borderId="23" xfId="2" applyNumberFormat="1" applyFont="1" applyFill="1" applyBorder="1" applyAlignment="1">
      <alignment horizontal="center"/>
    </xf>
    <xf numFmtId="167" fontId="33" fillId="5" borderId="63" xfId="2" applyNumberFormat="1" applyFont="1" applyFill="1" applyBorder="1" applyAlignment="1">
      <alignment horizontal="center"/>
    </xf>
    <xf numFmtId="167" fontId="33" fillId="5" borderId="20" xfId="2" applyNumberFormat="1" applyFont="1" applyFill="1" applyBorder="1" applyAlignment="1">
      <alignment horizontal="center"/>
    </xf>
    <xf numFmtId="167" fontId="33" fillId="5" borderId="23" xfId="2" applyNumberFormat="1" applyFont="1" applyFill="1" applyBorder="1" applyAlignment="1">
      <alignment horizontal="center"/>
    </xf>
    <xf numFmtId="170" fontId="33" fillId="5" borderId="63" xfId="2" applyNumberFormat="1" applyFont="1" applyFill="1" applyBorder="1" applyAlignment="1">
      <alignment horizontal="center"/>
    </xf>
    <xf numFmtId="170" fontId="33" fillId="5" borderId="20" xfId="2" applyNumberFormat="1" applyFont="1" applyFill="1" applyBorder="1" applyAlignment="1">
      <alignment horizontal="center"/>
    </xf>
    <xf numFmtId="170" fontId="33" fillId="5" borderId="23" xfId="2" applyNumberFormat="1" applyFont="1" applyFill="1" applyBorder="1" applyAlignment="1">
      <alignment horizontal="center"/>
    </xf>
    <xf numFmtId="0" fontId="2" fillId="9" borderId="2" xfId="0" applyFont="1" applyFill="1" applyBorder="1" applyAlignment="1" applyProtection="1">
      <alignment horizontal="center" vertical="center"/>
      <protection hidden="1"/>
    </xf>
    <xf numFmtId="0" fontId="0" fillId="9" borderId="2" xfId="0" applyFont="1" applyFill="1" applyBorder="1" applyAlignment="1" applyProtection="1">
      <alignment horizontal="center" vertical="center"/>
      <protection hidden="1"/>
    </xf>
    <xf numFmtId="0" fontId="0" fillId="0" borderId="22" xfId="0" applyBorder="1" applyAlignment="1">
      <alignment horizontal="center" vertical="center"/>
    </xf>
    <xf numFmtId="1" fontId="0" fillId="0" borderId="22" xfId="0" applyNumberFormat="1" applyBorder="1" applyAlignment="1">
      <alignment horizontal="center" vertical="center"/>
    </xf>
    <xf numFmtId="0" fontId="8" fillId="0" borderId="33" xfId="0" applyFont="1" applyBorder="1" applyAlignment="1">
      <alignment horizontal="center" vertical="center"/>
    </xf>
    <xf numFmtId="0" fontId="8" fillId="0" borderId="32" xfId="0" applyFont="1" applyBorder="1" applyAlignment="1">
      <alignment horizontal="center" vertical="center"/>
    </xf>
    <xf numFmtId="0" fontId="0" fillId="0" borderId="33" xfId="0" applyFont="1" applyBorder="1" applyAlignment="1">
      <alignment horizontal="center" vertical="center"/>
    </xf>
    <xf numFmtId="0" fontId="0" fillId="0" borderId="32" xfId="0" applyFont="1" applyBorder="1" applyAlignment="1">
      <alignment horizontal="center" vertical="center"/>
    </xf>
    <xf numFmtId="187" fontId="2" fillId="7" borderId="2" xfId="0" applyNumberFormat="1" applyFont="1" applyFill="1" applyBorder="1" applyAlignment="1">
      <alignment horizontal="center" vertical="center"/>
    </xf>
    <xf numFmtId="197" fontId="33" fillId="5" borderId="24" xfId="2" applyNumberFormat="1" applyFont="1" applyFill="1" applyBorder="1" applyAlignment="1">
      <alignment horizontal="center"/>
    </xf>
    <xf numFmtId="197" fontId="33" fillId="5" borderId="26" xfId="2" applyNumberFormat="1" applyFont="1" applyFill="1" applyBorder="1" applyAlignment="1">
      <alignment horizontal="center"/>
    </xf>
    <xf numFmtId="197" fontId="33" fillId="5" borderId="25" xfId="2" applyNumberFormat="1" applyFont="1" applyFill="1" applyBorder="1" applyAlignment="1">
      <alignment horizontal="center"/>
    </xf>
    <xf numFmtId="0" fontId="2" fillId="0" borderId="0" xfId="0" applyFont="1" applyFill="1" applyBorder="1" applyAlignment="1">
      <alignment horizontal="center"/>
    </xf>
    <xf numFmtId="0" fontId="45" fillId="0" borderId="0" xfId="2" applyFont="1" applyBorder="1" applyAlignment="1" applyProtection="1">
      <alignment horizontal="right"/>
      <protection hidden="1"/>
    </xf>
    <xf numFmtId="0" fontId="2" fillId="0" borderId="31" xfId="0" applyFont="1" applyBorder="1"/>
    <xf numFmtId="0" fontId="2" fillId="0" borderId="32" xfId="0" applyFont="1" applyBorder="1"/>
    <xf numFmtId="0" fontId="2" fillId="0" borderId="21" xfId="0" applyFont="1" applyBorder="1"/>
    <xf numFmtId="0" fontId="2" fillId="0" borderId="19" xfId="0" applyFont="1" applyBorder="1" applyAlignment="1">
      <alignment horizontal="left"/>
    </xf>
    <xf numFmtId="14" fontId="2" fillId="0" borderId="23" xfId="0" applyNumberFormat="1" applyFont="1" applyBorder="1" applyAlignment="1">
      <alignment horizontal="center"/>
    </xf>
    <xf numFmtId="0" fontId="15" fillId="0" borderId="0" xfId="0" applyFont="1" applyBorder="1" applyProtection="1"/>
    <xf numFmtId="0" fontId="15" fillId="0" borderId="0" xfId="0" applyFont="1" applyFill="1" applyBorder="1" applyProtection="1"/>
    <xf numFmtId="0" fontId="2" fillId="0" borderId="0" xfId="0" applyFont="1" applyBorder="1" applyAlignment="1" applyProtection="1">
      <alignment horizontal="right"/>
    </xf>
    <xf numFmtId="0" fontId="15" fillId="0" borderId="0" xfId="0" applyFont="1" applyBorder="1" applyAlignment="1" applyProtection="1">
      <alignment horizontal="right"/>
    </xf>
    <xf numFmtId="0" fontId="2" fillId="0" borderId="0" xfId="0" applyFont="1" applyBorder="1" applyProtection="1"/>
    <xf numFmtId="0" fontId="42" fillId="0" borderId="0" xfId="0" applyFont="1" applyBorder="1" applyAlignment="1" applyProtection="1">
      <alignment horizontal="center"/>
    </xf>
    <xf numFmtId="0" fontId="15" fillId="0" borderId="0" xfId="0" applyFont="1" applyFill="1" applyBorder="1" applyAlignment="1" applyProtection="1">
      <alignment horizontal="center"/>
    </xf>
    <xf numFmtId="0" fontId="2" fillId="0" borderId="19" xfId="0" applyFont="1" applyBorder="1"/>
    <xf numFmtId="0" fontId="2" fillId="0" borderId="34" xfId="0" applyFont="1" applyBorder="1"/>
    <xf numFmtId="0" fontId="2" fillId="0" borderId="14" xfId="0" applyFont="1" applyBorder="1" applyAlignment="1">
      <alignment horizontal="center"/>
    </xf>
    <xf numFmtId="0" fontId="0" fillId="0" borderId="0" xfId="0" applyBorder="1" applyProtection="1"/>
    <xf numFmtId="0" fontId="15" fillId="0" borderId="2" xfId="0" applyFont="1" applyFill="1" applyBorder="1" applyAlignment="1" applyProtection="1">
      <alignment horizontal="center"/>
    </xf>
    <xf numFmtId="0" fontId="15" fillId="0" borderId="64" xfId="0" applyFont="1" applyFill="1" applyBorder="1" applyAlignment="1" applyProtection="1">
      <alignment horizontal="center"/>
    </xf>
    <xf numFmtId="0" fontId="0" fillId="0" borderId="0" xfId="0" applyFont="1" applyFill="1" applyBorder="1" applyAlignment="1" applyProtection="1">
      <alignment horizontal="center"/>
    </xf>
    <xf numFmtId="201" fontId="15" fillId="0" borderId="0" xfId="0" applyNumberFormat="1" applyFont="1" applyBorder="1" applyProtection="1"/>
    <xf numFmtId="0" fontId="0" fillId="0" borderId="0" xfId="0" applyBorder="1" applyAlignment="1" applyProtection="1">
      <alignment horizontal="left"/>
    </xf>
    <xf numFmtId="191" fontId="0" fillId="0" borderId="0" xfId="0" applyNumberFormat="1" applyBorder="1" applyProtection="1"/>
    <xf numFmtId="192" fontId="0" fillId="0" borderId="0" xfId="0" applyNumberFormat="1" applyFill="1" applyBorder="1" applyProtection="1"/>
    <xf numFmtId="0" fontId="43" fillId="0" borderId="0" xfId="0" applyFont="1" applyBorder="1" applyProtection="1"/>
    <xf numFmtId="0" fontId="2" fillId="0" borderId="31" xfId="0" applyFont="1" applyBorder="1" applyProtection="1"/>
    <xf numFmtId="0" fontId="2" fillId="0" borderId="33" xfId="0" applyFont="1" applyBorder="1" applyProtection="1"/>
    <xf numFmtId="192" fontId="2" fillId="30" borderId="32" xfId="0" applyNumberFormat="1" applyFont="1" applyFill="1" applyBorder="1" applyProtection="1">
      <protection locked="0"/>
    </xf>
    <xf numFmtId="0" fontId="2" fillId="0" borderId="21" xfId="0" applyFont="1" applyBorder="1" applyProtection="1"/>
    <xf numFmtId="0" fontId="2" fillId="0" borderId="22" xfId="0" applyFont="1" applyBorder="1" applyProtection="1"/>
    <xf numFmtId="198" fontId="2" fillId="0" borderId="23" xfId="0" applyNumberFormat="1" applyFont="1" applyFill="1" applyBorder="1" applyProtection="1"/>
    <xf numFmtId="0" fontId="42" fillId="0" borderId="0" xfId="0" applyFont="1" applyBorder="1" applyAlignment="1" applyProtection="1"/>
    <xf numFmtId="0" fontId="2" fillId="0" borderId="31" xfId="0" applyFont="1" applyBorder="1" applyAlignment="1" applyProtection="1"/>
    <xf numFmtId="0" fontId="2" fillId="0" borderId="33" xfId="0" applyFont="1" applyBorder="1" applyAlignment="1" applyProtection="1"/>
    <xf numFmtId="0" fontId="2" fillId="0" borderId="19" xfId="0" applyFont="1" applyBorder="1" applyAlignment="1" applyProtection="1"/>
    <xf numFmtId="0" fontId="2" fillId="0" borderId="0" xfId="0" applyFont="1" applyBorder="1" applyAlignment="1" applyProtection="1"/>
    <xf numFmtId="0" fontId="2" fillId="0" borderId="21" xfId="0" applyFont="1" applyBorder="1" applyAlignment="1" applyProtection="1"/>
    <xf numFmtId="0" fontId="2" fillId="0" borderId="22" xfId="0" applyFont="1" applyBorder="1" applyAlignment="1" applyProtection="1"/>
    <xf numFmtId="3" fontId="2" fillId="30" borderId="32" xfId="0" applyNumberFormat="1" applyFont="1" applyFill="1" applyBorder="1" applyAlignment="1" applyProtection="1">
      <alignment horizontal="center"/>
    </xf>
    <xf numFmtId="191" fontId="2" fillId="0" borderId="33" xfId="0" applyNumberFormat="1" applyFont="1" applyFill="1" applyBorder="1" applyAlignment="1" applyProtection="1">
      <alignment horizontal="center"/>
    </xf>
    <xf numFmtId="191" fontId="2" fillId="0" borderId="22" xfId="0" applyNumberFormat="1" applyFont="1" applyFill="1" applyBorder="1" applyAlignment="1" applyProtection="1">
      <alignment horizontal="center"/>
    </xf>
    <xf numFmtId="192" fontId="2" fillId="0" borderId="23" xfId="0" applyNumberFormat="1" applyFont="1" applyFill="1" applyBorder="1" applyAlignment="1" applyProtection="1">
      <alignment horizontal="center"/>
    </xf>
    <xf numFmtId="192" fontId="2" fillId="30" borderId="32" xfId="0" applyNumberFormat="1" applyFont="1" applyFill="1" applyBorder="1" applyAlignment="1" applyProtection="1">
      <alignment horizontal="center"/>
      <protection locked="0"/>
    </xf>
    <xf numFmtId="202" fontId="2" fillId="0" borderId="23" xfId="0" applyNumberFormat="1" applyFont="1" applyFill="1" applyBorder="1" applyAlignment="1" applyProtection="1">
      <alignment horizontal="center"/>
    </xf>
    <xf numFmtId="201" fontId="2" fillId="0" borderId="23" xfId="0" applyNumberFormat="1" applyFont="1" applyBorder="1" applyAlignment="1" applyProtection="1">
      <alignment horizontal="center"/>
    </xf>
    <xf numFmtId="199" fontId="2" fillId="0" borderId="33" xfId="0" applyNumberFormat="1" applyFont="1" applyFill="1" applyBorder="1" applyAlignment="1" applyProtection="1">
      <alignment horizontal="center"/>
    </xf>
    <xf numFmtId="200" fontId="2" fillId="0" borderId="32" xfId="0" applyNumberFormat="1" applyFont="1" applyFill="1" applyBorder="1" applyAlignment="1" applyProtection="1">
      <alignment horizontal="center"/>
    </xf>
    <xf numFmtId="191" fontId="2" fillId="0" borderId="0" xfId="0" applyNumberFormat="1" applyFont="1" applyFill="1" applyBorder="1" applyAlignment="1" applyProtection="1">
      <alignment horizontal="center"/>
    </xf>
    <xf numFmtId="192" fontId="2" fillId="0" borderId="20" xfId="0" applyNumberFormat="1" applyFont="1" applyFill="1" applyBorder="1" applyAlignment="1" applyProtection="1">
      <alignment horizontal="center"/>
    </xf>
    <xf numFmtId="0" fontId="15" fillId="0" borderId="10" xfId="0" applyFont="1" applyFill="1" applyBorder="1" applyProtection="1"/>
    <xf numFmtId="0" fontId="15" fillId="0" borderId="10" xfId="0" applyFont="1" applyBorder="1" applyProtection="1"/>
    <xf numFmtId="0" fontId="0" fillId="29" borderId="20" xfId="0" applyFill="1" applyBorder="1" applyAlignment="1" applyProtection="1">
      <alignment horizontal="center"/>
    </xf>
    <xf numFmtId="0" fontId="0" fillId="29" borderId="26" xfId="0" applyFill="1" applyBorder="1" applyAlignment="1">
      <alignment horizontal="center"/>
    </xf>
    <xf numFmtId="0" fontId="0" fillId="31" borderId="65" xfId="0" applyNumberFormat="1" applyFill="1" applyBorder="1" applyAlignment="1">
      <alignment horizontal="center"/>
    </xf>
    <xf numFmtId="186" fontId="0" fillId="24" borderId="11" xfId="0" applyNumberFormat="1" applyFill="1" applyBorder="1" applyAlignment="1">
      <alignment horizontal="center"/>
    </xf>
    <xf numFmtId="203" fontId="0" fillId="24" borderId="11" xfId="0" applyNumberFormat="1" applyFill="1" applyBorder="1" applyAlignment="1">
      <alignment horizontal="center"/>
    </xf>
    <xf numFmtId="0" fontId="2" fillId="11" borderId="66" xfId="0" applyFont="1" applyFill="1" applyBorder="1" applyAlignment="1" applyProtection="1">
      <alignment horizontal="center" vertical="center"/>
      <protection hidden="1"/>
    </xf>
    <xf numFmtId="164" fontId="2" fillId="17" borderId="24" xfId="0" applyNumberFormat="1" applyFont="1" applyFill="1" applyBorder="1" applyAlignment="1">
      <alignment horizontal="center" vertical="center"/>
    </xf>
    <xf numFmtId="0" fontId="2" fillId="11" borderId="67" xfId="0" applyFont="1" applyFill="1" applyBorder="1" applyAlignment="1" applyProtection="1">
      <alignment horizontal="center" vertical="center"/>
      <protection hidden="1"/>
    </xf>
    <xf numFmtId="170" fontId="2" fillId="3" borderId="25" xfId="0" applyNumberFormat="1" applyFont="1" applyFill="1" applyBorder="1" applyAlignment="1" applyProtection="1">
      <alignment horizontal="center" vertical="center"/>
      <protection locked="0"/>
    </xf>
    <xf numFmtId="0" fontId="2" fillId="28" borderId="2" xfId="0" applyFont="1" applyFill="1" applyBorder="1" applyAlignment="1">
      <alignment horizontal="center" vertical="center"/>
    </xf>
    <xf numFmtId="0" fontId="0" fillId="0" borderId="0" xfId="0" applyFont="1" applyFill="1" applyBorder="1" applyAlignment="1">
      <alignment horizontal="center"/>
    </xf>
    <xf numFmtId="0" fontId="0" fillId="30" borderId="0" xfId="0" applyFill="1"/>
    <xf numFmtId="0" fontId="0" fillId="30" borderId="0" xfId="0" applyFill="1" applyAlignment="1">
      <alignment horizontal="center"/>
    </xf>
    <xf numFmtId="0" fontId="0" fillId="0" borderId="0" xfId="0" applyFill="1" applyBorder="1" applyAlignment="1" applyProtection="1">
      <alignment horizontal="center"/>
      <protection locked="0"/>
    </xf>
    <xf numFmtId="0" fontId="0" fillId="29" borderId="25" xfId="0" applyFill="1" applyBorder="1" applyAlignment="1">
      <alignment horizontal="center"/>
    </xf>
    <xf numFmtId="0" fontId="1" fillId="0" borderId="0" xfId="2" applyFont="1" applyBorder="1" applyProtection="1">
      <protection locked="0"/>
    </xf>
    <xf numFmtId="0" fontId="1" fillId="0" borderId="0" xfId="2" applyFont="1"/>
    <xf numFmtId="0" fontId="36" fillId="0" borderId="0" xfId="2" applyFont="1"/>
    <xf numFmtId="186" fontId="0" fillId="0" borderId="0" xfId="0" applyNumberFormat="1" applyAlignment="1">
      <alignment vertical="center"/>
    </xf>
    <xf numFmtId="0" fontId="0" fillId="0" borderId="0" xfId="0" quotePrefix="1" applyAlignment="1">
      <alignment horizontal="center" vertical="center"/>
    </xf>
    <xf numFmtId="170" fontId="0" fillId="0" borderId="0" xfId="0" applyNumberFormat="1" applyAlignment="1">
      <alignment horizontal="right" vertical="center"/>
    </xf>
    <xf numFmtId="0" fontId="45" fillId="0" borderId="0" xfId="0" applyFont="1" applyAlignment="1">
      <alignment vertical="center"/>
    </xf>
    <xf numFmtId="0" fontId="0" fillId="30" borderId="2" xfId="0" applyFill="1" applyBorder="1" applyAlignment="1">
      <alignment vertical="center"/>
    </xf>
    <xf numFmtId="164" fontId="2" fillId="18" borderId="24" xfId="0" applyNumberFormat="1" applyFont="1" applyFill="1" applyBorder="1" applyAlignment="1" applyProtection="1">
      <alignment horizontal="center" vertical="center"/>
      <protection locked="0"/>
    </xf>
    <xf numFmtId="0" fontId="10" fillId="0" borderId="0" xfId="1" applyAlignment="1" applyProtection="1">
      <alignment horizontal="left"/>
      <protection hidden="1"/>
    </xf>
    <xf numFmtId="166" fontId="50" fillId="0" borderId="0" xfId="0" applyNumberFormat="1" applyFont="1" applyBorder="1" applyAlignment="1">
      <alignment vertical="center"/>
    </xf>
    <xf numFmtId="0" fontId="2" fillId="0" borderId="0" xfId="0" applyFont="1" applyFill="1" applyBorder="1" applyAlignment="1" applyProtection="1">
      <alignment horizontal="center" vertical="center"/>
      <protection hidden="1"/>
    </xf>
    <xf numFmtId="186" fontId="2" fillId="0" borderId="0" xfId="0" applyNumberFormat="1" applyFont="1" applyFill="1" applyBorder="1" applyAlignment="1">
      <alignment horizontal="center" vertical="center"/>
    </xf>
    <xf numFmtId="204" fontId="2" fillId="32" borderId="2" xfId="0" applyNumberFormat="1" applyFont="1" applyFill="1" applyBorder="1" applyAlignment="1">
      <alignment horizontal="center" vertical="center"/>
    </xf>
    <xf numFmtId="175" fontId="0" fillId="7" borderId="46" xfId="0" applyNumberFormat="1" applyFont="1" applyFill="1" applyBorder="1" applyAlignment="1">
      <alignment horizontal="center" vertical="center"/>
    </xf>
    <xf numFmtId="175" fontId="2" fillId="7" borderId="2" xfId="0" applyNumberFormat="1" applyFont="1" applyFill="1" applyBorder="1" applyAlignment="1">
      <alignment horizontal="center" vertical="center"/>
    </xf>
    <xf numFmtId="0" fontId="0" fillId="0" borderId="0" xfId="0" applyFill="1" applyBorder="1" applyAlignment="1">
      <alignment vertical="center"/>
    </xf>
    <xf numFmtId="166" fontId="2" fillId="0" borderId="0" xfId="0" applyNumberFormat="1" applyFont="1" applyFill="1" applyBorder="1" applyAlignment="1">
      <alignment horizontal="right" vertical="center"/>
    </xf>
    <xf numFmtId="0" fontId="2" fillId="9" borderId="46" xfId="0" applyFont="1" applyFill="1" applyBorder="1" applyAlignment="1" applyProtection="1">
      <alignment horizontal="center" vertical="center"/>
      <protection hidden="1"/>
    </xf>
    <xf numFmtId="0" fontId="5" fillId="9" borderId="46" xfId="0" applyFont="1" applyFill="1" applyBorder="1" applyAlignment="1" applyProtection="1">
      <alignment horizontal="center" vertical="center"/>
      <protection hidden="1"/>
    </xf>
    <xf numFmtId="2" fontId="0" fillId="7" borderId="68" xfId="0" applyNumberFormat="1" applyFill="1" applyBorder="1" applyAlignment="1">
      <alignment horizontal="center" vertical="center"/>
    </xf>
    <xf numFmtId="187" fontId="2" fillId="7" borderId="68" xfId="0" applyNumberFormat="1" applyFont="1" applyFill="1" applyBorder="1" applyAlignment="1">
      <alignment horizontal="center" vertical="center"/>
    </xf>
    <xf numFmtId="165" fontId="0" fillId="7" borderId="69" xfId="0" applyNumberFormat="1" applyFill="1" applyBorder="1" applyAlignment="1">
      <alignment horizontal="center" vertical="center"/>
    </xf>
    <xf numFmtId="188" fontId="2" fillId="7" borderId="70" xfId="0" applyNumberFormat="1" applyFont="1" applyFill="1" applyBorder="1" applyAlignment="1">
      <alignment horizontal="center" vertical="center"/>
    </xf>
    <xf numFmtId="165" fontId="0" fillId="7" borderId="71" xfId="0" applyNumberFormat="1" applyFill="1" applyBorder="1" applyAlignment="1">
      <alignment horizontal="center" vertical="center"/>
    </xf>
    <xf numFmtId="165" fontId="0" fillId="7" borderId="70" xfId="0" applyNumberFormat="1" applyFont="1" applyFill="1" applyBorder="1" applyAlignment="1">
      <alignment horizontal="center" vertical="center"/>
    </xf>
    <xf numFmtId="186" fontId="0" fillId="7" borderId="43" xfId="0" applyNumberFormat="1" applyFont="1" applyFill="1" applyBorder="1" applyAlignment="1">
      <alignment horizontal="center" vertical="center"/>
    </xf>
    <xf numFmtId="165" fontId="0" fillId="7" borderId="72" xfId="0" applyNumberFormat="1" applyFont="1" applyFill="1" applyBorder="1" applyAlignment="1">
      <alignment horizontal="center" vertical="center"/>
    </xf>
    <xf numFmtId="166" fontId="2" fillId="27" borderId="14" xfId="0" applyNumberFormat="1" applyFont="1" applyFill="1" applyBorder="1" applyAlignment="1">
      <alignment horizontal="center" vertical="center"/>
    </xf>
    <xf numFmtId="0" fontId="0" fillId="32" borderId="2" xfId="0" applyFill="1" applyBorder="1" applyAlignment="1">
      <alignment vertical="center"/>
    </xf>
    <xf numFmtId="187" fontId="0" fillId="7" borderId="73" xfId="0" applyNumberFormat="1" applyFont="1" applyFill="1" applyBorder="1" applyAlignment="1">
      <alignment horizontal="center" vertical="center"/>
    </xf>
    <xf numFmtId="205" fontId="0" fillId="32" borderId="2" xfId="0" applyNumberFormat="1" applyFill="1" applyBorder="1" applyAlignment="1">
      <alignment horizontal="center" vertical="center"/>
    </xf>
    <xf numFmtId="206" fontId="15" fillId="0" borderId="0" xfId="2" applyNumberFormat="1" applyFont="1" applyProtection="1">
      <protection hidden="1"/>
    </xf>
    <xf numFmtId="175" fontId="2" fillId="0" borderId="0" xfId="2" applyNumberFormat="1" applyFont="1" applyBorder="1" applyProtection="1">
      <protection locked="0"/>
    </xf>
    <xf numFmtId="186" fontId="2" fillId="30" borderId="2" xfId="0" applyNumberFormat="1" applyFont="1" applyFill="1" applyBorder="1" applyAlignment="1">
      <alignment horizontal="center" vertical="center"/>
    </xf>
    <xf numFmtId="177" fontId="2" fillId="0" borderId="0" xfId="2" applyNumberFormat="1" applyFont="1"/>
    <xf numFmtId="170" fontId="2" fillId="33" borderId="25" xfId="0" applyNumberFormat="1" applyFont="1" applyFill="1" applyBorder="1" applyAlignment="1" applyProtection="1">
      <alignment horizontal="center" vertical="center"/>
      <protection locked="0"/>
    </xf>
    <xf numFmtId="165" fontId="2" fillId="5" borderId="34" xfId="2" applyNumberFormat="1" applyFont="1" applyFill="1" applyBorder="1" applyAlignment="1">
      <alignment horizontal="center"/>
    </xf>
    <xf numFmtId="178" fontId="14" fillId="5" borderId="34" xfId="2" applyNumberFormat="1" applyFont="1" applyFill="1" applyBorder="1" applyAlignment="1"/>
    <xf numFmtId="179" fontId="32" fillId="5" borderId="24" xfId="2" applyNumberFormat="1" applyFont="1" applyFill="1" applyBorder="1" applyAlignment="1" applyProtection="1">
      <alignment horizontal="center" vertical="center"/>
      <protection hidden="1"/>
    </xf>
    <xf numFmtId="0" fontId="32" fillId="5" borderId="24" xfId="2" applyFont="1" applyFill="1" applyBorder="1" applyAlignment="1" applyProtection="1">
      <alignment horizontal="center" vertical="center"/>
      <protection hidden="1"/>
    </xf>
    <xf numFmtId="2" fontId="15" fillId="0" borderId="19" xfId="2" applyNumberFormat="1" applyFont="1" applyBorder="1" applyAlignment="1" applyProtection="1">
      <alignment horizontal="center"/>
      <protection hidden="1"/>
    </xf>
    <xf numFmtId="2" fontId="15" fillId="0" borderId="20" xfId="2" applyNumberFormat="1" applyFont="1" applyBorder="1" applyAlignment="1" applyProtection="1">
      <alignment horizontal="center"/>
      <protection hidden="1"/>
    </xf>
    <xf numFmtId="2" fontId="15" fillId="0" borderId="0" xfId="2" applyNumberFormat="1" applyFont="1" applyBorder="1" applyAlignment="1" applyProtection="1">
      <alignment horizontal="center"/>
      <protection hidden="1"/>
    </xf>
    <xf numFmtId="0" fontId="8" fillId="0" borderId="0" xfId="2" applyFont="1" applyBorder="1" applyAlignment="1" applyProtection="1">
      <alignment horizontal="center"/>
      <protection hidden="1"/>
    </xf>
    <xf numFmtId="0" fontId="2" fillId="6" borderId="24" xfId="2" applyFont="1" applyFill="1" applyBorder="1" applyAlignment="1">
      <alignment vertical="center"/>
    </xf>
    <xf numFmtId="0" fontId="2" fillId="6" borderId="24" xfId="2" applyFont="1" applyFill="1" applyBorder="1" applyAlignment="1">
      <alignment horizontal="center" vertical="center"/>
    </xf>
    <xf numFmtId="0" fontId="0" fillId="7" borderId="74" xfId="0" applyFill="1" applyBorder="1" applyAlignment="1">
      <alignment horizontal="center" vertical="center"/>
    </xf>
    <xf numFmtId="0" fontId="0" fillId="0" borderId="0" xfId="0" applyFill="1" applyBorder="1" applyAlignment="1">
      <alignment horizontal="center"/>
    </xf>
    <xf numFmtId="0" fontId="0" fillId="0" borderId="0" xfId="0" applyFill="1" applyBorder="1" applyAlignment="1" applyProtection="1">
      <alignment horizontal="center"/>
    </xf>
    <xf numFmtId="0" fontId="2" fillId="0" borderId="33" xfId="0" applyFont="1" applyFill="1" applyBorder="1" applyAlignment="1">
      <alignment horizontal="center"/>
    </xf>
    <xf numFmtId="165" fontId="2" fillId="0" borderId="20" xfId="0" applyNumberFormat="1" applyFont="1" applyFill="1" applyBorder="1" applyAlignment="1">
      <alignment horizontal="center" vertical="center"/>
    </xf>
    <xf numFmtId="165" fontId="2" fillId="0" borderId="20" xfId="0" applyNumberFormat="1" applyFont="1" applyFill="1" applyBorder="1" applyAlignment="1">
      <alignment horizontal="center"/>
    </xf>
    <xf numFmtId="0" fontId="2" fillId="0" borderId="22" xfId="0" applyFont="1" applyFill="1" applyBorder="1" applyAlignment="1">
      <alignment horizontal="center"/>
    </xf>
    <xf numFmtId="175" fontId="2" fillId="0" borderId="0" xfId="0" applyNumberFormat="1" applyFont="1" applyFill="1" applyBorder="1" applyAlignment="1" applyProtection="1">
      <alignment horizontal="center" vertical="center"/>
    </xf>
    <xf numFmtId="0" fontId="2" fillId="0" borderId="22" xfId="0" applyFont="1" applyFill="1" applyBorder="1" applyAlignment="1">
      <alignment horizontal="center" vertical="center"/>
    </xf>
    <xf numFmtId="182" fontId="2" fillId="0" borderId="0" xfId="0" applyNumberFormat="1" applyFont="1" applyFill="1" applyBorder="1" applyAlignment="1">
      <alignment horizontal="center"/>
    </xf>
    <xf numFmtId="1" fontId="2" fillId="0" borderId="0" xfId="0" applyNumberFormat="1" applyFont="1" applyFill="1" applyBorder="1" applyAlignment="1">
      <alignment horizontal="center" vertical="center"/>
    </xf>
    <xf numFmtId="14" fontId="2" fillId="0" borderId="0" xfId="0" applyNumberFormat="1" applyFont="1" applyBorder="1" applyAlignment="1">
      <alignment horizontal="center"/>
    </xf>
    <xf numFmtId="0" fontId="0" fillId="0" borderId="0" xfId="0" applyFont="1" applyBorder="1" applyAlignment="1" applyProtection="1">
      <alignment horizontal="right"/>
    </xf>
    <xf numFmtId="0" fontId="2" fillId="0" borderId="0" xfId="0" applyFont="1" applyBorder="1" applyAlignment="1">
      <alignment horizontal="right"/>
    </xf>
    <xf numFmtId="0" fontId="0" fillId="0" borderId="0" xfId="0" applyBorder="1" applyAlignment="1" applyProtection="1">
      <alignment horizontal="right"/>
    </xf>
    <xf numFmtId="0" fontId="0" fillId="0" borderId="64" xfId="0" applyBorder="1" applyAlignment="1">
      <alignment horizontal="center"/>
    </xf>
    <xf numFmtId="0" fontId="0" fillId="0" borderId="0" xfId="0" applyFont="1" applyBorder="1" applyAlignment="1">
      <alignment horizontal="right"/>
    </xf>
    <xf numFmtId="0" fontId="0" fillId="0" borderId="0" xfId="0" applyFont="1" applyFill="1" applyBorder="1" applyAlignment="1" applyProtection="1">
      <alignment horizontal="right"/>
    </xf>
    <xf numFmtId="0" fontId="0" fillId="0" borderId="2" xfId="0" applyFont="1" applyFill="1" applyBorder="1" applyAlignment="1" applyProtection="1">
      <alignment horizontal="center"/>
    </xf>
    <xf numFmtId="0" fontId="0" fillId="0" borderId="2" xfId="0" applyFont="1" applyBorder="1" applyAlignment="1">
      <alignment horizontal="center"/>
    </xf>
    <xf numFmtId="0" fontId="0" fillId="0" borderId="0" xfId="0" applyFill="1" applyBorder="1" applyAlignment="1" applyProtection="1">
      <alignment horizontal="right"/>
    </xf>
    <xf numFmtId="0" fontId="2" fillId="10" borderId="2" xfId="2" applyFont="1" applyFill="1" applyBorder="1" applyAlignment="1" applyProtection="1">
      <alignment horizontal="left"/>
      <protection hidden="1"/>
    </xf>
    <xf numFmtId="0" fontId="2" fillId="10" borderId="26" xfId="2" applyFont="1" applyFill="1" applyBorder="1" applyAlignment="1" applyProtection="1">
      <alignment horizontal="left"/>
      <protection hidden="1"/>
    </xf>
    <xf numFmtId="0" fontId="2" fillId="0" borderId="2" xfId="0" applyFont="1" applyBorder="1" applyAlignment="1">
      <alignment horizontal="center"/>
    </xf>
    <xf numFmtId="1" fontId="2" fillId="0" borderId="2" xfId="0" applyNumberFormat="1" applyFont="1" applyBorder="1" applyAlignment="1">
      <alignment horizontal="center"/>
    </xf>
    <xf numFmtId="0" fontId="2" fillId="0" borderId="2" xfId="0" applyFont="1" applyFill="1" applyBorder="1" applyAlignment="1">
      <alignment horizontal="center" vertical="center"/>
    </xf>
    <xf numFmtId="0" fontId="2" fillId="0" borderId="2" xfId="0" applyFont="1" applyFill="1" applyBorder="1" applyAlignment="1">
      <alignment horizontal="center"/>
    </xf>
    <xf numFmtId="175" fontId="2" fillId="0" borderId="2" xfId="0" applyNumberFormat="1" applyFont="1" applyFill="1" applyBorder="1" applyAlignment="1" applyProtection="1">
      <alignment horizontal="center" vertical="center"/>
    </xf>
    <xf numFmtId="0" fontId="2" fillId="0" borderId="2" xfId="0" applyNumberFormat="1" applyFont="1" applyBorder="1" applyAlignment="1">
      <alignment horizontal="center"/>
    </xf>
    <xf numFmtId="0" fontId="2" fillId="0" borderId="2" xfId="0" applyNumberFormat="1" applyFont="1" applyFill="1" applyBorder="1" applyAlignment="1">
      <alignment horizontal="center" vertical="center"/>
    </xf>
    <xf numFmtId="0" fontId="2" fillId="0" borderId="2" xfId="0" applyNumberFormat="1" applyFont="1" applyFill="1" applyBorder="1" applyAlignment="1">
      <alignment horizontal="center"/>
    </xf>
    <xf numFmtId="0" fontId="2" fillId="0" borderId="2"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center" vertical="center"/>
    </xf>
    <xf numFmtId="0" fontId="2" fillId="0" borderId="0" xfId="0" applyNumberFormat="1" applyFont="1" applyBorder="1"/>
    <xf numFmtId="175" fontId="2" fillId="0" borderId="2" xfId="0" applyNumberFormat="1" applyFont="1" applyFill="1" applyBorder="1" applyAlignment="1" applyProtection="1">
      <alignment horizontal="right" vertical="center"/>
    </xf>
    <xf numFmtId="0" fontId="0" fillId="0" borderId="20" xfId="0" applyFont="1" applyFill="1" applyBorder="1" applyAlignment="1">
      <alignment horizontal="center"/>
    </xf>
    <xf numFmtId="0" fontId="0" fillId="0" borderId="0" xfId="0" applyBorder="1" applyAlignment="1">
      <alignment horizontal="left" vertical="top"/>
    </xf>
    <xf numFmtId="0" fontId="0" fillId="0" borderId="0" xfId="0" applyFont="1" applyBorder="1"/>
    <xf numFmtId="0" fontId="0" fillId="0" borderId="0" xfId="0" applyFill="1" applyBorder="1" applyAlignment="1" applyProtection="1">
      <alignment horizontal="center"/>
    </xf>
    <xf numFmtId="0" fontId="51" fillId="0" borderId="0" xfId="0" applyFont="1" applyProtection="1"/>
    <xf numFmtId="0" fontId="51" fillId="0" borderId="0" xfId="0" applyFont="1"/>
    <xf numFmtId="0" fontId="51" fillId="0" borderId="0" xfId="0" applyFont="1" applyBorder="1" applyProtection="1"/>
    <xf numFmtId="0" fontId="52" fillId="0" borderId="0" xfId="0" applyFont="1" applyBorder="1" applyAlignment="1" applyProtection="1">
      <alignment horizontal="center"/>
    </xf>
    <xf numFmtId="0" fontId="53" fillId="0" borderId="0" xfId="0" applyFont="1" applyAlignment="1" applyProtection="1">
      <alignment horizontal="center"/>
    </xf>
    <xf numFmtId="0" fontId="52" fillId="0" borderId="0" xfId="0" applyFont="1" applyAlignment="1" applyProtection="1">
      <alignment horizontal="center"/>
    </xf>
    <xf numFmtId="0" fontId="1" fillId="0" borderId="0" xfId="0" applyFont="1" applyFill="1" applyBorder="1" applyAlignment="1" applyProtection="1">
      <alignment horizontal="left" vertical="top"/>
    </xf>
    <xf numFmtId="0" fontId="1" fillId="0" borderId="10" xfId="0" applyFont="1" applyFill="1" applyBorder="1" applyAlignment="1" applyProtection="1">
      <alignment horizontal="left" vertical="top"/>
    </xf>
    <xf numFmtId="0" fontId="51" fillId="0" borderId="103" xfId="0" applyFont="1" applyBorder="1" applyAlignment="1" applyProtection="1">
      <alignment horizontal="left" vertical="center"/>
    </xf>
    <xf numFmtId="0" fontId="51" fillId="0" borderId="0" xfId="0" applyFont="1" applyAlignment="1" applyProtection="1">
      <alignment wrapText="1"/>
    </xf>
    <xf numFmtId="0" fontId="35" fillId="0" borderId="0" xfId="0" applyFont="1" applyAlignment="1" applyProtection="1">
      <alignment horizontal="center" wrapText="1"/>
    </xf>
    <xf numFmtId="0" fontId="51" fillId="0" borderId="103" xfId="0" applyFont="1" applyFill="1" applyBorder="1" applyAlignment="1" applyProtection="1">
      <alignment wrapText="1"/>
    </xf>
    <xf numFmtId="0" fontId="51" fillId="0" borderId="0" xfId="0" applyFont="1" applyFill="1" applyBorder="1" applyAlignment="1" applyProtection="1">
      <alignment horizontal="center" wrapText="1"/>
    </xf>
    <xf numFmtId="0" fontId="51" fillId="0" borderId="0" xfId="0" applyFont="1" applyFill="1" applyBorder="1" applyAlignment="1" applyProtection="1">
      <alignment horizontal="left" vertical="center" shrinkToFit="1"/>
    </xf>
    <xf numFmtId="0" fontId="51" fillId="0" borderId="0" xfId="0" applyFont="1" applyFill="1" applyBorder="1" applyAlignment="1" applyProtection="1">
      <alignment wrapText="1"/>
    </xf>
    <xf numFmtId="0" fontId="1" fillId="0" borderId="0" xfId="0" applyFont="1" applyBorder="1" applyProtection="1"/>
    <xf numFmtId="0" fontId="0" fillId="0" borderId="0" xfId="0" applyProtection="1"/>
    <xf numFmtId="0" fontId="54" fillId="0" borderId="0" xfId="0" applyFont="1" applyFill="1" applyBorder="1" applyAlignment="1" applyProtection="1">
      <alignment horizontal="center" vertical="center" shrinkToFit="1"/>
    </xf>
    <xf numFmtId="0" fontId="0" fillId="0" borderId="109" xfId="0" applyBorder="1" applyProtection="1"/>
    <xf numFmtId="0" fontId="0" fillId="0" borderId="113" xfId="0" applyBorder="1" applyProtection="1"/>
    <xf numFmtId="0" fontId="1" fillId="0" borderId="113" xfId="0" applyFont="1" applyBorder="1" applyProtection="1"/>
    <xf numFmtId="165" fontId="1" fillId="34" borderId="2" xfId="0" applyNumberFormat="1" applyFont="1" applyFill="1" applyBorder="1" applyAlignment="1" applyProtection="1">
      <alignment horizontal="center"/>
    </xf>
    <xf numFmtId="165" fontId="1" fillId="34" borderId="116" xfId="0" applyNumberFormat="1" applyFont="1" applyFill="1" applyBorder="1" applyAlignment="1" applyProtection="1">
      <alignment horizontal="center"/>
    </xf>
    <xf numFmtId="0" fontId="1" fillId="0" borderId="117" xfId="0" applyFont="1" applyFill="1" applyBorder="1" applyProtection="1"/>
    <xf numFmtId="0" fontId="43" fillId="0" borderId="0" xfId="0" applyFont="1" applyFill="1" applyBorder="1" applyAlignment="1" applyProtection="1">
      <alignment horizontal="justify" vertical="top" wrapText="1"/>
    </xf>
    <xf numFmtId="0" fontId="54" fillId="0" borderId="64" xfId="0" applyFont="1" applyBorder="1" applyAlignment="1">
      <alignment wrapText="1"/>
    </xf>
    <xf numFmtId="0" fontId="51" fillId="36" borderId="0" xfId="0" applyFont="1" applyFill="1" applyProtection="1"/>
    <xf numFmtId="0" fontId="53" fillId="36" borderId="0" xfId="0" applyFont="1" applyFill="1" applyAlignment="1" applyProtection="1">
      <alignment horizontal="center"/>
    </xf>
    <xf numFmtId="0" fontId="51" fillId="36" borderId="0" xfId="0" applyFont="1" applyFill="1" applyBorder="1" applyAlignment="1" applyProtection="1">
      <alignment horizontal="center" wrapText="1"/>
    </xf>
    <xf numFmtId="0" fontId="51" fillId="36" borderId="0" xfId="0" applyFont="1" applyFill="1" applyBorder="1" applyAlignment="1" applyProtection="1">
      <alignment horizontal="left" vertical="center" shrinkToFit="1"/>
    </xf>
    <xf numFmtId="0" fontId="53" fillId="0" borderId="0" xfId="0" applyFont="1" applyFill="1" applyAlignment="1" applyProtection="1">
      <alignment horizontal="center"/>
    </xf>
    <xf numFmtId="199" fontId="51" fillId="34" borderId="107" xfId="0" applyNumberFormat="1" applyFont="1" applyFill="1" applyBorder="1" applyAlignment="1" applyProtection="1">
      <alignment horizontal="right" vertical="center" shrinkToFit="1"/>
    </xf>
    <xf numFmtId="0" fontId="51" fillId="0" borderId="0" xfId="0" applyFont="1" applyFill="1" applyBorder="1" applyAlignment="1" applyProtection="1">
      <alignment horizontal="center" vertical="center"/>
    </xf>
    <xf numFmtId="0" fontId="51" fillId="0" borderId="0" xfId="0" applyFont="1" applyFill="1"/>
    <xf numFmtId="0" fontId="35" fillId="0" borderId="64" xfId="0" applyFont="1" applyBorder="1" applyAlignment="1" applyProtection="1">
      <alignment horizontal="center"/>
    </xf>
    <xf numFmtId="0" fontId="35" fillId="0" borderId="0" xfId="0" applyFont="1" applyFill="1" applyBorder="1" applyAlignment="1" applyProtection="1">
      <alignment horizontal="center"/>
    </xf>
    <xf numFmtId="0" fontId="51" fillId="0" borderId="123" xfId="0" applyFont="1" applyBorder="1" applyAlignment="1" applyProtection="1">
      <alignment horizontal="center"/>
    </xf>
    <xf numFmtId="0" fontId="51" fillId="0" borderId="0" xfId="0" applyFont="1" applyFill="1" applyBorder="1" applyProtection="1"/>
    <xf numFmtId="199" fontId="51" fillId="35" borderId="107" xfId="0" applyNumberFormat="1" applyFont="1" applyFill="1" applyBorder="1" applyAlignment="1" applyProtection="1">
      <alignment horizontal="center" vertical="center" shrinkToFit="1"/>
    </xf>
    <xf numFmtId="199" fontId="51" fillId="35" borderId="64" xfId="0" applyNumberFormat="1" applyFont="1" applyFill="1" applyBorder="1" applyAlignment="1" applyProtection="1">
      <alignment horizontal="center" vertical="center" shrinkToFit="1"/>
    </xf>
    <xf numFmtId="199" fontId="51" fillId="0" borderId="0" xfId="0" applyNumberFormat="1" applyFont="1" applyFill="1" applyBorder="1" applyAlignment="1" applyProtection="1">
      <alignment horizontal="center" vertical="center" shrinkToFit="1"/>
    </xf>
    <xf numFmtId="0" fontId="51" fillId="36" borderId="0" xfId="0" applyFont="1" applyFill="1" applyBorder="1" applyAlignment="1" applyProtection="1">
      <alignment wrapText="1"/>
    </xf>
    <xf numFmtId="0" fontId="51" fillId="0" borderId="3" xfId="0" applyFont="1" applyBorder="1" applyAlignment="1" applyProtection="1">
      <alignment wrapText="1"/>
    </xf>
    <xf numFmtId="0" fontId="51" fillId="0" borderId="103" xfId="0" applyFont="1" applyBorder="1" applyAlignment="1" applyProtection="1">
      <alignment wrapText="1"/>
    </xf>
    <xf numFmtId="0" fontId="51" fillId="0" borderId="106" xfId="0" applyFont="1" applyBorder="1" applyAlignment="1" applyProtection="1">
      <alignment wrapText="1"/>
    </xf>
    <xf numFmtId="0" fontId="51" fillId="0" borderId="107" xfId="0" applyFont="1" applyBorder="1" applyAlignment="1" applyProtection="1">
      <alignment wrapText="1"/>
    </xf>
    <xf numFmtId="0" fontId="51" fillId="0" borderId="123" xfId="0" applyFont="1" applyBorder="1" applyAlignment="1" applyProtection="1">
      <alignment wrapText="1"/>
    </xf>
    <xf numFmtId="0" fontId="51" fillId="34" borderId="23" xfId="0" applyFont="1" applyFill="1" applyBorder="1" applyAlignment="1" applyProtection="1">
      <alignment wrapText="1"/>
    </xf>
    <xf numFmtId="0" fontId="51" fillId="0" borderId="25" xfId="0" applyFont="1" applyFill="1" applyBorder="1" applyAlignment="1" applyProtection="1">
      <alignment wrapText="1"/>
    </xf>
    <xf numFmtId="0" fontId="51" fillId="0" borderId="124" xfId="0" applyFont="1" applyFill="1" applyBorder="1" applyAlignment="1" applyProtection="1">
      <alignment wrapText="1"/>
    </xf>
    <xf numFmtId="0" fontId="51" fillId="0" borderId="125" xfId="0" applyFont="1" applyBorder="1" applyAlignment="1" applyProtection="1">
      <alignment wrapText="1"/>
    </xf>
    <xf numFmtId="0" fontId="51" fillId="34" borderId="14" xfId="0" applyFont="1" applyFill="1" applyBorder="1" applyAlignment="1" applyProtection="1">
      <alignment wrapText="1"/>
    </xf>
    <xf numFmtId="0" fontId="51" fillId="0" borderId="2" xfId="0" applyFont="1" applyFill="1" applyBorder="1" applyAlignment="1" applyProtection="1">
      <alignment wrapText="1"/>
    </xf>
    <xf numFmtId="0" fontId="51" fillId="0" borderId="116" xfId="0" applyFont="1" applyFill="1" applyBorder="1" applyAlignment="1" applyProtection="1">
      <alignment wrapText="1"/>
    </xf>
    <xf numFmtId="0" fontId="51" fillId="0" borderId="126" xfId="0" applyFont="1" applyBorder="1" applyAlignment="1" applyProtection="1">
      <alignment wrapText="1"/>
    </xf>
    <xf numFmtId="0" fontId="51" fillId="34" borderId="127" xfId="0" applyFont="1" applyFill="1" applyBorder="1" applyAlignment="1" applyProtection="1">
      <alignment wrapText="1"/>
    </xf>
    <xf numFmtId="0" fontId="51" fillId="34" borderId="128" xfId="0" applyFont="1" applyFill="1" applyBorder="1" applyAlignment="1" applyProtection="1">
      <alignment wrapText="1"/>
    </xf>
    <xf numFmtId="0" fontId="51" fillId="0" borderId="129" xfId="0" applyFont="1" applyFill="1" applyBorder="1" applyAlignment="1" applyProtection="1">
      <alignment wrapText="1"/>
    </xf>
    <xf numFmtId="0" fontId="51" fillId="0" borderId="0" xfId="0" applyFont="1" applyBorder="1" applyAlignment="1" applyProtection="1">
      <alignment wrapText="1"/>
    </xf>
    <xf numFmtId="0" fontId="55" fillId="36" borderId="0" xfId="0" applyFont="1" applyFill="1" applyAlignment="1" applyProtection="1">
      <alignment wrapText="1"/>
    </xf>
    <xf numFmtId="0" fontId="55" fillId="36" borderId="0" xfId="0" applyFont="1" applyFill="1" applyBorder="1" applyAlignment="1" applyProtection="1">
      <alignment horizontal="left" vertical="center" wrapText="1"/>
    </xf>
    <xf numFmtId="0" fontId="1" fillId="0" borderId="0" xfId="0" applyFont="1" applyFill="1" applyBorder="1" applyAlignment="1" applyProtection="1">
      <alignment horizontal="right"/>
    </xf>
    <xf numFmtId="199" fontId="1" fillId="0" borderId="0" xfId="0" applyNumberFormat="1" applyFont="1" applyFill="1" applyBorder="1" applyProtection="1"/>
    <xf numFmtId="0" fontId="1" fillId="0" borderId="0" xfId="0" applyFont="1" applyFill="1" applyBorder="1" applyProtection="1"/>
    <xf numFmtId="0" fontId="43" fillId="0" borderId="0" xfId="0" applyFont="1" applyBorder="1" applyAlignment="1" applyProtection="1">
      <alignment horizontal="left"/>
    </xf>
    <xf numFmtId="0" fontId="0" fillId="0" borderId="64" xfId="0" applyBorder="1" applyAlignment="1" applyProtection="1">
      <alignment horizontal="center" wrapText="1"/>
    </xf>
    <xf numFmtId="0" fontId="1" fillId="0" borderId="103" xfId="0" applyFont="1" applyBorder="1" applyAlignment="1" applyProtection="1">
      <alignment horizontal="justify" vertical="top" wrapText="1"/>
    </xf>
    <xf numFmtId="0" fontId="1" fillId="37" borderId="64" xfId="0" applyFont="1" applyFill="1" applyBorder="1" applyAlignment="1" applyProtection="1">
      <alignment horizontal="center" vertical="top" wrapText="1"/>
    </xf>
    <xf numFmtId="207" fontId="1" fillId="34" borderId="130" xfId="0" applyNumberFormat="1" applyFont="1" applyFill="1" applyBorder="1" applyProtection="1"/>
    <xf numFmtId="0" fontId="0" fillId="0" borderId="131" xfId="0" applyBorder="1" applyAlignment="1" applyProtection="1">
      <alignment horizontal="justify" vertical="top" wrapText="1"/>
    </xf>
    <xf numFmtId="208" fontId="1" fillId="34" borderId="130" xfId="0" applyNumberFormat="1" applyFont="1" applyFill="1" applyBorder="1" applyAlignment="1" applyProtection="1">
      <alignment horizontal="center" vertical="top" wrapText="1"/>
    </xf>
    <xf numFmtId="200" fontId="1" fillId="34" borderId="126" xfId="0" applyNumberFormat="1" applyFont="1" applyFill="1" applyBorder="1" applyProtection="1"/>
    <xf numFmtId="0" fontId="0" fillId="0" borderId="113" xfId="0" applyBorder="1" applyAlignment="1" applyProtection="1">
      <alignment horizontal="justify" vertical="top" wrapText="1"/>
    </xf>
    <xf numFmtId="209" fontId="1" fillId="34" borderId="130" xfId="0" applyNumberFormat="1" applyFont="1" applyFill="1" applyBorder="1" applyAlignment="1" applyProtection="1">
      <alignment horizontal="center" vertical="top" wrapText="1"/>
    </xf>
    <xf numFmtId="210" fontId="1" fillId="34" borderId="130" xfId="0" applyNumberFormat="1" applyFont="1" applyFill="1" applyBorder="1" applyAlignment="1" applyProtection="1">
      <alignment horizontal="center" vertical="top" wrapText="1"/>
    </xf>
    <xf numFmtId="192" fontId="1" fillId="34" borderId="64" xfId="0" applyNumberFormat="1" applyFont="1" applyFill="1" applyBorder="1" applyProtection="1"/>
    <xf numFmtId="0" fontId="1" fillId="0" borderId="113" xfId="0" applyFont="1" applyBorder="1" applyAlignment="1" applyProtection="1">
      <alignment horizontal="justify" vertical="top" wrapText="1"/>
    </xf>
    <xf numFmtId="199" fontId="0" fillId="0" borderId="0" xfId="0" applyNumberFormat="1" applyFill="1" applyBorder="1" applyAlignment="1" applyProtection="1">
      <alignment horizontal="center"/>
    </xf>
    <xf numFmtId="0" fontId="0" fillId="0" borderId="3" xfId="0" applyBorder="1" applyProtection="1"/>
    <xf numFmtId="210" fontId="0" fillId="34" borderId="132" xfId="0" applyNumberFormat="1" applyFill="1" applyBorder="1" applyProtection="1"/>
    <xf numFmtId="210" fontId="0" fillId="34" borderId="133" xfId="0" applyNumberFormat="1" applyFill="1" applyBorder="1" applyProtection="1"/>
    <xf numFmtId="0" fontId="1" fillId="0" borderId="0" xfId="0" applyFont="1" applyFill="1" applyBorder="1" applyAlignment="1" applyProtection="1">
      <alignment horizontal="center"/>
    </xf>
    <xf numFmtId="211" fontId="1" fillId="34" borderId="130" xfId="0" applyNumberFormat="1" applyFont="1" applyFill="1" applyBorder="1" applyAlignment="1" applyProtection="1">
      <alignment horizontal="center" vertical="top" wrapText="1"/>
    </xf>
    <xf numFmtId="0" fontId="0" fillId="0" borderId="9" xfId="0" applyBorder="1" applyProtection="1"/>
    <xf numFmtId="208" fontId="0" fillId="34" borderId="128" xfId="0" applyNumberFormat="1" applyFill="1" applyBorder="1" applyProtection="1"/>
    <xf numFmtId="208" fontId="0" fillId="34" borderId="129" xfId="0" applyNumberFormat="1" applyFill="1" applyBorder="1" applyProtection="1"/>
    <xf numFmtId="0" fontId="1" fillId="0" borderId="117" xfId="0" applyFont="1" applyBorder="1" applyAlignment="1" applyProtection="1">
      <alignment horizontal="justify" vertical="top" wrapText="1"/>
    </xf>
    <xf numFmtId="0" fontId="1" fillId="34" borderId="115" xfId="0" applyNumberFormat="1" applyFont="1" applyFill="1" applyBorder="1" applyAlignment="1" applyProtection="1">
      <alignment horizontal="center" vertical="top" wrapText="1"/>
    </xf>
    <xf numFmtId="0" fontId="1" fillId="0" borderId="126" xfId="0" applyFont="1" applyBorder="1" applyAlignment="1" applyProtection="1">
      <alignment horizontal="center" vertical="top" wrapText="1"/>
    </xf>
    <xf numFmtId="0" fontId="1" fillId="0" borderId="0" xfId="0" applyNumberFormat="1" applyFont="1" applyFill="1" applyBorder="1" applyProtection="1"/>
    <xf numFmtId="165" fontId="2" fillId="0" borderId="0" xfId="0" applyNumberFormat="1" applyFont="1" applyFill="1" applyBorder="1" applyAlignment="1">
      <alignment horizontal="center" vertical="center"/>
    </xf>
    <xf numFmtId="165" fontId="2" fillId="0" borderId="20" xfId="0" applyNumberFormat="1" applyFont="1" applyFill="1" applyBorder="1" applyAlignment="1">
      <alignment horizontal="center" vertical="center"/>
    </xf>
    <xf numFmtId="1" fontId="2" fillId="0" borderId="20" xfId="0" applyNumberFormat="1" applyFont="1" applyFill="1" applyBorder="1" applyAlignment="1">
      <alignment horizontal="center"/>
    </xf>
    <xf numFmtId="212" fontId="2" fillId="0" borderId="32" xfId="0" applyNumberFormat="1" applyFont="1" applyFill="1" applyBorder="1" applyAlignment="1" applyProtection="1">
      <alignment horizontal="center"/>
    </xf>
    <xf numFmtId="0" fontId="0" fillId="0" borderId="134" xfId="0" applyBorder="1"/>
    <xf numFmtId="0" fontId="0" fillId="0" borderId="135" xfId="0" applyBorder="1"/>
    <xf numFmtId="0" fontId="0" fillId="0" borderId="136" xfId="0" applyBorder="1"/>
    <xf numFmtId="0" fontId="42" fillId="0" borderId="0" xfId="0" applyFont="1" applyBorder="1" applyAlignment="1" applyProtection="1">
      <alignment horizontal="left" vertical="center"/>
    </xf>
    <xf numFmtId="0" fontId="0" fillId="0" borderId="137" xfId="0" applyBorder="1"/>
    <xf numFmtId="0" fontId="0" fillId="0" borderId="0" xfId="0" applyBorder="1" applyAlignment="1">
      <alignment horizontal="left" vertical="center"/>
    </xf>
    <xf numFmtId="0" fontId="56" fillId="0" borderId="0" xfId="0" applyFont="1" applyBorder="1"/>
    <xf numFmtId="0" fontId="0" fillId="0" borderId="34" xfId="0" applyBorder="1"/>
    <xf numFmtId="0" fontId="0" fillId="0" borderId="138" xfId="0" applyBorder="1"/>
    <xf numFmtId="2" fontId="0" fillId="0" borderId="138" xfId="0" applyNumberFormat="1" applyBorder="1"/>
    <xf numFmtId="0" fontId="0" fillId="0" borderId="14" xfId="0" applyBorder="1"/>
    <xf numFmtId="0" fontId="0" fillId="0" borderId="139" xfId="0" applyBorder="1"/>
    <xf numFmtId="0" fontId="0" fillId="0" borderId="140" xfId="0" applyBorder="1"/>
    <xf numFmtId="0" fontId="0" fillId="0" borderId="141" xfId="0" applyBorder="1"/>
    <xf numFmtId="0" fontId="17" fillId="5" borderId="31" xfId="2" applyNumberFormat="1" applyFont="1" applyFill="1" applyBorder="1" applyAlignment="1">
      <alignment horizontal="center" vertical="center"/>
    </xf>
    <xf numFmtId="0" fontId="17" fillId="5" borderId="32" xfId="2" applyNumberFormat="1" applyFont="1" applyFill="1" applyBorder="1" applyAlignment="1">
      <alignment horizontal="center" vertical="center"/>
    </xf>
    <xf numFmtId="0" fontId="17" fillId="5" borderId="21" xfId="2" applyNumberFormat="1" applyFont="1" applyFill="1" applyBorder="1" applyAlignment="1">
      <alignment horizontal="center" vertical="center"/>
    </xf>
    <xf numFmtId="0" fontId="17" fillId="5" borderId="23" xfId="2" applyNumberFormat="1" applyFont="1" applyFill="1" applyBorder="1" applyAlignment="1">
      <alignment horizontal="center" vertical="center"/>
    </xf>
    <xf numFmtId="0" fontId="2" fillId="4" borderId="2" xfId="2" applyFont="1" applyFill="1" applyBorder="1" applyAlignment="1" applyProtection="1">
      <alignment horizontal="center"/>
      <protection locked="0"/>
    </xf>
    <xf numFmtId="0" fontId="2" fillId="4" borderId="8" xfId="2" applyFont="1" applyFill="1" applyBorder="1" applyAlignment="1" applyProtection="1">
      <alignment horizontal="center"/>
      <protection locked="0"/>
    </xf>
    <xf numFmtId="177" fontId="33" fillId="5" borderId="34" xfId="2" applyNumberFormat="1" applyFont="1" applyFill="1" applyBorder="1" applyAlignment="1" applyProtection="1">
      <alignment horizontal="center"/>
      <protection hidden="1"/>
    </xf>
    <xf numFmtId="177" fontId="33" fillId="5" borderId="14" xfId="2" applyNumberFormat="1" applyFont="1" applyFill="1" applyBorder="1" applyAlignment="1" applyProtection="1">
      <alignment horizontal="center"/>
      <protection hidden="1"/>
    </xf>
    <xf numFmtId="176" fontId="33" fillId="5" borderId="34" xfId="2" applyNumberFormat="1" applyFont="1" applyFill="1" applyBorder="1" applyAlignment="1" applyProtection="1">
      <alignment horizontal="center"/>
      <protection hidden="1"/>
    </xf>
    <xf numFmtId="176" fontId="33" fillId="5" borderId="14" xfId="2" applyNumberFormat="1" applyFont="1" applyFill="1" applyBorder="1" applyAlignment="1" applyProtection="1">
      <alignment horizontal="center"/>
      <protection hidden="1"/>
    </xf>
    <xf numFmtId="177" fontId="2" fillId="4" borderId="2" xfId="2" applyNumberFormat="1" applyFont="1" applyFill="1" applyBorder="1" applyAlignment="1" applyProtection="1">
      <alignment horizontal="center"/>
      <protection locked="0"/>
    </xf>
    <xf numFmtId="165" fontId="2" fillId="5" borderId="34" xfId="2" applyNumberFormat="1" applyFont="1" applyFill="1" applyBorder="1" applyAlignment="1">
      <alignment horizontal="center"/>
    </xf>
    <xf numFmtId="165" fontId="2" fillId="5" borderId="14" xfId="2" applyNumberFormat="1" applyFont="1" applyFill="1" applyBorder="1" applyAlignment="1">
      <alignment horizontal="center"/>
    </xf>
    <xf numFmtId="178" fontId="33" fillId="5" borderId="34" xfId="2" applyNumberFormat="1" applyFont="1" applyFill="1" applyBorder="1" applyAlignment="1">
      <alignment horizontal="center"/>
    </xf>
    <xf numFmtId="178" fontId="33" fillId="5" borderId="14" xfId="2" applyNumberFormat="1" applyFont="1" applyFill="1" applyBorder="1" applyAlignment="1">
      <alignment horizontal="center"/>
    </xf>
    <xf numFmtId="0" fontId="15" fillId="0" borderId="0" xfId="2" applyFont="1" applyBorder="1" applyAlignment="1" applyProtection="1">
      <alignment horizontal="center"/>
      <protection hidden="1"/>
    </xf>
    <xf numFmtId="0" fontId="30" fillId="6" borderId="34" xfId="2" applyFont="1" applyFill="1" applyBorder="1" applyAlignment="1" applyProtection="1">
      <alignment horizontal="center"/>
      <protection hidden="1"/>
    </xf>
    <xf numFmtId="0" fontId="30" fillId="6" borderId="14" xfId="2" applyFont="1" applyFill="1" applyBorder="1" applyAlignment="1" applyProtection="1">
      <alignment horizontal="center"/>
      <protection hidden="1"/>
    </xf>
    <xf numFmtId="0" fontId="2" fillId="10" borderId="2" xfId="2" applyFont="1" applyFill="1" applyBorder="1" applyAlignment="1" applyProtection="1">
      <alignment horizontal="center"/>
      <protection hidden="1"/>
    </xf>
    <xf numFmtId="0" fontId="33" fillId="6" borderId="2" xfId="2" applyFont="1" applyFill="1" applyBorder="1" applyAlignment="1">
      <alignment horizontal="center"/>
    </xf>
    <xf numFmtId="165" fontId="33" fillId="5" borderId="2" xfId="2" applyNumberFormat="1" applyFont="1" applyFill="1" applyBorder="1" applyAlignment="1">
      <alignment horizontal="center"/>
    </xf>
    <xf numFmtId="20" fontId="2" fillId="4" borderId="34" xfId="2" applyNumberFormat="1" applyFont="1" applyFill="1" applyBorder="1" applyAlignment="1" applyProtection="1">
      <alignment horizontal="center"/>
      <protection locked="0"/>
    </xf>
    <xf numFmtId="20" fontId="2" fillId="4" borderId="82" xfId="2" applyNumberFormat="1" applyFont="1" applyFill="1" applyBorder="1" applyAlignment="1" applyProtection="1">
      <alignment horizontal="center"/>
      <protection locked="0"/>
    </xf>
    <xf numFmtId="0" fontId="45" fillId="0" borderId="83" xfId="2" applyFont="1" applyBorder="1" applyAlignment="1">
      <alignment horizontal="center"/>
    </xf>
    <xf numFmtId="177" fontId="2" fillId="4" borderId="34" xfId="2" applyNumberFormat="1" applyFont="1" applyFill="1" applyBorder="1" applyAlignment="1" applyProtection="1">
      <alignment horizontal="center"/>
      <protection locked="0"/>
    </xf>
    <xf numFmtId="177" fontId="2" fillId="4" borderId="14" xfId="2" applyNumberFormat="1" applyFont="1" applyFill="1" applyBorder="1" applyAlignment="1" applyProtection="1">
      <alignment horizontal="center"/>
      <protection locked="0"/>
    </xf>
    <xf numFmtId="0" fontId="2" fillId="4" borderId="21" xfId="2" applyFont="1" applyFill="1" applyBorder="1" applyAlignment="1" applyProtection="1">
      <alignment horizontal="center"/>
      <protection locked="0"/>
    </xf>
    <xf numFmtId="0" fontId="2" fillId="4" borderId="84" xfId="2" applyFont="1" applyFill="1" applyBorder="1" applyAlignment="1" applyProtection="1">
      <alignment horizontal="center"/>
      <protection locked="0"/>
    </xf>
    <xf numFmtId="0" fontId="3" fillId="19" borderId="0" xfId="2" applyFont="1" applyFill="1" applyBorder="1" applyAlignment="1">
      <alignment horizontal="center"/>
    </xf>
    <xf numFmtId="0" fontId="2" fillId="0" borderId="0" xfId="2" applyFont="1" applyBorder="1" applyAlignment="1" applyProtection="1">
      <alignment horizontal="center"/>
      <protection hidden="1"/>
    </xf>
    <xf numFmtId="178" fontId="33" fillId="5" borderId="2" xfId="2" applyNumberFormat="1" applyFont="1" applyFill="1" applyBorder="1" applyAlignment="1">
      <alignment horizontal="center"/>
    </xf>
    <xf numFmtId="0" fontId="2" fillId="10" borderId="80" xfId="2" applyFont="1" applyFill="1" applyBorder="1" applyAlignment="1" applyProtection="1">
      <alignment horizontal="center"/>
      <protection hidden="1"/>
    </xf>
    <xf numFmtId="0" fontId="2" fillId="10" borderId="81" xfId="2" applyFont="1" applyFill="1" applyBorder="1" applyAlignment="1" applyProtection="1">
      <alignment horizontal="center"/>
      <protection hidden="1"/>
    </xf>
    <xf numFmtId="0" fontId="2" fillId="4" borderId="34" xfId="2" applyFont="1" applyFill="1" applyBorder="1" applyAlignment="1" applyProtection="1">
      <alignment horizontal="center"/>
      <protection locked="0"/>
    </xf>
    <xf numFmtId="0" fontId="2" fillId="4" borderId="82" xfId="2" applyFont="1" applyFill="1" applyBorder="1" applyAlignment="1" applyProtection="1">
      <alignment horizontal="center"/>
      <protection locked="0"/>
    </xf>
    <xf numFmtId="0" fontId="2" fillId="10" borderId="34" xfId="2" applyFont="1" applyFill="1" applyBorder="1" applyAlignment="1" applyProtection="1">
      <alignment horizontal="center"/>
      <protection hidden="1"/>
    </xf>
    <xf numFmtId="0" fontId="2" fillId="10" borderId="14" xfId="2" applyFont="1" applyFill="1" applyBorder="1" applyAlignment="1" applyProtection="1">
      <alignment horizontal="center"/>
      <protection hidden="1"/>
    </xf>
    <xf numFmtId="176" fontId="33" fillId="5" borderId="34" xfId="2" applyNumberFormat="1" applyFont="1" applyFill="1" applyBorder="1" applyAlignment="1">
      <alignment horizontal="center"/>
    </xf>
    <xf numFmtId="176" fontId="33" fillId="5" borderId="14" xfId="2" applyNumberFormat="1" applyFont="1" applyFill="1" applyBorder="1" applyAlignment="1">
      <alignment horizontal="center"/>
    </xf>
    <xf numFmtId="178" fontId="34" fillId="5" borderId="34" xfId="2" applyNumberFormat="1" applyFont="1" applyFill="1" applyBorder="1" applyAlignment="1">
      <alignment horizontal="center"/>
    </xf>
    <xf numFmtId="178" fontId="34" fillId="5" borderId="14" xfId="2" applyNumberFormat="1" applyFont="1" applyFill="1" applyBorder="1" applyAlignment="1">
      <alignment horizontal="center"/>
    </xf>
    <xf numFmtId="0" fontId="33" fillId="6" borderId="34" xfId="2" applyFont="1" applyFill="1" applyBorder="1" applyAlignment="1">
      <alignment horizontal="center"/>
    </xf>
    <xf numFmtId="0" fontId="33" fillId="6" borderId="14" xfId="2" applyFont="1" applyFill="1" applyBorder="1" applyAlignment="1">
      <alignment horizontal="center"/>
    </xf>
    <xf numFmtId="0" fontId="45" fillId="0" borderId="0" xfId="2" applyFont="1" applyAlignment="1">
      <alignment horizontal="center"/>
    </xf>
    <xf numFmtId="0" fontId="2" fillId="6" borderId="2" xfId="2" applyFont="1" applyFill="1" applyBorder="1" applyAlignment="1" applyProtection="1">
      <alignment horizontal="center"/>
      <protection hidden="1"/>
    </xf>
    <xf numFmtId="0" fontId="2" fillId="10" borderId="75" xfId="2" applyFont="1" applyFill="1" applyBorder="1" applyAlignment="1" applyProtection="1">
      <alignment horizontal="center"/>
      <protection hidden="1"/>
    </xf>
    <xf numFmtId="0" fontId="2" fillId="10" borderId="76" xfId="2" applyFont="1" applyFill="1" applyBorder="1" applyAlignment="1" applyProtection="1">
      <alignment horizontal="center"/>
      <protection hidden="1"/>
    </xf>
    <xf numFmtId="0" fontId="45" fillId="4" borderId="25" xfId="2" applyFont="1" applyFill="1" applyBorder="1" applyAlignment="1" applyProtection="1">
      <alignment horizontal="center"/>
      <protection locked="0"/>
    </xf>
    <xf numFmtId="0" fontId="45" fillId="4" borderId="77" xfId="2" applyFont="1" applyFill="1" applyBorder="1" applyAlignment="1" applyProtection="1">
      <alignment horizontal="center"/>
      <protection locked="0"/>
    </xf>
    <xf numFmtId="165" fontId="33" fillId="5" borderId="34" xfId="2" applyNumberFormat="1" applyFont="1" applyFill="1" applyBorder="1" applyAlignment="1">
      <alignment horizontal="center"/>
    </xf>
    <xf numFmtId="165" fontId="33" fillId="5" borderId="14" xfId="2" applyNumberFormat="1" applyFont="1" applyFill="1" applyBorder="1" applyAlignment="1">
      <alignment horizontal="center"/>
    </xf>
    <xf numFmtId="0" fontId="2" fillId="10" borderId="78" xfId="2" applyFont="1" applyFill="1" applyBorder="1" applyAlignment="1" applyProtection="1">
      <alignment horizontal="center"/>
      <protection hidden="1"/>
    </xf>
    <xf numFmtId="0" fontId="2" fillId="10" borderId="79" xfId="2" applyFont="1" applyFill="1" applyBorder="1" applyAlignment="1" applyProtection="1">
      <alignment horizontal="center"/>
      <protection hidden="1"/>
    </xf>
    <xf numFmtId="0" fontId="2" fillId="0" borderId="0" xfId="2" applyFont="1" applyBorder="1" applyAlignment="1">
      <alignment horizontal="center"/>
    </xf>
    <xf numFmtId="0" fontId="35" fillId="4" borderId="25" xfId="2" applyFont="1" applyFill="1" applyBorder="1" applyAlignment="1" applyProtection="1">
      <alignment horizontal="center" vertical="center"/>
      <protection locked="0"/>
    </xf>
    <xf numFmtId="0" fontId="35" fillId="4" borderId="2" xfId="2" applyFont="1" applyFill="1" applyBorder="1" applyAlignment="1" applyProtection="1">
      <alignment horizontal="center" vertical="center"/>
      <protection locked="0"/>
    </xf>
    <xf numFmtId="0" fontId="3" fillId="20" borderId="0" xfId="0" applyFont="1" applyFill="1" applyBorder="1" applyAlignment="1">
      <alignment horizontal="center"/>
    </xf>
    <xf numFmtId="0" fontId="2" fillId="12" borderId="15" xfId="0" applyFont="1" applyFill="1" applyBorder="1" applyAlignment="1" applyProtection="1">
      <alignment horizontal="center"/>
      <protection hidden="1"/>
    </xf>
    <xf numFmtId="0" fontId="35" fillId="13" borderId="15" xfId="0" applyFont="1" applyFill="1" applyBorder="1" applyAlignment="1" applyProtection="1">
      <alignment horizontal="center"/>
    </xf>
    <xf numFmtId="0" fontId="2" fillId="0" borderId="0" xfId="0" applyFont="1" applyBorder="1" applyAlignment="1">
      <alignment horizontal="center" vertical="center"/>
    </xf>
    <xf numFmtId="0" fontId="2" fillId="0" borderId="0" xfId="0" applyFont="1" applyBorder="1" applyAlignment="1" applyProtection="1">
      <alignment horizontal="center"/>
      <protection hidden="1"/>
    </xf>
    <xf numFmtId="0" fontId="2" fillId="4" borderId="34" xfId="2" applyFont="1" applyFill="1" applyBorder="1" applyAlignment="1" applyProtection="1">
      <alignment horizontal="center" vertical="center"/>
      <protection locked="0"/>
    </xf>
    <xf numFmtId="0" fontId="2" fillId="4" borderId="14" xfId="2" applyFont="1" applyFill="1" applyBorder="1" applyAlignment="1" applyProtection="1">
      <alignment horizontal="center" vertical="center"/>
      <protection locked="0"/>
    </xf>
    <xf numFmtId="0" fontId="14" fillId="8" borderId="98" xfId="0" applyFont="1" applyFill="1" applyBorder="1" applyAlignment="1" applyProtection="1">
      <alignment horizontal="center" vertical="center"/>
      <protection hidden="1"/>
    </xf>
    <xf numFmtId="0" fontId="14" fillId="8" borderId="43" xfId="0" applyFont="1" applyFill="1" applyBorder="1" applyAlignment="1" applyProtection="1">
      <alignment horizontal="center" vertical="center"/>
      <protection hidden="1"/>
    </xf>
    <xf numFmtId="0" fontId="2" fillId="10" borderId="2" xfId="2" applyFont="1" applyFill="1" applyBorder="1" applyAlignment="1" applyProtection="1">
      <alignment horizontal="center" vertical="center"/>
      <protection hidden="1"/>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2" xfId="0" applyBorder="1" applyAlignment="1">
      <alignment horizontal="center" vertical="center"/>
    </xf>
    <xf numFmtId="0" fontId="2" fillId="4" borderId="2" xfId="2" applyFont="1" applyFill="1" applyBorder="1" applyAlignment="1" applyProtection="1">
      <alignment horizontal="center" vertical="center"/>
      <protection locked="0"/>
    </xf>
    <xf numFmtId="0" fontId="2" fillId="12" borderId="66" xfId="0" applyFont="1" applyFill="1" applyBorder="1" applyAlignment="1" applyProtection="1">
      <alignment horizontal="center"/>
      <protection hidden="1"/>
    </xf>
    <xf numFmtId="0" fontId="2" fillId="12" borderId="93" xfId="0" applyFont="1" applyFill="1" applyBorder="1" applyAlignment="1" applyProtection="1">
      <alignment horizontal="center"/>
      <protection hidden="1"/>
    </xf>
    <xf numFmtId="0" fontId="11" fillId="8" borderId="94" xfId="0" applyFont="1" applyFill="1" applyBorder="1" applyAlignment="1" applyProtection="1">
      <alignment horizontal="center" vertical="center"/>
      <protection hidden="1"/>
    </xf>
    <xf numFmtId="0" fontId="11" fillId="8" borderId="68" xfId="0" applyFont="1" applyFill="1" applyBorder="1" applyAlignment="1" applyProtection="1">
      <alignment horizontal="center" vertical="center"/>
      <protection hidden="1"/>
    </xf>
    <xf numFmtId="0" fontId="12" fillId="8" borderId="95" xfId="0" applyFont="1" applyFill="1" applyBorder="1" applyAlignment="1" applyProtection="1">
      <alignment horizontal="center" vertical="center"/>
      <protection hidden="1"/>
    </xf>
    <xf numFmtId="0" fontId="12" fillId="8" borderId="16" xfId="0" applyFont="1" applyFill="1" applyBorder="1" applyAlignment="1" applyProtection="1">
      <alignment horizontal="center" vertical="center"/>
      <protection hidden="1"/>
    </xf>
    <xf numFmtId="0" fontId="11" fillId="8" borderId="96" xfId="0" applyFont="1" applyFill="1" applyBorder="1" applyAlignment="1" applyProtection="1">
      <alignment horizontal="center" vertical="center"/>
      <protection hidden="1"/>
    </xf>
    <xf numFmtId="0" fontId="11" fillId="8" borderId="15" xfId="0" applyFont="1" applyFill="1" applyBorder="1" applyAlignment="1" applyProtection="1">
      <alignment horizontal="center" vertical="center"/>
      <protection hidden="1"/>
    </xf>
    <xf numFmtId="0" fontId="41" fillId="8" borderId="97" xfId="0" applyFont="1" applyFill="1" applyBorder="1" applyAlignment="1" applyProtection="1">
      <alignment horizontal="center" vertical="center"/>
      <protection hidden="1"/>
    </xf>
    <xf numFmtId="0" fontId="41" fillId="8" borderId="89" xfId="0" applyFont="1" applyFill="1" applyBorder="1" applyAlignment="1" applyProtection="1">
      <alignment horizontal="center" vertical="center"/>
      <protection hidden="1"/>
    </xf>
    <xf numFmtId="0" fontId="2" fillId="13" borderId="90" xfId="0" applyFont="1" applyFill="1" applyBorder="1" applyAlignment="1" applyProtection="1">
      <alignment horizontal="center" vertical="center"/>
      <protection locked="0"/>
    </xf>
    <xf numFmtId="0" fontId="2" fillId="13" borderId="91" xfId="0" applyFont="1" applyFill="1" applyBorder="1" applyAlignment="1" applyProtection="1">
      <alignment horizontal="center" vertical="center"/>
      <protection locked="0"/>
    </xf>
    <xf numFmtId="164" fontId="2" fillId="13" borderId="46" xfId="0" applyNumberFormat="1" applyFont="1" applyFill="1" applyBorder="1" applyAlignment="1" applyProtection="1">
      <alignment horizontal="center" vertical="center"/>
    </xf>
    <xf numFmtId="168" fontId="2" fillId="13" borderId="15" xfId="0" applyNumberFormat="1" applyFont="1" applyFill="1" applyBorder="1" applyAlignment="1" applyProtection="1">
      <alignment horizontal="center" vertical="center"/>
      <protection locked="0"/>
    </xf>
    <xf numFmtId="167" fontId="2" fillId="13" borderId="15" xfId="0" applyNumberFormat="1" applyFont="1" applyFill="1" applyBorder="1" applyAlignment="1" applyProtection="1">
      <alignment horizontal="center" vertical="center"/>
      <protection locked="0"/>
    </xf>
    <xf numFmtId="0" fontId="2" fillId="13" borderId="92" xfId="0" applyFont="1" applyFill="1" applyBorder="1" applyAlignment="1" applyProtection="1">
      <alignment horizontal="center"/>
    </xf>
    <xf numFmtId="0" fontId="2" fillId="13" borderId="91" xfId="0" applyFont="1" applyFill="1" applyBorder="1" applyAlignment="1" applyProtection="1">
      <alignment horizontal="center"/>
    </xf>
    <xf numFmtId="166" fontId="2" fillId="17" borderId="46" xfId="0" applyNumberFormat="1" applyFont="1" applyFill="1" applyBorder="1" applyAlignment="1">
      <alignment horizontal="center" vertical="center"/>
    </xf>
    <xf numFmtId="0" fontId="41" fillId="8" borderId="85" xfId="0" applyFont="1" applyFill="1" applyBorder="1" applyAlignment="1" applyProtection="1">
      <alignment horizontal="center" vertical="center"/>
      <protection hidden="1"/>
    </xf>
    <xf numFmtId="0" fontId="41" fillId="8" borderId="86" xfId="0" applyFont="1" applyFill="1" applyBorder="1" applyAlignment="1" applyProtection="1">
      <alignment horizontal="center" vertical="center"/>
      <protection hidden="1"/>
    </xf>
    <xf numFmtId="0" fontId="2" fillId="8" borderId="87" xfId="0" applyFont="1" applyFill="1" applyBorder="1" applyAlignment="1" applyProtection="1">
      <alignment horizontal="center" vertical="center"/>
      <protection hidden="1"/>
    </xf>
    <xf numFmtId="0" fontId="41" fillId="8" borderId="88" xfId="0" applyFont="1" applyFill="1" applyBorder="1" applyAlignment="1" applyProtection="1">
      <alignment horizontal="center" vertical="center"/>
      <protection hidden="1"/>
    </xf>
    <xf numFmtId="0" fontId="14" fillId="8" borderId="15" xfId="0" applyFont="1" applyFill="1" applyBorder="1" applyAlignment="1" applyProtection="1">
      <alignment horizontal="center" vertical="center"/>
      <protection hidden="1"/>
    </xf>
    <xf numFmtId="0" fontId="12" fillId="8" borderId="17" xfId="0" applyFont="1" applyFill="1" applyBorder="1" applyAlignment="1" applyProtection="1">
      <alignment horizontal="center" vertical="center"/>
      <protection hidden="1"/>
    </xf>
    <xf numFmtId="0" fontId="0" fillId="0" borderId="33" xfId="0" applyBorder="1" applyAlignment="1">
      <alignment horizontal="center"/>
    </xf>
    <xf numFmtId="0" fontId="0" fillId="0" borderId="0" xfId="0" applyFill="1" applyBorder="1" applyAlignment="1" applyProtection="1">
      <alignment horizontal="center"/>
    </xf>
    <xf numFmtId="0" fontId="0" fillId="0" borderId="0" xfId="0" applyAlignment="1">
      <alignment horizontal="center"/>
    </xf>
    <xf numFmtId="0" fontId="0" fillId="0" borderId="0" xfId="0" applyFill="1" applyBorder="1" applyAlignment="1" applyProtection="1">
      <alignment horizontal="center"/>
      <protection locked="0"/>
    </xf>
    <xf numFmtId="0" fontId="0" fillId="28" borderId="31" xfId="0" applyFont="1" applyFill="1" applyBorder="1" applyAlignment="1">
      <alignment horizontal="center"/>
    </xf>
    <xf numFmtId="0" fontId="0" fillId="28" borderId="32" xfId="0" applyFont="1" applyFill="1" applyBorder="1" applyAlignment="1">
      <alignment horizontal="center"/>
    </xf>
    <xf numFmtId="0" fontId="0" fillId="4" borderId="19" xfId="0" applyFill="1" applyBorder="1" applyAlignment="1" applyProtection="1">
      <alignment horizontal="center"/>
      <protection locked="0"/>
    </xf>
    <xf numFmtId="0" fontId="0" fillId="4" borderId="20" xfId="0" applyFill="1" applyBorder="1" applyAlignment="1" applyProtection="1">
      <alignment horizontal="center"/>
      <protection locked="0"/>
    </xf>
    <xf numFmtId="0" fontId="0" fillId="30" borderId="19" xfId="0" applyFill="1" applyBorder="1" applyAlignment="1" applyProtection="1">
      <alignment horizontal="center"/>
    </xf>
    <xf numFmtId="0" fontId="0" fillId="30" borderId="20" xfId="0" applyFill="1" applyBorder="1" applyAlignment="1" applyProtection="1">
      <alignment horizontal="center"/>
    </xf>
    <xf numFmtId="0" fontId="0" fillId="30" borderId="21" xfId="0" applyFill="1" applyBorder="1" applyAlignment="1" applyProtection="1">
      <alignment horizontal="center"/>
      <protection locked="0"/>
    </xf>
    <xf numFmtId="0" fontId="0" fillId="30" borderId="23" xfId="0" applyFill="1" applyBorder="1" applyAlignment="1" applyProtection="1">
      <alignment horizontal="center"/>
      <protection locked="0"/>
    </xf>
    <xf numFmtId="0" fontId="0" fillId="28" borderId="31" xfId="0" applyFill="1" applyBorder="1" applyAlignment="1">
      <alignment horizontal="center"/>
    </xf>
    <xf numFmtId="0" fontId="0" fillId="30" borderId="19" xfId="0" applyFill="1" applyBorder="1" applyAlignment="1" applyProtection="1">
      <alignment horizontal="center"/>
      <protection locked="0"/>
    </xf>
    <xf numFmtId="0" fontId="0" fillId="30" borderId="20" xfId="0" applyFill="1" applyBorder="1" applyAlignment="1" applyProtection="1">
      <alignment horizontal="center"/>
      <protection locked="0"/>
    </xf>
    <xf numFmtId="0" fontId="0" fillId="0" borderId="0" xfId="0" applyAlignment="1" applyProtection="1">
      <alignment horizontal="center"/>
      <protection locked="0"/>
    </xf>
    <xf numFmtId="0" fontId="0" fillId="4" borderId="0" xfId="0" applyFill="1" applyBorder="1" applyAlignment="1" applyProtection="1">
      <alignment horizontal="center"/>
      <protection locked="0"/>
    </xf>
    <xf numFmtId="0" fontId="0" fillId="0" borderId="33" xfId="0" applyBorder="1" applyAlignment="1" applyProtection="1">
      <alignment horizontal="center"/>
      <protection locked="0"/>
    </xf>
    <xf numFmtId="0" fontId="0" fillId="30" borderId="21" xfId="0" applyFill="1" applyBorder="1" applyAlignment="1">
      <alignment horizontal="center"/>
    </xf>
    <xf numFmtId="0" fontId="0" fillId="30" borderId="23" xfId="0" applyFill="1" applyBorder="1" applyAlignment="1">
      <alignment horizontal="center"/>
    </xf>
    <xf numFmtId="0" fontId="0" fillId="0" borderId="0" xfId="0" applyFill="1" applyBorder="1" applyAlignment="1">
      <alignment horizontal="center"/>
    </xf>
    <xf numFmtId="2" fontId="0" fillId="22" borderId="53" xfId="0" applyNumberFormat="1" applyFont="1" applyFill="1" applyBorder="1" applyAlignment="1">
      <alignment horizontal="center"/>
    </xf>
    <xf numFmtId="2" fontId="0" fillId="22" borderId="65" xfId="0" applyNumberFormat="1" applyFont="1" applyFill="1" applyBorder="1" applyAlignment="1">
      <alignment horizontal="center"/>
    </xf>
    <xf numFmtId="2" fontId="0" fillId="22" borderId="11" xfId="0" applyNumberFormat="1" applyFont="1" applyFill="1" applyBorder="1" applyAlignment="1">
      <alignment horizontal="center"/>
    </xf>
    <xf numFmtId="2" fontId="0" fillId="22" borderId="54" xfId="0" applyNumberFormat="1" applyFont="1" applyFill="1" applyBorder="1" applyAlignment="1">
      <alignment horizontal="center"/>
    </xf>
    <xf numFmtId="0" fontId="0" fillId="22" borderId="99" xfId="0" applyFont="1" applyFill="1" applyBorder="1" applyAlignment="1">
      <alignment horizontal="center"/>
    </xf>
    <xf numFmtId="0" fontId="0" fillId="22" borderId="100" xfId="0" applyFont="1" applyFill="1" applyBorder="1" applyAlignment="1">
      <alignment horizontal="center"/>
    </xf>
    <xf numFmtId="0" fontId="0" fillId="22" borderId="101" xfId="0" applyFont="1" applyFill="1" applyBorder="1" applyAlignment="1">
      <alignment horizontal="center"/>
    </xf>
    <xf numFmtId="2" fontId="0" fillId="22" borderId="52" xfId="0" applyNumberFormat="1" applyFill="1" applyBorder="1" applyAlignment="1">
      <alignment horizontal="center"/>
    </xf>
    <xf numFmtId="2" fontId="0" fillId="22" borderId="52" xfId="0" applyNumberFormat="1" applyFont="1" applyFill="1" applyBorder="1" applyAlignment="1">
      <alignment horizontal="center"/>
    </xf>
    <xf numFmtId="194" fontId="2" fillId="13" borderId="46" xfId="0" applyNumberFormat="1" applyFont="1" applyFill="1" applyBorder="1" applyAlignment="1" applyProtection="1">
      <alignment horizontal="center" vertical="center"/>
    </xf>
    <xf numFmtId="195" fontId="2" fillId="17" borderId="15" xfId="0" applyNumberFormat="1" applyFont="1" applyFill="1" applyBorder="1" applyAlignment="1">
      <alignment horizontal="center" vertical="center"/>
    </xf>
    <xf numFmtId="0" fontId="2" fillId="13" borderId="15" xfId="0" applyFont="1" applyFill="1" applyBorder="1" applyAlignment="1" applyProtection="1">
      <alignment horizontal="center" vertical="center"/>
    </xf>
    <xf numFmtId="0" fontId="2" fillId="13" borderId="46" xfId="0" applyNumberFormat="1" applyFont="1" applyFill="1" applyBorder="1" applyAlignment="1" applyProtection="1">
      <alignment horizontal="center" vertical="center"/>
    </xf>
    <xf numFmtId="0" fontId="2" fillId="0" borderId="21" xfId="0" applyFont="1" applyFill="1" applyBorder="1" applyAlignment="1" applyProtection="1">
      <alignment horizontal="left"/>
    </xf>
    <xf numFmtId="0" fontId="2" fillId="0" borderId="22" xfId="0" applyFont="1" applyFill="1" applyBorder="1" applyAlignment="1" applyProtection="1">
      <alignment horizontal="left"/>
    </xf>
    <xf numFmtId="0" fontId="2" fillId="0" borderId="31" xfId="0" applyFont="1" applyBorder="1" applyAlignment="1" applyProtection="1">
      <alignment horizontal="left"/>
    </xf>
    <xf numFmtId="0" fontId="2" fillId="0" borderId="33" xfId="0" applyFont="1" applyBorder="1" applyAlignment="1" applyProtection="1">
      <alignment horizontal="left"/>
    </xf>
    <xf numFmtId="0" fontId="2" fillId="0" borderId="21" xfId="0" applyFont="1" applyBorder="1" applyAlignment="1" applyProtection="1">
      <alignment horizontal="left"/>
    </xf>
    <xf numFmtId="0" fontId="2" fillId="0" borderId="22" xfId="0" applyFont="1" applyBorder="1" applyAlignment="1" applyProtection="1">
      <alignment horizontal="left"/>
    </xf>
    <xf numFmtId="165" fontId="2" fillId="0" borderId="33" xfId="0" applyNumberFormat="1" applyFont="1" applyBorder="1" applyAlignment="1">
      <alignment horizontal="center" vertical="center"/>
    </xf>
    <xf numFmtId="165" fontId="2" fillId="0" borderId="32" xfId="0" applyNumberFormat="1" applyFont="1" applyBorder="1" applyAlignment="1">
      <alignment horizontal="center" vertical="center"/>
    </xf>
    <xf numFmtId="165" fontId="2" fillId="0" borderId="0" xfId="0" applyNumberFormat="1" applyFont="1" applyBorder="1" applyAlignment="1">
      <alignment horizontal="center" vertical="center"/>
    </xf>
    <xf numFmtId="165" fontId="2" fillId="0" borderId="20" xfId="0" applyNumberFormat="1" applyFont="1" applyBorder="1" applyAlignment="1">
      <alignment horizontal="center" vertical="center"/>
    </xf>
    <xf numFmtId="165" fontId="2" fillId="0" borderId="12" xfId="0" applyNumberFormat="1" applyFont="1" applyFill="1" applyBorder="1" applyAlignment="1">
      <alignment horizontal="center" vertical="center"/>
    </xf>
    <xf numFmtId="0" fontId="2" fillId="0" borderId="102" xfId="0" applyFont="1" applyBorder="1" applyAlignment="1">
      <alignment horizontal="center" vertical="center"/>
    </xf>
    <xf numFmtId="0" fontId="2" fillId="0" borderId="12" xfId="0" applyFont="1" applyBorder="1" applyAlignment="1">
      <alignment horizontal="center" vertical="center"/>
    </xf>
    <xf numFmtId="1" fontId="2" fillId="0" borderId="12" xfId="0" applyNumberFormat="1" applyFont="1" applyFill="1" applyBorder="1" applyAlignment="1">
      <alignment horizontal="center" vertical="center"/>
    </xf>
    <xf numFmtId="165" fontId="2" fillId="0" borderId="33" xfId="0" applyNumberFormat="1" applyFont="1" applyFill="1" applyBorder="1" applyAlignment="1">
      <alignment horizontal="center" vertical="center"/>
    </xf>
    <xf numFmtId="165" fontId="2" fillId="0" borderId="32" xfId="0" applyNumberFormat="1" applyFont="1" applyFill="1" applyBorder="1" applyAlignment="1">
      <alignment horizontal="center" vertical="center"/>
    </xf>
    <xf numFmtId="165" fontId="2" fillId="0" borderId="0" xfId="0" applyNumberFormat="1" applyFont="1" applyFill="1" applyBorder="1" applyAlignment="1">
      <alignment horizontal="center" vertical="center"/>
    </xf>
    <xf numFmtId="165" fontId="2" fillId="0" borderId="20" xfId="0" applyNumberFormat="1" applyFont="1" applyFill="1" applyBorder="1" applyAlignment="1">
      <alignment horizontal="center" vertical="center"/>
    </xf>
    <xf numFmtId="0" fontId="2" fillId="0" borderId="0" xfId="0" applyFont="1" applyFill="1" applyBorder="1" applyAlignment="1" applyProtection="1">
      <alignment horizontal="center" vertical="center"/>
    </xf>
    <xf numFmtId="0" fontId="2" fillId="0" borderId="20" xfId="0" applyFont="1" applyFill="1" applyBorder="1" applyAlignment="1" applyProtection="1">
      <alignment horizontal="center" vertical="center"/>
    </xf>
    <xf numFmtId="175" fontId="2" fillId="0" borderId="22" xfId="0" applyNumberFormat="1" applyFont="1" applyFill="1" applyBorder="1" applyAlignment="1" applyProtection="1">
      <alignment horizontal="center" vertical="center"/>
    </xf>
    <xf numFmtId="175" fontId="2" fillId="0" borderId="23" xfId="0" applyNumberFormat="1" applyFont="1" applyFill="1" applyBorder="1" applyAlignment="1" applyProtection="1">
      <alignment horizontal="center" vertical="center"/>
    </xf>
    <xf numFmtId="0" fontId="54" fillId="0" borderId="108" xfId="0" applyFont="1" applyFill="1" applyBorder="1" applyAlignment="1" applyProtection="1">
      <alignment horizontal="center" vertical="center" wrapText="1"/>
    </xf>
    <xf numFmtId="0" fontId="54" fillId="0" borderId="112" xfId="0" applyFont="1" applyFill="1" applyBorder="1" applyAlignment="1" applyProtection="1">
      <alignment horizontal="center" vertical="center" wrapText="1"/>
    </xf>
    <xf numFmtId="0" fontId="54" fillId="0" borderId="115" xfId="0" applyFont="1" applyFill="1" applyBorder="1" applyAlignment="1" applyProtection="1">
      <alignment horizontal="center" vertical="center" wrapText="1"/>
    </xf>
    <xf numFmtId="0" fontId="54" fillId="35" borderId="4" xfId="0" applyFont="1" applyFill="1" applyBorder="1" applyAlignment="1" applyProtection="1">
      <alignment horizontal="center" vertical="center" shrinkToFit="1"/>
    </xf>
    <xf numFmtId="0" fontId="54" fillId="35" borderId="5" xfId="0" applyFont="1" applyFill="1" applyBorder="1" applyAlignment="1" applyProtection="1">
      <alignment horizontal="center" vertical="center" shrinkToFit="1"/>
    </xf>
    <xf numFmtId="0" fontId="54" fillId="35" borderId="0" xfId="0" applyFont="1" applyFill="1" applyBorder="1" applyAlignment="1" applyProtection="1">
      <alignment horizontal="center" vertical="center" shrinkToFit="1"/>
    </xf>
    <xf numFmtId="0" fontId="54" fillId="35" borderId="7" xfId="0" applyFont="1" applyFill="1" applyBorder="1" applyAlignment="1" applyProtection="1">
      <alignment horizontal="center" vertical="center" shrinkToFit="1"/>
    </xf>
    <xf numFmtId="2" fontId="0" fillId="34" borderId="110" xfId="0" applyNumberFormat="1" applyFill="1" applyBorder="1" applyAlignment="1" applyProtection="1">
      <alignment horizontal="center"/>
    </xf>
    <xf numFmtId="2" fontId="0" fillId="34" borderId="111" xfId="0" applyNumberFormat="1" applyFill="1" applyBorder="1" applyAlignment="1" applyProtection="1">
      <alignment horizontal="center"/>
    </xf>
    <xf numFmtId="2" fontId="0" fillId="34" borderId="34" xfId="0" applyNumberFormat="1" applyFill="1" applyBorder="1" applyAlignment="1" applyProtection="1">
      <alignment horizontal="center"/>
    </xf>
    <xf numFmtId="2" fontId="0" fillId="34" borderId="114" xfId="0" applyNumberFormat="1" applyFill="1" applyBorder="1" applyAlignment="1" applyProtection="1">
      <alignment horizontal="center"/>
    </xf>
    <xf numFmtId="0" fontId="52" fillId="0" borderId="0" xfId="0" applyFont="1" applyAlignment="1" applyProtection="1">
      <alignment horizontal="center"/>
    </xf>
    <xf numFmtId="0" fontId="51" fillId="34" borderId="104" xfId="0" applyFont="1" applyFill="1" applyBorder="1" applyAlignment="1" applyProtection="1">
      <alignment horizontal="left" vertical="center" shrinkToFit="1"/>
    </xf>
    <xf numFmtId="0" fontId="51" fillId="34" borderId="105" xfId="0" applyFont="1" applyFill="1" applyBorder="1" applyAlignment="1" applyProtection="1">
      <alignment horizontal="left" vertical="center" shrinkToFit="1"/>
    </xf>
    <xf numFmtId="0" fontId="51" fillId="34" borderId="106" xfId="0" applyFont="1" applyFill="1" applyBorder="1" applyAlignment="1" applyProtection="1">
      <alignment horizontal="left" vertical="center" shrinkToFit="1"/>
    </xf>
    <xf numFmtId="0" fontId="51" fillId="34" borderId="107" xfId="0" applyFont="1" applyFill="1" applyBorder="1" applyAlignment="1" applyProtection="1">
      <alignment horizontal="left" vertical="center" shrinkToFit="1"/>
    </xf>
    <xf numFmtId="0" fontId="51" fillId="0" borderId="0" xfId="0" applyFont="1" applyFill="1" applyBorder="1" applyAlignment="1" applyProtection="1">
      <alignment horizontal="center" wrapText="1"/>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51" fillId="35" borderId="4" xfId="0" applyFont="1" applyFill="1" applyBorder="1" applyAlignment="1" applyProtection="1">
      <alignment horizontal="center" vertical="center" wrapText="1" shrinkToFit="1"/>
    </xf>
    <xf numFmtId="0" fontId="51" fillId="35" borderId="4" xfId="0" applyFont="1" applyFill="1" applyBorder="1" applyAlignment="1" applyProtection="1">
      <alignment horizontal="center" vertical="center" shrinkToFit="1"/>
    </xf>
    <xf numFmtId="0" fontId="51" fillId="35" borderId="5" xfId="0" applyFont="1" applyFill="1" applyBorder="1" applyAlignment="1" applyProtection="1">
      <alignment horizontal="center" vertical="center" shrinkToFit="1"/>
    </xf>
    <xf numFmtId="0" fontId="51" fillId="35" borderId="0" xfId="0" applyFont="1" applyFill="1" applyBorder="1" applyAlignment="1" applyProtection="1">
      <alignment horizontal="center" vertical="center" shrinkToFit="1"/>
    </xf>
    <xf numFmtId="0" fontId="51" fillId="35" borderId="7" xfId="0" applyFont="1" applyFill="1" applyBorder="1" applyAlignment="1" applyProtection="1">
      <alignment horizontal="center" vertical="center" shrinkToFit="1"/>
    </xf>
    <xf numFmtId="0" fontId="1" fillId="34" borderId="118" xfId="0" applyFont="1" applyFill="1" applyBorder="1" applyAlignment="1" applyProtection="1">
      <alignment horizontal="center"/>
    </xf>
    <xf numFmtId="0" fontId="1" fillId="34" borderId="119" xfId="0" applyFont="1" applyFill="1" applyBorder="1" applyAlignment="1" applyProtection="1">
      <alignment horizontal="center"/>
    </xf>
    <xf numFmtId="0" fontId="54" fillId="35" borderId="10" xfId="0" applyFont="1" applyFill="1" applyBorder="1" applyAlignment="1" applyProtection="1">
      <alignment horizontal="center" vertical="center" shrinkToFit="1"/>
    </xf>
    <xf numFmtId="0" fontId="54" fillId="35" borderId="13" xfId="0" applyFont="1" applyFill="1" applyBorder="1" applyAlignment="1" applyProtection="1">
      <alignment horizontal="center" vertical="center" shrinkToFit="1"/>
    </xf>
    <xf numFmtId="0" fontId="51" fillId="0" borderId="120" xfId="0" applyFont="1" applyFill="1" applyBorder="1" applyAlignment="1" applyProtection="1">
      <alignment horizontal="left" vertical="center" wrapText="1"/>
    </xf>
    <xf numFmtId="0" fontId="51" fillId="0" borderId="121" xfId="0" applyFont="1" applyFill="1" applyBorder="1" applyAlignment="1" applyProtection="1">
      <alignment horizontal="left" vertical="center" wrapText="1"/>
    </xf>
    <xf numFmtId="0" fontId="51" fillId="0" borderId="122" xfId="0" applyFont="1" applyFill="1" applyBorder="1" applyAlignment="1" applyProtection="1">
      <alignment horizontal="left" vertical="center" wrapText="1"/>
    </xf>
    <xf numFmtId="0" fontId="53" fillId="36" borderId="0" xfId="0" applyFont="1" applyFill="1" applyAlignment="1" applyProtection="1">
      <alignment horizontal="center"/>
    </xf>
    <xf numFmtId="0" fontId="1" fillId="0" borderId="0" xfId="0" applyFont="1" applyFill="1" applyBorder="1" applyAlignment="1" applyProtection="1">
      <alignment horizontal="center"/>
    </xf>
    <xf numFmtId="0" fontId="0" fillId="0" borderId="9" xfId="0" applyBorder="1" applyAlignment="1" applyProtection="1">
      <alignment horizontal="left"/>
    </xf>
    <xf numFmtId="0" fontId="1" fillId="0" borderId="13" xfId="0" applyFont="1" applyBorder="1" applyAlignment="1" applyProtection="1">
      <alignment horizontal="left"/>
    </xf>
    <xf numFmtId="0" fontId="1" fillId="0" borderId="120" xfId="0" applyFont="1" applyBorder="1" applyAlignment="1" applyProtection="1">
      <alignment horizontal="center"/>
    </xf>
    <xf numFmtId="0" fontId="1" fillId="0" borderId="121" xfId="0" applyFont="1" applyBorder="1" applyAlignment="1" applyProtection="1">
      <alignment horizontal="center"/>
    </xf>
    <xf numFmtId="0" fontId="54" fillId="35" borderId="120" xfId="0" applyFont="1" applyFill="1" applyBorder="1" applyAlignment="1" applyProtection="1">
      <alignment horizontal="center" vertical="top" wrapText="1"/>
    </xf>
    <xf numFmtId="0" fontId="54" fillId="35" borderId="121" xfId="0" applyFont="1" applyFill="1" applyBorder="1" applyAlignment="1" applyProtection="1">
      <alignment horizontal="center" vertical="top" wrapText="1"/>
    </xf>
    <xf numFmtId="0" fontId="54" fillId="35" borderId="105" xfId="0" applyFont="1" applyFill="1" applyBorder="1" applyAlignment="1" applyProtection="1">
      <alignment horizontal="center" vertical="top" wrapText="1"/>
    </xf>
  </cellXfs>
  <cellStyles count="3">
    <cellStyle name="Lien hypertexte" xfId="1" builtinId="8"/>
    <cellStyle name="Normal" xfId="0" builtinId="0"/>
    <cellStyle name="Normal 2" xfId="2"/>
  </cellStyles>
  <dxfs count="54">
    <dxf>
      <font>
        <color theme="0"/>
      </font>
    </dxf>
    <dxf>
      <font>
        <color theme="0"/>
      </font>
    </dxf>
    <dxf>
      <font>
        <color theme="0"/>
      </font>
    </dxf>
    <dxf>
      <fill>
        <patternFill patternType="solid">
          <fgColor indexed="42"/>
          <bgColor rgb="FFFFFFCC"/>
        </patternFill>
      </fill>
    </dxf>
    <dxf>
      <fill>
        <patternFill patternType="solid">
          <fgColor indexed="31"/>
          <bgColor indexed="22"/>
        </patternFill>
      </fill>
    </dxf>
    <dxf>
      <fill>
        <patternFill patternType="solid">
          <fgColor indexed="27"/>
          <bgColor rgb="FFFFCCFF"/>
        </patternFill>
      </fill>
    </dxf>
    <dxf>
      <font>
        <color theme="0"/>
      </font>
      <fill>
        <patternFill>
          <bgColor theme="0"/>
        </patternFill>
      </fill>
      <border>
        <left/>
        <right/>
        <top/>
        <bottom/>
      </border>
    </dxf>
    <dxf>
      <font>
        <color rgb="FFFFFF99"/>
        <name val="Cambria"/>
        <scheme val="none"/>
      </font>
    </dxf>
    <dxf>
      <font>
        <color rgb="FFFFCC99"/>
      </font>
    </dxf>
    <dxf>
      <fill>
        <patternFill>
          <bgColor rgb="FFFF0000"/>
        </patternFill>
      </fill>
    </dxf>
    <dxf>
      <fill>
        <patternFill>
          <bgColor rgb="FFFF0000"/>
        </patternFill>
      </fill>
    </dxf>
    <dxf>
      <font>
        <color rgb="FFCC6600"/>
      </font>
    </dxf>
    <dxf>
      <font>
        <color rgb="FFCC6600"/>
      </font>
    </dxf>
    <dxf>
      <font>
        <color rgb="FF808080"/>
      </font>
    </dxf>
    <dxf>
      <font>
        <color rgb="FFFF0000"/>
      </font>
    </dxf>
    <dxf>
      <font>
        <color theme="0"/>
      </font>
      <fill>
        <patternFill patternType="none">
          <bgColor indexed="65"/>
        </patternFill>
      </fill>
      <border>
        <left/>
        <right/>
        <top/>
        <bottom/>
      </border>
    </dxf>
    <dxf>
      <font>
        <color theme="0"/>
      </font>
      <fill>
        <patternFill patternType="none">
          <bgColor indexed="65"/>
        </patternFill>
      </fill>
      <border>
        <left/>
        <right/>
        <bottom/>
      </border>
    </dxf>
    <dxf>
      <font>
        <color rgb="FF99CCFF"/>
      </font>
    </dxf>
    <dxf>
      <fill>
        <patternFill>
          <bgColor indexed="10"/>
        </patternFill>
      </fill>
    </dxf>
    <dxf>
      <font>
        <color indexed="9"/>
      </font>
      <fill>
        <patternFill patternType="solid">
          <bgColor indexed="9"/>
        </patternFill>
      </fill>
      <border>
        <left/>
        <right/>
        <top/>
        <bottom/>
      </border>
    </dxf>
    <dxf>
      <font>
        <color theme="0"/>
      </font>
      <fill>
        <patternFill patternType="solid">
          <bgColor theme="0"/>
        </patternFill>
      </fill>
      <border>
        <right/>
        <bottom/>
      </border>
    </dxf>
    <dxf>
      <font>
        <color rgb="FFCCFFFF"/>
      </font>
    </dxf>
    <dxf>
      <fill>
        <patternFill>
          <bgColor indexed="10"/>
        </patternFill>
      </fill>
    </dxf>
    <dxf>
      <font>
        <color theme="0"/>
      </font>
      <fill>
        <patternFill>
          <bgColor theme="0"/>
        </patternFill>
      </fill>
      <border>
        <right/>
        <top/>
        <bottom/>
      </border>
    </dxf>
    <dxf>
      <fill>
        <patternFill patternType="solid">
          <fgColor indexed="53"/>
          <bgColor rgb="FFFF0000"/>
        </patternFill>
      </fill>
    </dxf>
    <dxf>
      <fill>
        <patternFill patternType="solid">
          <fgColor indexed="60"/>
          <bgColor indexed="10"/>
        </patternFill>
      </fill>
    </dxf>
    <dxf>
      <fill>
        <patternFill patternType="solid">
          <fgColor indexed="60"/>
          <bgColor indexed="10"/>
        </patternFill>
      </fill>
    </dxf>
    <dxf>
      <font>
        <color rgb="FFFF0000"/>
      </font>
    </dxf>
    <dxf>
      <font>
        <color theme="0"/>
      </font>
    </dxf>
    <dxf>
      <font>
        <color theme="1"/>
      </font>
    </dxf>
    <dxf>
      <font>
        <color theme="1"/>
      </font>
    </dxf>
    <dxf>
      <font>
        <color rgb="FFCC6600"/>
      </font>
    </dxf>
    <dxf>
      <font>
        <color rgb="FFCC6600"/>
      </font>
    </dxf>
    <dxf>
      <font>
        <color rgb="FFCC6600"/>
      </font>
    </dxf>
    <dxf>
      <font>
        <color rgb="FFCC6600"/>
      </font>
    </dxf>
    <dxf>
      <font>
        <color rgb="FFCC6600"/>
      </font>
    </dxf>
    <dxf>
      <font>
        <color rgb="FFCC6600"/>
      </font>
    </dxf>
    <dxf>
      <font>
        <color rgb="FFCC6600"/>
      </font>
    </dxf>
    <dxf>
      <font>
        <color rgb="FFFF0000"/>
      </font>
    </dxf>
    <dxf>
      <font>
        <color rgb="FF808080"/>
      </font>
    </dxf>
    <dxf>
      <font>
        <color rgb="FFFF0000"/>
      </font>
    </dxf>
    <dxf>
      <font>
        <color rgb="FFCC6600"/>
      </font>
    </dxf>
    <dxf>
      <font>
        <color theme="0"/>
      </font>
      <fill>
        <patternFill>
          <bgColor theme="0"/>
        </patternFill>
      </fill>
      <border>
        <left/>
        <right/>
        <bottom/>
      </border>
    </dxf>
    <dxf>
      <font>
        <condense val="0"/>
        <extend val="0"/>
        <color indexed="9"/>
      </font>
      <fill>
        <patternFill patternType="none">
          <bgColor indexed="65"/>
        </patternFill>
      </fill>
      <border>
        <left/>
        <right/>
        <top/>
        <bottom/>
      </border>
    </dxf>
    <dxf>
      <font>
        <color indexed="9"/>
      </font>
      <fill>
        <patternFill>
          <bgColor indexed="9"/>
        </patternFill>
      </fill>
      <border>
        <left/>
        <right/>
        <top/>
        <bottom/>
      </border>
    </dxf>
    <dxf>
      <font>
        <color rgb="FFFF0000"/>
      </font>
    </dxf>
    <dxf>
      <font>
        <color rgb="FFFF0000"/>
      </font>
    </dxf>
    <dxf>
      <font>
        <color rgb="FFFF0000"/>
      </font>
    </dxf>
    <dxf>
      <font>
        <color rgb="FFFF0000"/>
      </font>
    </dxf>
    <dxf>
      <font>
        <color rgb="FFFF0000"/>
      </font>
    </dxf>
    <dxf>
      <font>
        <color rgb="FFFF0000"/>
      </font>
    </dxf>
    <dxf>
      <font>
        <condense val="0"/>
        <extend val="0"/>
        <color indexed="11"/>
      </font>
    </dxf>
    <dxf>
      <font>
        <condense val="0"/>
        <extend val="0"/>
        <color indexed="9"/>
      </font>
      <fill>
        <patternFill patternType="none">
          <bgColor indexed="65"/>
        </patternFill>
      </fill>
      <border>
        <left/>
        <right/>
        <top/>
        <bottom/>
      </border>
    </dxf>
    <dxf>
      <font>
        <color theme="0"/>
      </font>
      <fill>
        <patternFill patternType="none">
          <bgColor indexed="65"/>
        </patternFill>
      </fill>
      <border>
        <left/>
        <right/>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3CAFF"/>
      <rgbColor rgb="00993366"/>
      <rgbColor rgb="00E6E6E6"/>
      <rgbColor rgb="00CCFFFF"/>
      <rgbColor rgb="00660066"/>
      <rgbColor rgb="00FF8080"/>
      <rgbColor rgb="000066CC"/>
      <rgbColor rgb="00CCCCCC"/>
      <rgbColor rgb="00000080"/>
      <rgbColor rgb="00FF00FF"/>
      <rgbColor rgb="00FFFF00"/>
      <rgbColor rgb="0000FFFF"/>
      <rgbColor rgb="00800080"/>
      <rgbColor rgb="00800000"/>
      <rgbColor rgb="00008080"/>
      <rgbColor rgb="000000FF"/>
      <rgbColor rgb="0000CCFF"/>
      <rgbColor rgb="00D9D9D9"/>
      <rgbColor rgb="00CCFFCC"/>
      <rgbColor rgb="00FFFF99"/>
      <rgbColor rgb="0099CCFF"/>
      <rgbColor rgb="00FF99CC"/>
      <rgbColor rgb="00CC99FF"/>
      <rgbColor rgb="00FFCC99"/>
      <rgbColor rgb="003366FF"/>
      <rgbColor rgb="0033CCCC"/>
      <rgbColor rgb="0099CC00"/>
      <rgbColor rgb="00FFD320"/>
      <rgbColor rgb="00FF9900"/>
      <rgbColor rgb="00FF6600"/>
      <rgbColor rgb="00666699"/>
      <rgbColor rgb="00B3B3B3"/>
      <rgbColor rgb="0000458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970566137003713E-2"/>
          <c:y val="6.4690026954178192E-2"/>
          <c:w val="0.84871001627006748"/>
          <c:h val="0.90566037735849303"/>
        </c:manualLayout>
      </c:layout>
      <c:scatterChart>
        <c:scatterStyle val="lineMarker"/>
        <c:varyColors val="0"/>
        <c:ser>
          <c:idx val="0"/>
          <c:order val="0"/>
          <c:tx>
            <c:v>fuselage</c:v>
          </c:tx>
          <c:spPr>
            <a:ln w="25400">
              <a:solidFill>
                <a:srgbClr val="000080"/>
              </a:solidFill>
              <a:prstDash val="solid"/>
            </a:ln>
          </c:spPr>
          <c:marker>
            <c:symbol val="none"/>
          </c:marker>
          <c:xVal>
            <c:numRef>
              <c:f>Stabilito!$D$124:$D$131</c:f>
              <c:numCache>
                <c:formatCode>0</c:formatCode>
                <c:ptCount val="8"/>
                <c:pt idx="0">
                  <c:v>0</c:v>
                </c:pt>
                <c:pt idx="1">
                  <c:v>45</c:v>
                </c:pt>
                <c:pt idx="2">
                  <c:v>45</c:v>
                </c:pt>
                <c:pt idx="3">
                  <c:v>50</c:v>
                </c:pt>
                <c:pt idx="4">
                  <c:v>50</c:v>
                </c:pt>
                <c:pt idx="5">
                  <c:v>50</c:v>
                </c:pt>
                <c:pt idx="6">
                  <c:v>50</c:v>
                </c:pt>
                <c:pt idx="7">
                  <c:v>0</c:v>
                </c:pt>
              </c:numCache>
            </c:numRef>
          </c:xVal>
          <c:yVal>
            <c:numRef>
              <c:f>Stabilito!$C$124:$C$131</c:f>
              <c:numCache>
                <c:formatCode>0</c:formatCode>
                <c:ptCount val="8"/>
                <c:pt idx="0">
                  <c:v>-40</c:v>
                </c:pt>
                <c:pt idx="1">
                  <c:v>-40</c:v>
                </c:pt>
                <c:pt idx="2">
                  <c:v>-40</c:v>
                </c:pt>
                <c:pt idx="3">
                  <c:v>-228</c:v>
                </c:pt>
                <c:pt idx="4">
                  <c:v>-500</c:v>
                </c:pt>
                <c:pt idx="5">
                  <c:v>-550</c:v>
                </c:pt>
                <c:pt idx="6">
                  <c:v>-2195</c:v>
                </c:pt>
                <c:pt idx="7">
                  <c:v>-2195</c:v>
                </c:pt>
              </c:numCache>
            </c:numRef>
          </c:yVal>
          <c:smooth val="0"/>
          <c:extLst>
            <c:ext xmlns:c16="http://schemas.microsoft.com/office/drawing/2014/chart" uri="{C3380CC4-5D6E-409C-BE32-E72D297353CC}">
              <c16:uniqueId val="{00000000-2E5B-4395-A692-7E715780698D}"/>
            </c:ext>
          </c:extLst>
        </c:ser>
        <c:ser>
          <c:idx val="1"/>
          <c:order val="1"/>
          <c:tx>
            <c:v>aileron</c:v>
          </c:tx>
          <c:spPr>
            <a:ln w="25400">
              <a:solidFill>
                <a:srgbClr val="00FF00"/>
              </a:solidFill>
              <a:prstDash val="solid"/>
            </a:ln>
          </c:spPr>
          <c:marker>
            <c:symbol val="none"/>
          </c:marker>
          <c:xVal>
            <c:numRef>
              <c:f>Stabilito!$D$132:$D$136</c:f>
              <c:numCache>
                <c:formatCode>0</c:formatCode>
                <c:ptCount val="5"/>
                <c:pt idx="0">
                  <c:v>50</c:v>
                </c:pt>
                <c:pt idx="1">
                  <c:v>175</c:v>
                </c:pt>
                <c:pt idx="2">
                  <c:v>175</c:v>
                </c:pt>
                <c:pt idx="3">
                  <c:v>50</c:v>
                </c:pt>
                <c:pt idx="4">
                  <c:v>50</c:v>
                </c:pt>
              </c:numCache>
            </c:numRef>
          </c:xVal>
          <c:yVal>
            <c:numRef>
              <c:f>Stabilito!$C$132:$C$136</c:f>
              <c:numCache>
                <c:formatCode>0</c:formatCode>
                <c:ptCount val="5"/>
                <c:pt idx="0">
                  <c:v>-1895</c:v>
                </c:pt>
                <c:pt idx="1">
                  <c:v>-1968</c:v>
                </c:pt>
                <c:pt idx="2">
                  <c:v>-2118</c:v>
                </c:pt>
                <c:pt idx="3">
                  <c:v>-2185</c:v>
                </c:pt>
                <c:pt idx="4">
                  <c:v>-1895</c:v>
                </c:pt>
              </c:numCache>
            </c:numRef>
          </c:yVal>
          <c:smooth val="0"/>
          <c:extLst>
            <c:ext xmlns:c16="http://schemas.microsoft.com/office/drawing/2014/chart" uri="{C3380CC4-5D6E-409C-BE32-E72D297353CC}">
              <c16:uniqueId val="{00000001-2E5B-4395-A692-7E715780698D}"/>
            </c:ext>
          </c:extLst>
        </c:ser>
        <c:ser>
          <c:idx val="2"/>
          <c:order val="2"/>
          <c:tx>
            <c:v>fuselage2</c:v>
          </c:tx>
          <c:spPr>
            <a:ln w="25400">
              <a:solidFill>
                <a:srgbClr val="000080"/>
              </a:solidFill>
              <a:prstDash val="solid"/>
            </a:ln>
          </c:spPr>
          <c:marker>
            <c:symbol val="none"/>
          </c:marker>
          <c:xVal>
            <c:numRef>
              <c:f>Stabilito!$E$124:$E$131</c:f>
              <c:numCache>
                <c:formatCode>0</c:formatCode>
                <c:ptCount val="8"/>
                <c:pt idx="0">
                  <c:v>0</c:v>
                </c:pt>
                <c:pt idx="1">
                  <c:v>-45</c:v>
                </c:pt>
                <c:pt idx="2">
                  <c:v>-45</c:v>
                </c:pt>
                <c:pt idx="3">
                  <c:v>-50</c:v>
                </c:pt>
                <c:pt idx="4">
                  <c:v>-50</c:v>
                </c:pt>
                <c:pt idx="5">
                  <c:v>-50</c:v>
                </c:pt>
                <c:pt idx="6">
                  <c:v>-50</c:v>
                </c:pt>
                <c:pt idx="7">
                  <c:v>0</c:v>
                </c:pt>
              </c:numCache>
            </c:numRef>
          </c:xVal>
          <c:yVal>
            <c:numRef>
              <c:f>Stabilito!$C$124:$C$131</c:f>
              <c:numCache>
                <c:formatCode>0</c:formatCode>
                <c:ptCount val="8"/>
                <c:pt idx="0">
                  <c:v>-40</c:v>
                </c:pt>
                <c:pt idx="1">
                  <c:v>-40</c:v>
                </c:pt>
                <c:pt idx="2">
                  <c:v>-40</c:v>
                </c:pt>
                <c:pt idx="3">
                  <c:v>-228</c:v>
                </c:pt>
                <c:pt idx="4">
                  <c:v>-500</c:v>
                </c:pt>
                <c:pt idx="5">
                  <c:v>-550</c:v>
                </c:pt>
                <c:pt idx="6">
                  <c:v>-2195</c:v>
                </c:pt>
                <c:pt idx="7">
                  <c:v>-2195</c:v>
                </c:pt>
              </c:numCache>
            </c:numRef>
          </c:yVal>
          <c:smooth val="0"/>
          <c:extLst>
            <c:ext xmlns:c16="http://schemas.microsoft.com/office/drawing/2014/chart" uri="{C3380CC4-5D6E-409C-BE32-E72D297353CC}">
              <c16:uniqueId val="{00000002-2E5B-4395-A692-7E715780698D}"/>
            </c:ext>
          </c:extLst>
        </c:ser>
        <c:ser>
          <c:idx val="3"/>
          <c:order val="3"/>
          <c:tx>
            <c:v>aileron2</c:v>
          </c:tx>
          <c:spPr>
            <a:ln w="25400">
              <a:solidFill>
                <a:srgbClr val="00FF00"/>
              </a:solidFill>
              <a:prstDash val="solid"/>
            </a:ln>
          </c:spPr>
          <c:marker>
            <c:symbol val="none"/>
          </c:marker>
          <c:xVal>
            <c:numRef>
              <c:f>Stabilito!$E$132:$E$136</c:f>
              <c:numCache>
                <c:formatCode>0</c:formatCode>
                <c:ptCount val="5"/>
                <c:pt idx="0">
                  <c:v>-50</c:v>
                </c:pt>
                <c:pt idx="1">
                  <c:v>-175</c:v>
                </c:pt>
                <c:pt idx="2">
                  <c:v>-175</c:v>
                </c:pt>
                <c:pt idx="3">
                  <c:v>-50</c:v>
                </c:pt>
                <c:pt idx="4">
                  <c:v>-50</c:v>
                </c:pt>
              </c:numCache>
            </c:numRef>
          </c:xVal>
          <c:yVal>
            <c:numRef>
              <c:f>Stabilito!$C$132:$C$136</c:f>
              <c:numCache>
                <c:formatCode>0</c:formatCode>
                <c:ptCount val="5"/>
                <c:pt idx="0">
                  <c:v>-1895</c:v>
                </c:pt>
                <c:pt idx="1">
                  <c:v>-1968</c:v>
                </c:pt>
                <c:pt idx="2">
                  <c:v>-2118</c:v>
                </c:pt>
                <c:pt idx="3">
                  <c:v>-2185</c:v>
                </c:pt>
                <c:pt idx="4">
                  <c:v>-1895</c:v>
                </c:pt>
              </c:numCache>
            </c:numRef>
          </c:yVal>
          <c:smooth val="0"/>
          <c:extLst>
            <c:ext xmlns:c16="http://schemas.microsoft.com/office/drawing/2014/chart" uri="{C3380CC4-5D6E-409C-BE32-E72D297353CC}">
              <c16:uniqueId val="{00000003-2E5B-4395-A692-7E715780698D}"/>
            </c:ext>
          </c:extLst>
        </c:ser>
        <c:ser>
          <c:idx val="4"/>
          <c:order val="4"/>
          <c:tx>
            <c:strRef>
              <c:f>Stabilito!$B$12</c:f>
              <c:strCache>
                <c:ptCount val="1"/>
                <c:pt idx="0">
                  <c:v>Centre de Masse</c:v>
                </c:pt>
              </c:strCache>
            </c:strRef>
          </c:tx>
          <c:spPr>
            <a:ln w="25400">
              <a:solidFill>
                <a:srgbClr val="0000FF"/>
              </a:solidFill>
              <a:prstDash val="solid"/>
            </a:ln>
          </c:spPr>
          <c:marker>
            <c:symbol val="circle"/>
            <c:size val="5"/>
            <c:spPr>
              <a:solidFill>
                <a:srgbClr val="0000FF"/>
              </a:solidFill>
              <a:ln w="9525">
                <a:noFill/>
              </a:ln>
            </c:spPr>
          </c:marker>
          <c:dLbls>
            <c:dLbl>
              <c:idx val="1"/>
              <c:layout/>
              <c:spPr>
                <a:noFill/>
                <a:ln w="25400">
                  <a:noFill/>
                </a:ln>
              </c:spPr>
              <c:txPr>
                <a:bodyPr/>
                <a:lstStyle/>
                <a:p>
                  <a:pPr>
                    <a:defRPr sz="800" b="0" i="0" u="none" strike="noStrike" baseline="0">
                      <a:solidFill>
                        <a:srgbClr val="0000FF"/>
                      </a:solidFill>
                      <a:latin typeface="Arial"/>
                      <a:ea typeface="Arial"/>
                      <a:cs typeface="Arial"/>
                    </a:defRPr>
                  </a:pPr>
                  <a:endParaRPr lang="fr-FR"/>
                </a:p>
              </c:txPr>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4-2E5B-4395-A692-7E715780698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Stabilito!$D$149:$D$150</c:f>
              <c:numCache>
                <c:formatCode>0</c:formatCode>
                <c:ptCount val="2"/>
                <c:pt idx="0">
                  <c:v>0</c:v>
                </c:pt>
                <c:pt idx="1">
                  <c:v>0</c:v>
                </c:pt>
              </c:numCache>
            </c:numRef>
          </c:xVal>
          <c:yVal>
            <c:numRef>
              <c:f>Stabilito!$C$149:$C$150</c:f>
              <c:numCache>
                <c:formatCode>0</c:formatCode>
                <c:ptCount val="2"/>
                <c:pt idx="0">
                  <c:v>-1320.6702071163038</c:v>
                </c:pt>
                <c:pt idx="1">
                  <c:v>-1240.3617275113338</c:v>
                </c:pt>
              </c:numCache>
            </c:numRef>
          </c:yVal>
          <c:smooth val="0"/>
          <c:extLst>
            <c:ext xmlns:c16="http://schemas.microsoft.com/office/drawing/2014/chart" uri="{C3380CC4-5D6E-409C-BE32-E72D297353CC}">
              <c16:uniqueId val="{00000005-2E5B-4395-A692-7E715780698D}"/>
            </c:ext>
          </c:extLst>
        </c:ser>
        <c:ser>
          <c:idx val="5"/>
          <c:order val="5"/>
          <c:tx>
            <c:strRef>
              <c:f>Stabilito!$F$28</c:f>
              <c:strCache>
                <c:ptCount val="1"/>
                <c:pt idx="0">
                  <c:v>Portance</c:v>
                </c:pt>
              </c:strCache>
            </c:strRef>
          </c:tx>
          <c:spPr>
            <a:ln w="25400">
              <a:solidFill>
                <a:srgbClr val="800000"/>
              </a:solidFill>
              <a:prstDash val="solid"/>
            </a:ln>
          </c:spPr>
          <c:marker>
            <c:symbol val="diamond"/>
            <c:size val="5"/>
            <c:spPr>
              <a:solidFill>
                <a:srgbClr val="800000"/>
              </a:solidFill>
              <a:ln>
                <a:solidFill>
                  <a:srgbClr val="800000"/>
                </a:solidFill>
                <a:prstDash val="solid"/>
              </a:ln>
            </c:spPr>
          </c:marker>
          <c:dLbls>
            <c:dLbl>
              <c:idx val="1"/>
              <c:layout/>
              <c:spPr>
                <a:noFill/>
                <a:ln w="25400">
                  <a:noFill/>
                </a:ln>
              </c:spPr>
              <c:txPr>
                <a:bodyPr/>
                <a:lstStyle/>
                <a:p>
                  <a:pPr>
                    <a:defRPr sz="800" b="0" i="0" u="none" strike="noStrike" baseline="0">
                      <a:solidFill>
                        <a:srgbClr val="800000"/>
                      </a:solidFill>
                      <a:latin typeface="Arial"/>
                      <a:ea typeface="Arial"/>
                      <a:cs typeface="Arial"/>
                    </a:defRPr>
                  </a:pPr>
                  <a:endParaRPr lang="fr-FR"/>
                </a:p>
              </c:txPr>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6-2E5B-4395-A692-7E715780698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Stabilito!$D$151:$D$154</c:f>
              <c:numCache>
                <c:formatCode>0</c:formatCode>
                <c:ptCount val="4"/>
                <c:pt idx="0">
                  <c:v>0</c:v>
                </c:pt>
                <c:pt idx="1">
                  <c:v>121.89317579770717</c:v>
                </c:pt>
                <c:pt idx="2">
                  <c:v>131.09588785996999</c:v>
                </c:pt>
                <c:pt idx="3">
                  <c:v>0</c:v>
                </c:pt>
              </c:numCache>
            </c:numRef>
          </c:xVal>
          <c:yVal>
            <c:numRef>
              <c:f>Stabilito!$C$151:$C$154</c:f>
              <c:numCache>
                <c:formatCode>0</c:formatCode>
                <c:ptCount val="4"/>
                <c:pt idx="0">
                  <c:v>-1550.4006852519308</c:v>
                </c:pt>
                <c:pt idx="1">
                  <c:v>-1550.4006852519308</c:v>
                </c:pt>
                <c:pt idx="2">
                  <c:v>-1580.1750857479801</c:v>
                </c:pt>
                <c:pt idx="3">
                  <c:v>-1580.1750857479801</c:v>
                </c:pt>
              </c:numCache>
            </c:numRef>
          </c:yVal>
          <c:smooth val="0"/>
          <c:extLst>
            <c:ext xmlns:c16="http://schemas.microsoft.com/office/drawing/2014/chart" uri="{C3380CC4-5D6E-409C-BE32-E72D297353CC}">
              <c16:uniqueId val="{00000007-2E5B-4395-A692-7E715780698D}"/>
            </c:ext>
          </c:extLst>
        </c:ser>
        <c:ser>
          <c:idx val="6"/>
          <c:order val="6"/>
          <c:tx>
            <c:v>canard</c:v>
          </c:tx>
          <c:spPr>
            <a:ln w="25400">
              <a:solidFill>
                <a:srgbClr val="008000"/>
              </a:solidFill>
              <a:prstDash val="solid"/>
            </a:ln>
          </c:spPr>
          <c:marker>
            <c:symbol val="none"/>
          </c:marker>
          <c:xVal>
            <c:numRef>
              <c:f>Stabilito!$D$158:$D$162</c:f>
              <c:numCache>
                <c:formatCode>0</c:formatCode>
                <c:ptCount val="5"/>
                <c:pt idx="0">
                  <c:v>50</c:v>
                </c:pt>
                <c:pt idx="1">
                  <c:v>98</c:v>
                </c:pt>
                <c:pt idx="2">
                  <c:v>98</c:v>
                </c:pt>
                <c:pt idx="3">
                  <c:v>50</c:v>
                </c:pt>
                <c:pt idx="4">
                  <c:v>50</c:v>
                </c:pt>
              </c:numCache>
            </c:numRef>
          </c:xVal>
          <c:yVal>
            <c:numRef>
              <c:f>Stabilito!$C$158:$C$162</c:f>
              <c:numCache>
                <c:formatCode>0</c:formatCode>
                <c:ptCount val="5"/>
                <c:pt idx="0">
                  <c:v>-450</c:v>
                </c:pt>
                <c:pt idx="1">
                  <c:v>-450</c:v>
                </c:pt>
                <c:pt idx="2">
                  <c:v>-600</c:v>
                </c:pt>
                <c:pt idx="3">
                  <c:v>-600</c:v>
                </c:pt>
                <c:pt idx="4">
                  <c:v>-450</c:v>
                </c:pt>
              </c:numCache>
            </c:numRef>
          </c:yVal>
          <c:smooth val="0"/>
          <c:extLst>
            <c:ext xmlns:c16="http://schemas.microsoft.com/office/drawing/2014/chart" uri="{C3380CC4-5D6E-409C-BE32-E72D297353CC}">
              <c16:uniqueId val="{00000008-2E5B-4395-A692-7E715780698D}"/>
            </c:ext>
          </c:extLst>
        </c:ser>
        <c:ser>
          <c:idx val="7"/>
          <c:order val="7"/>
          <c:tx>
            <c:v>canard2</c:v>
          </c:tx>
          <c:spPr>
            <a:ln w="25400">
              <a:solidFill>
                <a:srgbClr val="008000"/>
              </a:solidFill>
              <a:prstDash val="solid"/>
            </a:ln>
          </c:spPr>
          <c:marker>
            <c:symbol val="none"/>
          </c:marker>
          <c:xVal>
            <c:numRef>
              <c:f>Stabilito!$E$158:$E$162</c:f>
              <c:numCache>
                <c:formatCode>0</c:formatCode>
                <c:ptCount val="5"/>
                <c:pt idx="0">
                  <c:v>-50</c:v>
                </c:pt>
                <c:pt idx="1">
                  <c:v>-98</c:v>
                </c:pt>
                <c:pt idx="2">
                  <c:v>-98</c:v>
                </c:pt>
                <c:pt idx="3">
                  <c:v>-50</c:v>
                </c:pt>
                <c:pt idx="4">
                  <c:v>-50</c:v>
                </c:pt>
              </c:numCache>
            </c:numRef>
          </c:xVal>
          <c:yVal>
            <c:numRef>
              <c:f>Stabilito!$C$158:$C$162</c:f>
              <c:numCache>
                <c:formatCode>0</c:formatCode>
                <c:ptCount val="5"/>
                <c:pt idx="0">
                  <c:v>-450</c:v>
                </c:pt>
                <c:pt idx="1">
                  <c:v>-450</c:v>
                </c:pt>
                <c:pt idx="2">
                  <c:v>-600</c:v>
                </c:pt>
                <c:pt idx="3">
                  <c:v>-600</c:v>
                </c:pt>
                <c:pt idx="4">
                  <c:v>-450</c:v>
                </c:pt>
              </c:numCache>
            </c:numRef>
          </c:yVal>
          <c:smooth val="0"/>
          <c:extLst>
            <c:ext xmlns:c16="http://schemas.microsoft.com/office/drawing/2014/chart" uri="{C3380CC4-5D6E-409C-BE32-E72D297353CC}">
              <c16:uniqueId val="{00000009-2E5B-4395-A692-7E715780698D}"/>
            </c:ext>
          </c:extLst>
        </c:ser>
        <c:ser>
          <c:idx val="8"/>
          <c:order val="8"/>
          <c:tx>
            <c:v>masquage</c:v>
          </c:tx>
          <c:spPr>
            <a:ln w="25400">
              <a:solidFill>
                <a:srgbClr val="FF0000"/>
              </a:solidFill>
              <a:prstDash val="sysDash"/>
            </a:ln>
          </c:spPr>
          <c:marker>
            <c:symbol val="none"/>
          </c:marker>
          <c:xVal>
            <c:numRef>
              <c:f>Stabilito!$D$163:$D$167</c:f>
              <c:numCache>
                <c:formatCode>0</c:formatCode>
                <c:ptCount val="5"/>
                <c:pt idx="0">
                  <c:v>50</c:v>
                </c:pt>
                <c:pt idx="1">
                  <c:v>98</c:v>
                </c:pt>
                <c:pt idx="2">
                  <c:v>98</c:v>
                </c:pt>
                <c:pt idx="3">
                  <c:v>50</c:v>
                </c:pt>
                <c:pt idx="4">
                  <c:v>50</c:v>
                </c:pt>
              </c:numCache>
            </c:numRef>
          </c:xVal>
          <c:yVal>
            <c:numRef>
              <c:f>Stabilito!$C$163:$C$167</c:f>
              <c:numCache>
                <c:formatCode>0</c:formatCode>
                <c:ptCount val="5"/>
                <c:pt idx="0">
                  <c:v>-1895</c:v>
                </c:pt>
                <c:pt idx="1">
                  <c:v>-1923.0319999999999</c:v>
                </c:pt>
                <c:pt idx="2">
                  <c:v>-2159.2719999999999</c:v>
                </c:pt>
                <c:pt idx="3">
                  <c:v>-2185</c:v>
                </c:pt>
                <c:pt idx="4">
                  <c:v>-1895</c:v>
                </c:pt>
              </c:numCache>
            </c:numRef>
          </c:yVal>
          <c:smooth val="0"/>
          <c:extLst>
            <c:ext xmlns:c16="http://schemas.microsoft.com/office/drawing/2014/chart" uri="{C3380CC4-5D6E-409C-BE32-E72D297353CC}">
              <c16:uniqueId val="{0000000A-2E5B-4395-A692-7E715780698D}"/>
            </c:ext>
          </c:extLst>
        </c:ser>
        <c:ser>
          <c:idx val="9"/>
          <c:order val="9"/>
          <c:tx>
            <c:v>masquage2</c:v>
          </c:tx>
          <c:spPr>
            <a:ln w="25400">
              <a:solidFill>
                <a:srgbClr val="FF0000"/>
              </a:solidFill>
              <a:prstDash val="sysDash"/>
            </a:ln>
          </c:spPr>
          <c:marker>
            <c:symbol val="none"/>
          </c:marker>
          <c:xVal>
            <c:numRef>
              <c:f>Stabilito!$E$163:$E$167</c:f>
              <c:numCache>
                <c:formatCode>0</c:formatCode>
                <c:ptCount val="5"/>
                <c:pt idx="0">
                  <c:v>-50</c:v>
                </c:pt>
                <c:pt idx="1">
                  <c:v>-98</c:v>
                </c:pt>
                <c:pt idx="2">
                  <c:v>-98</c:v>
                </c:pt>
                <c:pt idx="3">
                  <c:v>-50</c:v>
                </c:pt>
                <c:pt idx="4">
                  <c:v>-50</c:v>
                </c:pt>
              </c:numCache>
            </c:numRef>
          </c:xVal>
          <c:yVal>
            <c:numRef>
              <c:f>Stabilito!$C$163:$C$167</c:f>
              <c:numCache>
                <c:formatCode>0</c:formatCode>
                <c:ptCount val="5"/>
                <c:pt idx="0">
                  <c:v>-1895</c:v>
                </c:pt>
                <c:pt idx="1">
                  <c:v>-1923.0319999999999</c:v>
                </c:pt>
                <c:pt idx="2">
                  <c:v>-2159.2719999999999</c:v>
                </c:pt>
                <c:pt idx="3">
                  <c:v>-2185</c:v>
                </c:pt>
                <c:pt idx="4">
                  <c:v>-1895</c:v>
                </c:pt>
              </c:numCache>
            </c:numRef>
          </c:yVal>
          <c:smooth val="0"/>
          <c:extLst>
            <c:ext xmlns:c16="http://schemas.microsoft.com/office/drawing/2014/chart" uri="{C3380CC4-5D6E-409C-BE32-E72D297353CC}">
              <c16:uniqueId val="{0000000B-2E5B-4395-A692-7E715780698D}"/>
            </c:ext>
          </c:extLst>
        </c:ser>
        <c:ser>
          <c:idx val="10"/>
          <c:order val="10"/>
          <c:tx>
            <c:v>cadre</c:v>
          </c:tx>
          <c:spPr>
            <a:ln w="12700">
              <a:solidFill>
                <a:srgbClr val="FFFFFF"/>
              </a:solidFill>
              <a:prstDash val="solid"/>
            </a:ln>
          </c:spPr>
          <c:marker>
            <c:symbol val="none"/>
          </c:marker>
          <c:xVal>
            <c:numRef>
              <c:f>Stabilito!$D$168:$D$169</c:f>
              <c:numCache>
                <c:formatCode>0</c:formatCode>
                <c:ptCount val="2"/>
                <c:pt idx="0">
                  <c:v>731.66666666666663</c:v>
                </c:pt>
                <c:pt idx="1">
                  <c:v>-731.66666666666663</c:v>
                </c:pt>
              </c:numCache>
            </c:numRef>
          </c:xVal>
          <c:yVal>
            <c:numRef>
              <c:f>Stabilito!$C$168:$C$169</c:f>
              <c:numCache>
                <c:formatCode>0</c:formatCode>
                <c:ptCount val="2"/>
                <c:pt idx="0">
                  <c:v>-2216.9499999999998</c:v>
                </c:pt>
                <c:pt idx="1">
                  <c:v>-2216.9499999999998</c:v>
                </c:pt>
              </c:numCache>
            </c:numRef>
          </c:yVal>
          <c:smooth val="0"/>
          <c:extLst>
            <c:ext xmlns:c16="http://schemas.microsoft.com/office/drawing/2014/chart" uri="{C3380CC4-5D6E-409C-BE32-E72D297353CC}">
              <c16:uniqueId val="{0000000C-2E5B-4395-A692-7E715780698D}"/>
            </c:ext>
          </c:extLst>
        </c:ser>
        <c:ser>
          <c:idx val="11"/>
          <c:order val="11"/>
          <c:tx>
            <c:v>Propu</c:v>
          </c:tx>
          <c:spPr>
            <a:ln w="25400">
              <a:solidFill>
                <a:srgbClr val="FF00FF"/>
              </a:solidFill>
              <a:prstDash val="solid"/>
            </a:ln>
          </c:spPr>
          <c:marker>
            <c:symbol val="none"/>
          </c:marker>
          <c:xVal>
            <c:numRef>
              <c:f>Stabilito!$D$170:$D$174</c:f>
              <c:numCache>
                <c:formatCode>0</c:formatCode>
                <c:ptCount val="5"/>
                <c:pt idx="0">
                  <c:v>-27</c:v>
                </c:pt>
                <c:pt idx="1">
                  <c:v>27</c:v>
                </c:pt>
                <c:pt idx="2">
                  <c:v>27</c:v>
                </c:pt>
                <c:pt idx="3">
                  <c:v>-27</c:v>
                </c:pt>
                <c:pt idx="4">
                  <c:v>-27</c:v>
                </c:pt>
              </c:numCache>
            </c:numRef>
          </c:xVal>
          <c:yVal>
            <c:numRef>
              <c:f>Stabilito!$C$170:$C$174</c:f>
              <c:numCache>
                <c:formatCode>0</c:formatCode>
                <c:ptCount val="5"/>
                <c:pt idx="0">
                  <c:v>-1716</c:v>
                </c:pt>
                <c:pt idx="1">
                  <c:v>-1716</c:v>
                </c:pt>
                <c:pt idx="2">
                  <c:v>-2204</c:v>
                </c:pt>
                <c:pt idx="3">
                  <c:v>-2204</c:v>
                </c:pt>
                <c:pt idx="4">
                  <c:v>-1716</c:v>
                </c:pt>
              </c:numCache>
            </c:numRef>
          </c:yVal>
          <c:smooth val="0"/>
          <c:extLst>
            <c:ext xmlns:c16="http://schemas.microsoft.com/office/drawing/2014/chart" uri="{C3380CC4-5D6E-409C-BE32-E72D297353CC}">
              <c16:uniqueId val="{0000000D-2E5B-4395-A692-7E715780698D}"/>
            </c:ext>
          </c:extLst>
        </c:ser>
        <c:ser>
          <c:idx val="12"/>
          <c:order val="12"/>
          <c:tx>
            <c:v>Cone</c:v>
          </c:tx>
          <c:spPr>
            <a:ln w="25400">
              <a:solidFill>
                <a:srgbClr val="800080"/>
              </a:solidFill>
              <a:prstDash val="solid"/>
            </a:ln>
          </c:spPr>
          <c:marker>
            <c:symbol val="none"/>
          </c:marker>
          <c:xVal>
            <c:numRef>
              <c:f>Stabilito!$D$175:$D$180</c:f>
              <c:numCache>
                <c:formatCode>0</c:formatCode>
                <c:ptCount val="6"/>
                <c:pt idx="0">
                  <c:v>0</c:v>
                </c:pt>
                <c:pt idx="1">
                  <c:v>22.5</c:v>
                </c:pt>
                <c:pt idx="2">
                  <c:v>31.499999999999996</c:v>
                </c:pt>
                <c:pt idx="3">
                  <c:v>39.6</c:v>
                </c:pt>
                <c:pt idx="4">
                  <c:v>42.75</c:v>
                </c:pt>
                <c:pt idx="5">
                  <c:v>45</c:v>
                </c:pt>
              </c:numCache>
            </c:numRef>
          </c:xVal>
          <c:yVal>
            <c:numRef>
              <c:f>Stabilito!$C$175:$C$180</c:f>
              <c:numCache>
                <c:formatCode>0</c:formatCode>
                <c:ptCount val="6"/>
                <c:pt idx="0">
                  <c:v>0</c:v>
                </c:pt>
                <c:pt idx="1">
                  <c:v>-4</c:v>
                </c:pt>
                <c:pt idx="2">
                  <c:v>-10</c:v>
                </c:pt>
                <c:pt idx="3">
                  <c:v>-20</c:v>
                </c:pt>
                <c:pt idx="4">
                  <c:v>-30</c:v>
                </c:pt>
                <c:pt idx="5">
                  <c:v>-40</c:v>
                </c:pt>
              </c:numCache>
            </c:numRef>
          </c:yVal>
          <c:smooth val="0"/>
          <c:extLst>
            <c:ext xmlns:c16="http://schemas.microsoft.com/office/drawing/2014/chart" uri="{C3380CC4-5D6E-409C-BE32-E72D297353CC}">
              <c16:uniqueId val="{0000000E-2E5B-4395-A692-7E715780698D}"/>
            </c:ext>
          </c:extLst>
        </c:ser>
        <c:ser>
          <c:idx val="13"/>
          <c:order val="13"/>
          <c:tx>
            <c:v>Cone1</c:v>
          </c:tx>
          <c:spPr>
            <a:ln w="25400">
              <a:solidFill>
                <a:srgbClr val="800080"/>
              </a:solidFill>
              <a:prstDash val="solid"/>
            </a:ln>
          </c:spPr>
          <c:marker>
            <c:symbol val="none"/>
          </c:marker>
          <c:xVal>
            <c:numRef>
              <c:f>Stabilito!$E$175:$E$180</c:f>
              <c:numCache>
                <c:formatCode>0</c:formatCode>
                <c:ptCount val="6"/>
                <c:pt idx="0">
                  <c:v>0</c:v>
                </c:pt>
                <c:pt idx="1">
                  <c:v>-22.5</c:v>
                </c:pt>
                <c:pt idx="2">
                  <c:v>-31.499999999999996</c:v>
                </c:pt>
                <c:pt idx="3">
                  <c:v>-39.6</c:v>
                </c:pt>
                <c:pt idx="4">
                  <c:v>-42.75</c:v>
                </c:pt>
                <c:pt idx="5">
                  <c:v>-45</c:v>
                </c:pt>
              </c:numCache>
            </c:numRef>
          </c:xVal>
          <c:yVal>
            <c:numRef>
              <c:f>Stabilito!$C$175:$C$180</c:f>
              <c:numCache>
                <c:formatCode>0</c:formatCode>
                <c:ptCount val="6"/>
                <c:pt idx="0">
                  <c:v>0</c:v>
                </c:pt>
                <c:pt idx="1">
                  <c:v>-4</c:v>
                </c:pt>
                <c:pt idx="2">
                  <c:v>-10</c:v>
                </c:pt>
                <c:pt idx="3">
                  <c:v>-20</c:v>
                </c:pt>
                <c:pt idx="4">
                  <c:v>-30</c:v>
                </c:pt>
                <c:pt idx="5">
                  <c:v>-40</c:v>
                </c:pt>
              </c:numCache>
            </c:numRef>
          </c:yVal>
          <c:smooth val="0"/>
          <c:extLst>
            <c:ext xmlns:c16="http://schemas.microsoft.com/office/drawing/2014/chart" uri="{C3380CC4-5D6E-409C-BE32-E72D297353CC}">
              <c16:uniqueId val="{0000000F-2E5B-4395-A692-7E715780698D}"/>
            </c:ext>
          </c:extLst>
        </c:ser>
        <c:ser>
          <c:idx val="14"/>
          <c:order val="14"/>
          <c:tx>
            <c:strRef>
              <c:f>Stabilito!$B$137</c:f>
              <c:strCache>
                <c:ptCount val="1"/>
                <c:pt idx="0">
                  <c:v>Envergure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b"/>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0-2E5B-4395-A692-7E715780698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Stabilito!$D$137:$D$139</c:f>
              <c:numCache>
                <c:formatCode>0</c:formatCode>
                <c:ptCount val="3"/>
                <c:pt idx="0">
                  <c:v>-175</c:v>
                </c:pt>
                <c:pt idx="1">
                  <c:v>-112.5</c:v>
                </c:pt>
                <c:pt idx="2">
                  <c:v>-50</c:v>
                </c:pt>
              </c:numCache>
            </c:numRef>
          </c:xVal>
          <c:yVal>
            <c:numRef>
              <c:f>Stabilito!$C$137:$C$139</c:f>
              <c:numCache>
                <c:formatCode>0</c:formatCode>
                <c:ptCount val="3"/>
                <c:pt idx="0">
                  <c:v>-2258.1666666666665</c:v>
                </c:pt>
                <c:pt idx="1">
                  <c:v>-2258.1666666666665</c:v>
                </c:pt>
                <c:pt idx="2">
                  <c:v>-2258.1666666666665</c:v>
                </c:pt>
              </c:numCache>
            </c:numRef>
          </c:yVal>
          <c:smooth val="0"/>
          <c:extLst>
            <c:ext xmlns:c16="http://schemas.microsoft.com/office/drawing/2014/chart" uri="{C3380CC4-5D6E-409C-BE32-E72D297353CC}">
              <c16:uniqueId val="{00000011-2E5B-4395-A692-7E715780698D}"/>
            </c:ext>
          </c:extLst>
        </c:ser>
        <c:ser>
          <c:idx val="15"/>
          <c:order val="15"/>
          <c:tx>
            <c:strRef>
              <c:f>Stabilito!$B$143</c:f>
              <c:strCache>
                <c:ptCount val="1"/>
                <c:pt idx="0">
                  <c:v>Flèche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2-2E5B-4395-A692-7E715780698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Stabilito!$D$143:$D$145</c:f>
              <c:numCache>
                <c:formatCode>0</c:formatCode>
                <c:ptCount val="3"/>
                <c:pt idx="0">
                  <c:v>-248.16666666666669</c:v>
                </c:pt>
                <c:pt idx="1">
                  <c:v>-248.16666666666669</c:v>
                </c:pt>
                <c:pt idx="2">
                  <c:v>-248.16666666666669</c:v>
                </c:pt>
              </c:numCache>
            </c:numRef>
          </c:xVal>
          <c:yVal>
            <c:numRef>
              <c:f>Stabilito!$C$143:$C$145</c:f>
              <c:numCache>
                <c:formatCode>0</c:formatCode>
                <c:ptCount val="3"/>
                <c:pt idx="0">
                  <c:v>-1895</c:v>
                </c:pt>
                <c:pt idx="1">
                  <c:v>-1931.5</c:v>
                </c:pt>
                <c:pt idx="2">
                  <c:v>-1968</c:v>
                </c:pt>
              </c:numCache>
            </c:numRef>
          </c:yVal>
          <c:smooth val="0"/>
          <c:extLst>
            <c:ext xmlns:c16="http://schemas.microsoft.com/office/drawing/2014/chart" uri="{C3380CC4-5D6E-409C-BE32-E72D297353CC}">
              <c16:uniqueId val="{00000013-2E5B-4395-A692-7E715780698D}"/>
            </c:ext>
          </c:extLst>
        </c:ser>
        <c:ser>
          <c:idx val="16"/>
          <c:order val="16"/>
          <c:tx>
            <c:strRef>
              <c:f>Stabilito!$B$146</c:f>
              <c:strCache>
                <c:ptCount val="1"/>
                <c:pt idx="0">
                  <c:v>Saumon</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4-2E5B-4395-A692-7E715780698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Stabilito!$D$146:$D$148</c:f>
              <c:numCache>
                <c:formatCode>0</c:formatCode>
                <c:ptCount val="3"/>
                <c:pt idx="0">
                  <c:v>-284.75</c:v>
                </c:pt>
                <c:pt idx="1">
                  <c:v>-284.75</c:v>
                </c:pt>
                <c:pt idx="2">
                  <c:v>-284.75</c:v>
                </c:pt>
              </c:numCache>
            </c:numRef>
          </c:xVal>
          <c:yVal>
            <c:numRef>
              <c:f>Stabilito!$C$146:$C$148</c:f>
              <c:numCache>
                <c:formatCode>0</c:formatCode>
                <c:ptCount val="3"/>
                <c:pt idx="0">
                  <c:v>-1968</c:v>
                </c:pt>
                <c:pt idx="1">
                  <c:v>-2043</c:v>
                </c:pt>
                <c:pt idx="2">
                  <c:v>-2118</c:v>
                </c:pt>
              </c:numCache>
            </c:numRef>
          </c:yVal>
          <c:smooth val="0"/>
          <c:extLst>
            <c:ext xmlns:c16="http://schemas.microsoft.com/office/drawing/2014/chart" uri="{C3380CC4-5D6E-409C-BE32-E72D297353CC}">
              <c16:uniqueId val="{00000015-2E5B-4395-A692-7E715780698D}"/>
            </c:ext>
          </c:extLst>
        </c:ser>
        <c:ser>
          <c:idx val="17"/>
          <c:order val="17"/>
          <c:tx>
            <c:strRef>
              <c:f>Stabilito!$B$140</c:f>
              <c:strCache>
                <c:ptCount val="1"/>
                <c:pt idx="0">
                  <c:v>Emplanture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r"/>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6-2E5B-4395-A692-7E715780698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Stabilito!$D$140:$D$142</c:f>
              <c:numCache>
                <c:formatCode>0</c:formatCode>
                <c:ptCount val="3"/>
                <c:pt idx="0">
                  <c:v>284.75</c:v>
                </c:pt>
                <c:pt idx="1">
                  <c:v>284.75</c:v>
                </c:pt>
                <c:pt idx="2">
                  <c:v>284.75</c:v>
                </c:pt>
              </c:numCache>
            </c:numRef>
          </c:xVal>
          <c:yVal>
            <c:numRef>
              <c:f>Stabilito!$C$140:$C$142</c:f>
              <c:numCache>
                <c:formatCode>0</c:formatCode>
                <c:ptCount val="3"/>
                <c:pt idx="0">
                  <c:v>-1895</c:v>
                </c:pt>
                <c:pt idx="1">
                  <c:v>-2040</c:v>
                </c:pt>
                <c:pt idx="2">
                  <c:v>-2185</c:v>
                </c:pt>
              </c:numCache>
            </c:numRef>
          </c:yVal>
          <c:smooth val="0"/>
          <c:extLst>
            <c:ext xmlns:c16="http://schemas.microsoft.com/office/drawing/2014/chart" uri="{C3380CC4-5D6E-409C-BE32-E72D297353CC}">
              <c16:uniqueId val="{00000017-2E5B-4395-A692-7E715780698D}"/>
            </c:ext>
          </c:extLst>
        </c:ser>
        <c:ser>
          <c:idx val="18"/>
          <c:order val="18"/>
          <c:tx>
            <c:strRef>
              <c:f>Stabilito!$B$155</c:f>
              <c:strCache>
                <c:ptCount val="1"/>
                <c:pt idx="0">
                  <c:v>Marge Statique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8-2E5B-4395-A692-7E715780698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Stabilito!$D$155:$D$157</c:f>
              <c:numCache>
                <c:formatCode>0</c:formatCode>
                <c:ptCount val="3"/>
                <c:pt idx="0">
                  <c:v>-284.75</c:v>
                </c:pt>
                <c:pt idx="1">
                  <c:v>-284.75</c:v>
                </c:pt>
                <c:pt idx="2">
                  <c:v>-284.75</c:v>
                </c:pt>
              </c:numCache>
            </c:numRef>
          </c:xVal>
          <c:yVal>
            <c:numRef>
              <c:f>Stabilito!$C$155:$C$157</c:f>
              <c:numCache>
                <c:formatCode>0</c:formatCode>
                <c:ptCount val="3"/>
                <c:pt idx="0">
                  <c:v>-1280.5159673138187</c:v>
                </c:pt>
                <c:pt idx="1">
                  <c:v>-1415.4583262828746</c:v>
                </c:pt>
                <c:pt idx="2">
                  <c:v>-1550.4006852519308</c:v>
                </c:pt>
              </c:numCache>
            </c:numRef>
          </c:yVal>
          <c:smooth val="0"/>
          <c:extLst>
            <c:ext xmlns:c16="http://schemas.microsoft.com/office/drawing/2014/chart" uri="{C3380CC4-5D6E-409C-BE32-E72D297353CC}">
              <c16:uniqueId val="{00000019-2E5B-4395-A692-7E715780698D}"/>
            </c:ext>
          </c:extLst>
        </c:ser>
        <c:dLbls>
          <c:showLegendKey val="0"/>
          <c:showVal val="0"/>
          <c:showCatName val="0"/>
          <c:showSerName val="0"/>
          <c:showPercent val="0"/>
          <c:showBubbleSize val="0"/>
        </c:dLbls>
        <c:axId val="148707200"/>
        <c:axId val="148708736"/>
      </c:scatterChart>
      <c:valAx>
        <c:axId val="148707200"/>
        <c:scaling>
          <c:orientation val="minMax"/>
        </c:scaling>
        <c:delete val="0"/>
        <c:axPos val="t"/>
        <c:numFmt formatCode="0"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fr-FR"/>
          </a:p>
        </c:txPr>
        <c:crossAx val="148708736"/>
        <c:crosses val="max"/>
        <c:crossBetween val="midCat"/>
      </c:valAx>
      <c:valAx>
        <c:axId val="148708736"/>
        <c:scaling>
          <c:orientation val="minMax"/>
        </c:scaling>
        <c:delete val="0"/>
        <c:axPos val="r"/>
        <c:numFmt formatCode="0"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fr-FR"/>
          </a:p>
        </c:txPr>
        <c:crossAx val="148707200"/>
        <c:crosses val="max"/>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95" footer="0.4921259845000009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Stabilito!$B$117</c:f>
          <c:strCache>
            <c:ptCount val="1"/>
            <c:pt idx="0">
              <c:v>Diagramme des critères de stabilité</c:v>
            </c:pt>
          </c:strCache>
        </c:strRef>
      </c:tx>
      <c:layout>
        <c:manualLayout>
          <c:xMode val="edge"/>
          <c:yMode val="edge"/>
          <c:x val="0.19620910443519407"/>
          <c:y val="8.0214173228346466E-2"/>
        </c:manualLayout>
      </c:layout>
      <c:overlay val="0"/>
      <c:spPr>
        <a:solidFill>
          <a:srgbClr val="FFFFFF"/>
        </a:solidFill>
        <a:ln w="25400">
          <a:noFill/>
        </a:ln>
      </c:spPr>
      <c:txPr>
        <a:bodyPr/>
        <a:lstStyle/>
        <a:p>
          <a:pPr>
            <a:defRPr sz="1000" b="0" i="0" u="none" strike="noStrike" baseline="0">
              <a:solidFill>
                <a:srgbClr val="000000"/>
              </a:solidFill>
              <a:latin typeface="Calibri"/>
              <a:ea typeface="Calibri"/>
              <a:cs typeface="Calibri"/>
            </a:defRPr>
          </a:pPr>
          <a:endParaRPr lang="fr-FR"/>
        </a:p>
      </c:txPr>
    </c:title>
    <c:autoTitleDeleted val="0"/>
    <c:plotArea>
      <c:layout>
        <c:manualLayout>
          <c:layoutTarget val="inner"/>
          <c:xMode val="edge"/>
          <c:yMode val="edge"/>
          <c:x val="4.5092838196286504E-2"/>
          <c:y val="5.8823683008029475E-2"/>
          <c:w val="0.93899204244031864"/>
          <c:h val="0.82887916965859743"/>
        </c:manualLayout>
      </c:layout>
      <c:scatterChart>
        <c:scatterStyle val="smoothMarker"/>
        <c:varyColors val="0"/>
        <c:ser>
          <c:idx val="0"/>
          <c:order val="0"/>
          <c:tx>
            <c:v>Cna min</c:v>
          </c:tx>
          <c:spPr>
            <a:ln w="12700">
              <a:solidFill>
                <a:srgbClr val="FF0000"/>
              </a:solidFill>
              <a:prstDash val="solid"/>
            </a:ln>
          </c:spPr>
          <c:marker>
            <c:symbol val="none"/>
          </c:marker>
          <c:xVal>
            <c:numRef>
              <c:f>Stabilito!$B$182:$B$183</c:f>
              <c:numCache>
                <c:formatCode>General</c:formatCode>
                <c:ptCount val="2"/>
                <c:pt idx="0">
                  <c:v>0</c:v>
                </c:pt>
                <c:pt idx="1">
                  <c:v>7</c:v>
                </c:pt>
              </c:numCache>
            </c:numRef>
          </c:xVal>
          <c:yVal>
            <c:numRef>
              <c:f>Stabilito!$C$182:$C$183</c:f>
              <c:numCache>
                <c:formatCode>General</c:formatCode>
                <c:ptCount val="2"/>
                <c:pt idx="0">
                  <c:v>15</c:v>
                </c:pt>
                <c:pt idx="1">
                  <c:v>15</c:v>
                </c:pt>
              </c:numCache>
            </c:numRef>
          </c:yVal>
          <c:smooth val="1"/>
          <c:extLst>
            <c:ext xmlns:c16="http://schemas.microsoft.com/office/drawing/2014/chart" uri="{C3380CC4-5D6E-409C-BE32-E72D297353CC}">
              <c16:uniqueId val="{00000000-983C-4FFF-A70C-8D208637525D}"/>
            </c:ext>
          </c:extLst>
        </c:ser>
        <c:ser>
          <c:idx val="1"/>
          <c:order val="1"/>
          <c:tx>
            <c:v>Cna max</c:v>
          </c:tx>
          <c:spPr>
            <a:ln w="12700">
              <a:solidFill>
                <a:srgbClr val="FF0000"/>
              </a:solidFill>
              <a:prstDash val="solid"/>
            </a:ln>
          </c:spPr>
          <c:marker>
            <c:symbol val="none"/>
          </c:marker>
          <c:xVal>
            <c:numRef>
              <c:f>Stabilito!$B$184:$B$185</c:f>
              <c:numCache>
                <c:formatCode>General</c:formatCode>
                <c:ptCount val="2"/>
                <c:pt idx="0">
                  <c:v>0</c:v>
                </c:pt>
                <c:pt idx="1">
                  <c:v>7</c:v>
                </c:pt>
              </c:numCache>
            </c:numRef>
          </c:xVal>
          <c:yVal>
            <c:numRef>
              <c:f>Stabilito!$C$184:$C$185</c:f>
              <c:numCache>
                <c:formatCode>General</c:formatCode>
                <c:ptCount val="2"/>
                <c:pt idx="0">
                  <c:v>40</c:v>
                </c:pt>
                <c:pt idx="1">
                  <c:v>40</c:v>
                </c:pt>
              </c:numCache>
            </c:numRef>
          </c:yVal>
          <c:smooth val="1"/>
          <c:extLst>
            <c:ext xmlns:c16="http://schemas.microsoft.com/office/drawing/2014/chart" uri="{C3380CC4-5D6E-409C-BE32-E72D297353CC}">
              <c16:uniqueId val="{00000001-983C-4FFF-A70C-8D208637525D}"/>
            </c:ext>
          </c:extLst>
        </c:ser>
        <c:ser>
          <c:idx val="2"/>
          <c:order val="2"/>
          <c:tx>
            <c:v>MS min</c:v>
          </c:tx>
          <c:spPr>
            <a:ln w="12700">
              <a:solidFill>
                <a:srgbClr val="FF0000"/>
              </a:solidFill>
              <a:prstDash val="solid"/>
            </a:ln>
          </c:spPr>
          <c:marker>
            <c:symbol val="none"/>
          </c:marker>
          <c:xVal>
            <c:numRef>
              <c:f>Stabilito!$B$186:$B$187</c:f>
              <c:numCache>
                <c:formatCode>General</c:formatCode>
                <c:ptCount val="2"/>
                <c:pt idx="0">
                  <c:v>2</c:v>
                </c:pt>
                <c:pt idx="1">
                  <c:v>2</c:v>
                </c:pt>
              </c:numCache>
            </c:numRef>
          </c:xVal>
          <c:yVal>
            <c:numRef>
              <c:f>Stabilito!$C$186:$C$187</c:f>
              <c:numCache>
                <c:formatCode>General</c:formatCode>
                <c:ptCount val="2"/>
                <c:pt idx="0">
                  <c:v>0</c:v>
                </c:pt>
                <c:pt idx="1">
                  <c:v>55</c:v>
                </c:pt>
              </c:numCache>
            </c:numRef>
          </c:yVal>
          <c:smooth val="1"/>
          <c:extLst>
            <c:ext xmlns:c16="http://schemas.microsoft.com/office/drawing/2014/chart" uri="{C3380CC4-5D6E-409C-BE32-E72D297353CC}">
              <c16:uniqueId val="{00000002-983C-4FFF-A70C-8D208637525D}"/>
            </c:ext>
          </c:extLst>
        </c:ser>
        <c:ser>
          <c:idx val="3"/>
          <c:order val="3"/>
          <c:tx>
            <c:v>MS max</c:v>
          </c:tx>
          <c:spPr>
            <a:ln w="12700">
              <a:solidFill>
                <a:srgbClr val="FF0000"/>
              </a:solidFill>
              <a:prstDash val="solid"/>
            </a:ln>
          </c:spPr>
          <c:marker>
            <c:symbol val="none"/>
          </c:marker>
          <c:xVal>
            <c:numRef>
              <c:f>Stabilito!$B$188:$B$189</c:f>
              <c:numCache>
                <c:formatCode>General</c:formatCode>
                <c:ptCount val="2"/>
                <c:pt idx="0">
                  <c:v>6</c:v>
                </c:pt>
                <c:pt idx="1">
                  <c:v>6</c:v>
                </c:pt>
              </c:numCache>
            </c:numRef>
          </c:xVal>
          <c:yVal>
            <c:numRef>
              <c:f>Stabilito!$C$188:$C$189</c:f>
              <c:numCache>
                <c:formatCode>General</c:formatCode>
                <c:ptCount val="2"/>
                <c:pt idx="0">
                  <c:v>0</c:v>
                </c:pt>
                <c:pt idx="1">
                  <c:v>55</c:v>
                </c:pt>
              </c:numCache>
            </c:numRef>
          </c:yVal>
          <c:smooth val="1"/>
          <c:extLst>
            <c:ext xmlns:c16="http://schemas.microsoft.com/office/drawing/2014/chart" uri="{C3380CC4-5D6E-409C-BE32-E72D297353CC}">
              <c16:uniqueId val="{00000003-983C-4FFF-A70C-8D208637525D}"/>
            </c:ext>
          </c:extLst>
        </c:ser>
        <c:ser>
          <c:idx val="5"/>
          <c:order val="6"/>
          <c:tx>
            <c:v>MS*Cna min</c:v>
          </c:tx>
          <c:spPr>
            <a:ln w="12700">
              <a:solidFill>
                <a:srgbClr val="FF0000"/>
              </a:solidFill>
              <a:prstDash val="solid"/>
            </a:ln>
          </c:spPr>
          <c:marker>
            <c:symbol val="none"/>
          </c:marker>
          <c:xVal>
            <c:numRef>
              <c:f>Stabilito!$D$182:$D$187</c:f>
              <c:numCache>
                <c:formatCode>General</c:formatCode>
                <c:ptCount val="6"/>
                <c:pt idx="0">
                  <c:v>0.5</c:v>
                </c:pt>
                <c:pt idx="1">
                  <c:v>1</c:v>
                </c:pt>
                <c:pt idx="2">
                  <c:v>2</c:v>
                </c:pt>
                <c:pt idx="3">
                  <c:v>3</c:v>
                </c:pt>
                <c:pt idx="4">
                  <c:v>5</c:v>
                </c:pt>
                <c:pt idx="5">
                  <c:v>7</c:v>
                </c:pt>
              </c:numCache>
            </c:numRef>
          </c:xVal>
          <c:yVal>
            <c:numRef>
              <c:f>Stabilito!$E$182:$E$187</c:f>
              <c:numCache>
                <c:formatCode>General</c:formatCode>
                <c:ptCount val="6"/>
                <c:pt idx="0">
                  <c:v>80</c:v>
                </c:pt>
                <c:pt idx="1">
                  <c:v>40</c:v>
                </c:pt>
                <c:pt idx="2">
                  <c:v>20</c:v>
                </c:pt>
                <c:pt idx="3">
                  <c:v>13.333333333333334</c:v>
                </c:pt>
                <c:pt idx="4">
                  <c:v>8</c:v>
                </c:pt>
                <c:pt idx="5">
                  <c:v>5.7142857142857144</c:v>
                </c:pt>
              </c:numCache>
            </c:numRef>
          </c:yVal>
          <c:smooth val="1"/>
          <c:extLst>
            <c:ext xmlns:c16="http://schemas.microsoft.com/office/drawing/2014/chart" uri="{C3380CC4-5D6E-409C-BE32-E72D297353CC}">
              <c16:uniqueId val="{00000004-983C-4FFF-A70C-8D208637525D}"/>
            </c:ext>
          </c:extLst>
        </c:ser>
        <c:ser>
          <c:idx val="6"/>
          <c:order val="7"/>
          <c:tx>
            <c:v>MS*Cna max</c:v>
          </c:tx>
          <c:spPr>
            <a:ln w="12700">
              <a:solidFill>
                <a:srgbClr val="FF0000"/>
              </a:solidFill>
              <a:prstDash val="solid"/>
            </a:ln>
          </c:spPr>
          <c:marker>
            <c:symbol val="none"/>
          </c:marker>
          <c:xVal>
            <c:numRef>
              <c:f>Stabilito!$D$188:$D$193</c:f>
              <c:numCache>
                <c:formatCode>General</c:formatCode>
                <c:ptCount val="6"/>
                <c:pt idx="0">
                  <c:v>1</c:v>
                </c:pt>
                <c:pt idx="1">
                  <c:v>2</c:v>
                </c:pt>
                <c:pt idx="2">
                  <c:v>3</c:v>
                </c:pt>
                <c:pt idx="3">
                  <c:v>4</c:v>
                </c:pt>
                <c:pt idx="4">
                  <c:v>6</c:v>
                </c:pt>
                <c:pt idx="5">
                  <c:v>7</c:v>
                </c:pt>
              </c:numCache>
            </c:numRef>
          </c:xVal>
          <c:yVal>
            <c:numRef>
              <c:f>Stabilito!$E$188:$E$193</c:f>
              <c:numCache>
                <c:formatCode>General</c:formatCode>
                <c:ptCount val="6"/>
                <c:pt idx="0">
                  <c:v>100</c:v>
                </c:pt>
                <c:pt idx="1">
                  <c:v>50</c:v>
                </c:pt>
                <c:pt idx="2">
                  <c:v>33.333333333333336</c:v>
                </c:pt>
                <c:pt idx="3">
                  <c:v>25</c:v>
                </c:pt>
                <c:pt idx="4">
                  <c:v>16.666666666666668</c:v>
                </c:pt>
                <c:pt idx="5">
                  <c:v>14.285714285714286</c:v>
                </c:pt>
              </c:numCache>
            </c:numRef>
          </c:yVal>
          <c:smooth val="1"/>
          <c:extLst>
            <c:ext xmlns:c16="http://schemas.microsoft.com/office/drawing/2014/chart" uri="{C3380CC4-5D6E-409C-BE32-E72D297353CC}">
              <c16:uniqueId val="{00000005-983C-4FFF-A70C-8D208637525D}"/>
            </c:ext>
          </c:extLst>
        </c:ser>
        <c:ser>
          <c:idx val="7"/>
          <c:order val="8"/>
          <c:tx>
            <c:v>Cna moy</c:v>
          </c:tx>
          <c:spPr>
            <a:ln w="12700">
              <a:solidFill>
                <a:srgbClr val="FF0000"/>
              </a:solidFill>
              <a:prstDash val="solid"/>
            </a:ln>
          </c:spPr>
          <c:marker>
            <c:symbol val="none"/>
          </c:marker>
          <c:xVal>
            <c:numRef>
              <c:f>Stabilito!$B$195:$B$196</c:f>
              <c:numCache>
                <c:formatCode>General</c:formatCode>
                <c:ptCount val="2"/>
                <c:pt idx="0">
                  <c:v>0</c:v>
                </c:pt>
                <c:pt idx="1">
                  <c:v>2</c:v>
                </c:pt>
              </c:numCache>
            </c:numRef>
          </c:xVal>
          <c:yVal>
            <c:numRef>
              <c:f>Stabilito!$C$195:$C$196</c:f>
              <c:numCache>
                <c:formatCode>General</c:formatCode>
                <c:ptCount val="2"/>
                <c:pt idx="0">
                  <c:v>27.5</c:v>
                </c:pt>
                <c:pt idx="1">
                  <c:v>27.5</c:v>
                </c:pt>
              </c:numCache>
            </c:numRef>
          </c:yVal>
          <c:smooth val="1"/>
          <c:extLst>
            <c:ext xmlns:c16="http://schemas.microsoft.com/office/drawing/2014/chart" uri="{C3380CC4-5D6E-409C-BE32-E72D297353CC}">
              <c16:uniqueId val="{00000006-983C-4FFF-A70C-8D208637525D}"/>
            </c:ext>
          </c:extLst>
        </c:ser>
        <c:ser>
          <c:idx val="8"/>
          <c:order val="9"/>
          <c:tx>
            <c:v>Cna moy2</c:v>
          </c:tx>
          <c:spPr>
            <a:ln w="12700">
              <a:solidFill>
                <a:srgbClr val="FF0000"/>
              </a:solidFill>
              <a:prstDash val="solid"/>
            </a:ln>
          </c:spPr>
          <c:marker>
            <c:symbol val="none"/>
          </c:marker>
          <c:xVal>
            <c:numRef>
              <c:f>Stabilito!$B$197:$B$198</c:f>
              <c:numCache>
                <c:formatCode>General</c:formatCode>
                <c:ptCount val="2"/>
                <c:pt idx="0">
                  <c:v>3.6363636363636362</c:v>
                </c:pt>
                <c:pt idx="1">
                  <c:v>7</c:v>
                </c:pt>
              </c:numCache>
            </c:numRef>
          </c:xVal>
          <c:yVal>
            <c:numRef>
              <c:f>Stabilito!$C$197:$C$198</c:f>
              <c:numCache>
                <c:formatCode>General</c:formatCode>
                <c:ptCount val="2"/>
                <c:pt idx="0">
                  <c:v>27.5</c:v>
                </c:pt>
                <c:pt idx="1">
                  <c:v>27.5</c:v>
                </c:pt>
              </c:numCache>
            </c:numRef>
          </c:yVal>
          <c:smooth val="1"/>
          <c:extLst>
            <c:ext xmlns:c16="http://schemas.microsoft.com/office/drawing/2014/chart" uri="{C3380CC4-5D6E-409C-BE32-E72D297353CC}">
              <c16:uniqueId val="{00000007-983C-4FFF-A70C-8D208637525D}"/>
            </c:ext>
          </c:extLst>
        </c:ser>
        <c:ser>
          <c:idx val="9"/>
          <c:order val="10"/>
          <c:tx>
            <c:v>MS moy</c:v>
          </c:tx>
          <c:spPr>
            <a:ln w="12700">
              <a:solidFill>
                <a:srgbClr val="FF0000"/>
              </a:solidFill>
              <a:prstDash val="solid"/>
            </a:ln>
          </c:spPr>
          <c:marker>
            <c:symbol val="none"/>
          </c:marker>
          <c:xVal>
            <c:numRef>
              <c:f>Stabilito!$B$199:$B$200</c:f>
              <c:numCache>
                <c:formatCode>General</c:formatCode>
                <c:ptCount val="2"/>
                <c:pt idx="0">
                  <c:v>4</c:v>
                </c:pt>
                <c:pt idx="1">
                  <c:v>4</c:v>
                </c:pt>
              </c:numCache>
            </c:numRef>
          </c:xVal>
          <c:yVal>
            <c:numRef>
              <c:f>Stabilito!$C$199:$C$200</c:f>
              <c:numCache>
                <c:formatCode>General</c:formatCode>
                <c:ptCount val="2"/>
                <c:pt idx="0">
                  <c:v>0</c:v>
                </c:pt>
                <c:pt idx="1">
                  <c:v>15</c:v>
                </c:pt>
              </c:numCache>
            </c:numRef>
          </c:yVal>
          <c:smooth val="1"/>
          <c:extLst>
            <c:ext xmlns:c16="http://schemas.microsoft.com/office/drawing/2014/chart" uri="{C3380CC4-5D6E-409C-BE32-E72D297353CC}">
              <c16:uniqueId val="{00000008-983C-4FFF-A70C-8D208637525D}"/>
            </c:ext>
          </c:extLst>
        </c:ser>
        <c:ser>
          <c:idx val="10"/>
          <c:order val="11"/>
          <c:tx>
            <c:v>MS moy2</c:v>
          </c:tx>
          <c:spPr>
            <a:ln w="12700">
              <a:solidFill>
                <a:srgbClr val="FF0000"/>
              </a:solidFill>
              <a:prstDash val="solid"/>
            </a:ln>
          </c:spPr>
          <c:marker>
            <c:symbol val="none"/>
          </c:marker>
          <c:xVal>
            <c:numRef>
              <c:f>Stabilito!$B$201:$B$202</c:f>
              <c:numCache>
                <c:formatCode>General</c:formatCode>
                <c:ptCount val="2"/>
                <c:pt idx="0">
                  <c:v>4</c:v>
                </c:pt>
                <c:pt idx="1">
                  <c:v>4</c:v>
                </c:pt>
              </c:numCache>
            </c:numRef>
          </c:xVal>
          <c:yVal>
            <c:numRef>
              <c:f>Stabilito!$C$201:$C$202</c:f>
              <c:numCache>
                <c:formatCode>General</c:formatCode>
                <c:ptCount val="2"/>
                <c:pt idx="0">
                  <c:v>25</c:v>
                </c:pt>
                <c:pt idx="1">
                  <c:v>55</c:v>
                </c:pt>
              </c:numCache>
            </c:numRef>
          </c:yVal>
          <c:smooth val="1"/>
          <c:extLst>
            <c:ext xmlns:c16="http://schemas.microsoft.com/office/drawing/2014/chart" uri="{C3380CC4-5D6E-409C-BE32-E72D297353CC}">
              <c16:uniqueId val="{00000009-983C-4FFF-A70C-8D208637525D}"/>
            </c:ext>
          </c:extLst>
        </c:ser>
        <c:dLbls>
          <c:showLegendKey val="0"/>
          <c:showVal val="0"/>
          <c:showCatName val="0"/>
          <c:showSerName val="0"/>
          <c:showPercent val="0"/>
          <c:showBubbleSize val="0"/>
        </c:dLbls>
        <c:axId val="148471168"/>
        <c:axId val="148481536"/>
      </c:scatterChart>
      <c:scatterChart>
        <c:scatterStyle val="lineMarker"/>
        <c:varyColors val="0"/>
        <c:ser>
          <c:idx val="4"/>
          <c:order val="4"/>
          <c:tx>
            <c:v>Fusée en cours</c:v>
          </c:tx>
          <c:spPr>
            <a:ln w="25400">
              <a:solidFill>
                <a:schemeClr val="tx1"/>
              </a:solidFill>
            </a:ln>
          </c:spPr>
          <c:marker>
            <c:symbol val="diamond"/>
            <c:size val="7"/>
            <c:spPr>
              <a:solidFill>
                <a:schemeClr val="tx1"/>
              </a:solidFill>
              <a:ln>
                <a:noFill/>
              </a:ln>
            </c:spPr>
          </c:marker>
          <c:xVal>
            <c:numRef>
              <c:f>Stabilito!$B$190:$B$193</c:f>
              <c:numCache>
                <c:formatCode>0.00</c:formatCode>
                <c:ptCount val="4"/>
                <c:pt idx="0">
                  <c:v>2.2973047813562699</c:v>
                </c:pt>
                <c:pt idx="1">
                  <c:v>2.5950487863167631</c:v>
                </c:pt>
                <c:pt idx="2">
                  <c:v>3.3981335823664631</c:v>
                </c:pt>
                <c:pt idx="3">
                  <c:v>3.1003895774059695</c:v>
                </c:pt>
              </c:numCache>
            </c:numRef>
          </c:xVal>
          <c:yVal>
            <c:numRef>
              <c:f>Stabilito!$C$190:$C$193</c:f>
              <c:numCache>
                <c:formatCode>0.00</c:formatCode>
                <c:ptCount val="4"/>
                <c:pt idx="0">
                  <c:v>18.283976369656074</c:v>
                </c:pt>
                <c:pt idx="1">
                  <c:v>19.6643831789955</c:v>
                </c:pt>
                <c:pt idx="2">
                  <c:v>19.6643831789955</c:v>
                </c:pt>
                <c:pt idx="3">
                  <c:v>18.283976369656074</c:v>
                </c:pt>
              </c:numCache>
            </c:numRef>
          </c:yVal>
          <c:smooth val="0"/>
          <c:extLst>
            <c:ext xmlns:c16="http://schemas.microsoft.com/office/drawing/2014/chart" uri="{C3380CC4-5D6E-409C-BE32-E72D297353CC}">
              <c16:uniqueId val="{0000000A-983C-4FFF-A70C-8D208637525D}"/>
            </c:ext>
          </c:extLst>
        </c:ser>
        <c:ser>
          <c:idx val="11"/>
          <c:order val="5"/>
          <c:tx>
            <c:v>Fusée en cours0</c:v>
          </c:tx>
          <c:spPr>
            <a:ln w="25400">
              <a:solidFill>
                <a:schemeClr val="tx1"/>
              </a:solidFill>
            </a:ln>
          </c:spPr>
          <c:marker>
            <c:symbol val="none"/>
          </c:marker>
          <c:xVal>
            <c:numRef>
              <c:f>Stabilito!$B$193:$B$194</c:f>
              <c:numCache>
                <c:formatCode>0.00</c:formatCode>
                <c:ptCount val="2"/>
                <c:pt idx="0">
                  <c:v>3.1003895774059695</c:v>
                </c:pt>
                <c:pt idx="1">
                  <c:v>2.2973047813562699</c:v>
                </c:pt>
              </c:numCache>
            </c:numRef>
          </c:xVal>
          <c:yVal>
            <c:numRef>
              <c:f>Stabilito!$C$193:$C$194</c:f>
              <c:numCache>
                <c:formatCode>0.00</c:formatCode>
                <c:ptCount val="2"/>
                <c:pt idx="0">
                  <c:v>18.283976369656074</c:v>
                </c:pt>
                <c:pt idx="1">
                  <c:v>18.283976369656074</c:v>
                </c:pt>
              </c:numCache>
            </c:numRef>
          </c:yVal>
          <c:smooth val="0"/>
          <c:extLst>
            <c:ext xmlns:c16="http://schemas.microsoft.com/office/drawing/2014/chart" uri="{C3380CC4-5D6E-409C-BE32-E72D297353CC}">
              <c16:uniqueId val="{0000000B-983C-4FFF-A70C-8D208637525D}"/>
            </c:ext>
          </c:extLst>
        </c:ser>
        <c:dLbls>
          <c:showLegendKey val="0"/>
          <c:showVal val="0"/>
          <c:showCatName val="0"/>
          <c:showSerName val="0"/>
          <c:showPercent val="0"/>
          <c:showBubbleSize val="0"/>
        </c:dLbls>
        <c:axId val="148471168"/>
        <c:axId val="148481536"/>
      </c:scatterChart>
      <c:valAx>
        <c:axId val="148471168"/>
        <c:scaling>
          <c:orientation val="minMax"/>
          <c:max val="7"/>
          <c:min val="0"/>
        </c:scaling>
        <c:delete val="0"/>
        <c:axPos val="b"/>
        <c:title>
          <c:tx>
            <c:strRef>
              <c:f>Stabilito!$B$118</c:f>
              <c:strCache>
                <c:ptCount val="1"/>
                <c:pt idx="0">
                  <c:v>Marge Statique (MS)</c:v>
                </c:pt>
              </c:strCache>
            </c:strRef>
          </c:tx>
          <c:layout>
            <c:manualLayout>
              <c:xMode val="edge"/>
              <c:yMode val="edge"/>
              <c:x val="0.51717271009913568"/>
              <c:y val="0.73094047244094495"/>
            </c:manualLayout>
          </c:layout>
          <c:overlay val="0"/>
          <c:spPr>
            <a:solidFill>
              <a:srgbClr val="FFFFFF"/>
            </a:solidFill>
            <a:ln w="25400">
              <a:noFill/>
            </a:ln>
          </c:spPr>
          <c:txPr>
            <a:bodyPr/>
            <a:lstStyle/>
            <a:p>
              <a:pPr>
                <a:defRPr sz="1000" b="0"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8481536"/>
        <c:crosses val="autoZero"/>
        <c:crossBetween val="midCat"/>
      </c:valAx>
      <c:valAx>
        <c:axId val="148481536"/>
        <c:scaling>
          <c:orientation val="minMax"/>
          <c:max val="55"/>
          <c:min val="0"/>
        </c:scaling>
        <c:delete val="0"/>
        <c:axPos val="l"/>
        <c:title>
          <c:tx>
            <c:strRef>
              <c:f>Stabilito!$B$119</c:f>
              <c:strCache>
                <c:ptCount val="1"/>
                <c:pt idx="0">
                  <c:v>Portance Cnα</c:v>
                </c:pt>
              </c:strCache>
            </c:strRef>
          </c:tx>
          <c:layout>
            <c:manualLayout>
              <c:xMode val="edge"/>
              <c:yMode val="edge"/>
              <c:x val="6.9119481083972797E-2"/>
              <c:y val="0.24099905511811029"/>
            </c:manualLayout>
          </c:layout>
          <c:overlay val="0"/>
          <c:spPr>
            <a:solidFill>
              <a:srgbClr val="FFFFFF"/>
            </a:solidFill>
            <a:ln w="25400">
              <a:noFill/>
            </a:ln>
          </c:spPr>
          <c:txPr>
            <a:bodyPr/>
            <a:lstStyle/>
            <a:p>
              <a:pPr>
                <a:defRPr sz="1000" b="0"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847116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95" footer="0.4921259845000009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Trajecto!$B$110</c:f>
          <c:strCache>
            <c:ptCount val="1"/>
            <c:pt idx="0">
              <c:v>Trajectoire (x z)</c:v>
            </c:pt>
          </c:strCache>
        </c:strRef>
      </c:tx>
      <c:layout>
        <c:manualLayout>
          <c:xMode val="edge"/>
          <c:yMode val="edge"/>
          <c:x val="0.66868786671936287"/>
          <c:y val="3.8575744069727136E-2"/>
        </c:manualLayout>
      </c:layout>
      <c:overlay val="0"/>
      <c:spPr>
        <a:noFill/>
        <a:ln w="25400">
          <a:noFill/>
        </a:ln>
      </c:spPr>
      <c:txPr>
        <a:bodyPr/>
        <a:lstStyle/>
        <a:p>
          <a:pPr>
            <a:defRPr sz="800" b="1" i="0" u="none" strike="noStrike" baseline="0">
              <a:solidFill>
                <a:srgbClr val="0000FF"/>
              </a:solidFill>
              <a:latin typeface="Arial"/>
              <a:ea typeface="Arial"/>
              <a:cs typeface="Arial"/>
            </a:defRPr>
          </a:pPr>
          <a:endParaRPr lang="fr-FR"/>
        </a:p>
      </c:txPr>
    </c:title>
    <c:autoTitleDeleted val="0"/>
    <c:plotArea>
      <c:layout>
        <c:manualLayout>
          <c:layoutTarget val="inner"/>
          <c:xMode val="edge"/>
          <c:yMode val="edge"/>
          <c:x val="6.9697175950449913E-2"/>
          <c:y val="3.5608360198500402E-2"/>
          <c:w val="0.89697235136230857"/>
          <c:h val="0.89614373166225958"/>
        </c:manualLayout>
      </c:layout>
      <c:scatterChart>
        <c:scatterStyle val="lineMarker"/>
        <c:varyColors val="0"/>
        <c:ser>
          <c:idx val="0"/>
          <c:order val="0"/>
          <c:tx>
            <c:v>Point invisible pour mise à l'echelle</c:v>
          </c:tx>
          <c:spPr>
            <a:ln w="3175">
              <a:solidFill>
                <a:srgbClr val="99CCFF"/>
              </a:solidFill>
              <a:prstDash val="solid"/>
            </a:ln>
          </c:spPr>
          <c:marker>
            <c:symbol val="none"/>
          </c:marker>
          <c:xVal>
            <c:numRef>
              <c:f>Trajecto!$B$120</c:f>
              <c:numCache>
                <c:formatCode>0</c:formatCode>
                <c:ptCount val="1"/>
                <c:pt idx="0">
                  <c:v>1390.4230491725832</c:v>
                </c:pt>
              </c:numCache>
            </c:numRef>
          </c:xVal>
          <c:yVal>
            <c:numRef>
              <c:f>Trajecto!$C$118</c:f>
              <c:numCache>
                <c:formatCode>0</c:formatCode>
                <c:ptCount val="1"/>
                <c:pt idx="0">
                  <c:v>1390.4230491725832</c:v>
                </c:pt>
              </c:numCache>
            </c:numRef>
          </c:yVal>
          <c:smooth val="1"/>
          <c:extLst>
            <c:ext xmlns:c16="http://schemas.microsoft.com/office/drawing/2014/chart" uri="{C3380CC4-5D6E-409C-BE32-E72D297353CC}">
              <c16:uniqueId val="{00000000-1F49-47DF-B4D1-65FFA35A5CB2}"/>
            </c:ext>
          </c:extLst>
        </c:ser>
        <c:ser>
          <c:idx val="1"/>
          <c:order val="1"/>
          <c:tx>
            <c:v>1 point par seconde</c:v>
          </c:tx>
          <c:spPr>
            <a:ln w="28575">
              <a:noFill/>
            </a:ln>
          </c:spPr>
          <c:marker>
            <c:symbol val="plus"/>
            <c:size val="7"/>
            <c:spPr>
              <a:noFill/>
              <a:ln>
                <a:solidFill>
                  <a:srgbClr val="000000"/>
                </a:solidFill>
                <a:prstDash val="solid"/>
              </a:ln>
            </c:spPr>
          </c:marker>
          <c:xVal>
            <c:numRef>
              <c:f>Calculs!$AD$4:$AD$1004</c:f>
              <c:numCache>
                <c:formatCode>0</c:formatCode>
                <c:ptCount val="1001"/>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7.1017033573784847</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29.589054870556875</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65.154919758471422</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106.88753226932933</c:v>
                </c:pt>
                <c:pt idx="401">
                  <c:v>#N/A</c:v>
                </c:pt>
                <c:pt idx="402">
                  <c:v>#N/A</c:v>
                </c:pt>
                <c:pt idx="403">
                  <c:v>#N/A</c:v>
                </c:pt>
                <c:pt idx="404">
                  <c:v>#N/A</c:v>
                </c:pt>
                <c:pt idx="405">
                  <c:v>#N/A</c:v>
                </c:pt>
                <c:pt idx="406">
                  <c:v>#N/A</c:v>
                </c:pt>
                <c:pt idx="407">
                  <c:v>#N/A</c:v>
                </c:pt>
                <c:pt idx="408">
                  <c:v>#N/A</c:v>
                </c:pt>
                <c:pt idx="409">
                  <c:v>#N/A</c:v>
                </c:pt>
                <c:pt idx="410">
                  <c:v>146.62563072010866</c:v>
                </c:pt>
                <c:pt idx="411">
                  <c:v>#N/A</c:v>
                </c:pt>
                <c:pt idx="412">
                  <c:v>#N/A</c:v>
                </c:pt>
                <c:pt idx="413">
                  <c:v>#N/A</c:v>
                </c:pt>
                <c:pt idx="414">
                  <c:v>#N/A</c:v>
                </c:pt>
                <c:pt idx="415">
                  <c:v>#N/A</c:v>
                </c:pt>
                <c:pt idx="416">
                  <c:v>#N/A</c:v>
                </c:pt>
                <c:pt idx="417">
                  <c:v>#N/A</c:v>
                </c:pt>
                <c:pt idx="418">
                  <c:v>#N/A</c:v>
                </c:pt>
                <c:pt idx="419">
                  <c:v>#N/A</c:v>
                </c:pt>
                <c:pt idx="420">
                  <c:v>184.24084801757715</c:v>
                </c:pt>
                <c:pt idx="421">
                  <c:v>#N/A</c:v>
                </c:pt>
                <c:pt idx="422">
                  <c:v>#N/A</c:v>
                </c:pt>
                <c:pt idx="423">
                  <c:v>#N/A</c:v>
                </c:pt>
                <c:pt idx="424">
                  <c:v>#N/A</c:v>
                </c:pt>
                <c:pt idx="425">
                  <c:v>#N/A</c:v>
                </c:pt>
                <c:pt idx="426">
                  <c:v>#N/A</c:v>
                </c:pt>
                <c:pt idx="427">
                  <c:v>#N/A</c:v>
                </c:pt>
                <c:pt idx="428">
                  <c:v>#N/A</c:v>
                </c:pt>
                <c:pt idx="429">
                  <c:v>#N/A</c:v>
                </c:pt>
                <c:pt idx="430">
                  <c:v>220.09105689456291</c:v>
                </c:pt>
                <c:pt idx="431">
                  <c:v>#N/A</c:v>
                </c:pt>
                <c:pt idx="432">
                  <c:v>#N/A</c:v>
                </c:pt>
                <c:pt idx="433">
                  <c:v>#N/A</c:v>
                </c:pt>
                <c:pt idx="434">
                  <c:v>#N/A</c:v>
                </c:pt>
                <c:pt idx="435">
                  <c:v>#N/A</c:v>
                </c:pt>
                <c:pt idx="436">
                  <c:v>#N/A</c:v>
                </c:pt>
                <c:pt idx="437">
                  <c:v>#N/A</c:v>
                </c:pt>
                <c:pt idx="438">
                  <c:v>#N/A</c:v>
                </c:pt>
                <c:pt idx="439">
                  <c:v>#N/A</c:v>
                </c:pt>
                <c:pt idx="440">
                  <c:v>254.46426557929846</c:v>
                </c:pt>
                <c:pt idx="441">
                  <c:v>#N/A</c:v>
                </c:pt>
                <c:pt idx="442">
                  <c:v>#N/A</c:v>
                </c:pt>
                <c:pt idx="443">
                  <c:v>#N/A</c:v>
                </c:pt>
                <c:pt idx="444">
                  <c:v>#N/A</c:v>
                </c:pt>
                <c:pt idx="445">
                  <c:v>#N/A</c:v>
                </c:pt>
                <c:pt idx="446">
                  <c:v>#N/A</c:v>
                </c:pt>
                <c:pt idx="447">
                  <c:v>#N/A</c:v>
                </c:pt>
                <c:pt idx="448">
                  <c:v>#N/A</c:v>
                </c:pt>
                <c:pt idx="449">
                  <c:v>#N/A</c:v>
                </c:pt>
                <c:pt idx="450">
                  <c:v>287.5968324982278</c:v>
                </c:pt>
                <c:pt idx="451">
                  <c:v>#N/A</c:v>
                </c:pt>
                <c:pt idx="452">
                  <c:v>#N/A</c:v>
                </c:pt>
                <c:pt idx="453">
                  <c:v>#N/A</c:v>
                </c:pt>
                <c:pt idx="454">
                  <c:v>#N/A</c:v>
                </c:pt>
                <c:pt idx="455">
                  <c:v>#N/A</c:v>
                </c:pt>
                <c:pt idx="456">
                  <c:v>#N/A</c:v>
                </c:pt>
                <c:pt idx="457">
                  <c:v>#N/A</c:v>
                </c:pt>
                <c:pt idx="458">
                  <c:v>#N/A</c:v>
                </c:pt>
                <c:pt idx="459">
                  <c:v>#N/A</c:v>
                </c:pt>
                <c:pt idx="460">
                  <c:v>319.68607947398107</c:v>
                </c:pt>
                <c:pt idx="461">
                  <c:v>#N/A</c:v>
                </c:pt>
                <c:pt idx="462">
                  <c:v>#N/A</c:v>
                </c:pt>
                <c:pt idx="463">
                  <c:v>#N/A</c:v>
                </c:pt>
                <c:pt idx="464">
                  <c:v>#N/A</c:v>
                </c:pt>
                <c:pt idx="465">
                  <c:v>#N/A</c:v>
                </c:pt>
                <c:pt idx="466">
                  <c:v>#N/A</c:v>
                </c:pt>
                <c:pt idx="467">
                  <c:v>#N/A</c:v>
                </c:pt>
                <c:pt idx="468">
                  <c:v>#N/A</c:v>
                </c:pt>
                <c:pt idx="469">
                  <c:v>#N/A</c:v>
                </c:pt>
                <c:pt idx="470">
                  <c:v>350.89918314794818</c:v>
                </c:pt>
                <c:pt idx="471">
                  <c:v>#N/A</c:v>
                </c:pt>
                <c:pt idx="472">
                  <c:v>#N/A</c:v>
                </c:pt>
                <c:pt idx="473">
                  <c:v>#N/A</c:v>
                </c:pt>
                <c:pt idx="474">
                  <c:v>#N/A</c:v>
                </c:pt>
                <c:pt idx="475">
                  <c:v>#N/A</c:v>
                </c:pt>
                <c:pt idx="476">
                  <c:v>#N/A</c:v>
                </c:pt>
                <c:pt idx="477">
                  <c:v>#N/A</c:v>
                </c:pt>
                <c:pt idx="478">
                  <c:v>#N/A</c:v>
                </c:pt>
                <c:pt idx="479">
                  <c:v>#N/A</c:v>
                </c:pt>
                <c:pt idx="480">
                  <c:v>381.37945652684039</c:v>
                </c:pt>
                <c:pt idx="481">
                  <c:v>#N/A</c:v>
                </c:pt>
                <c:pt idx="482">
                  <c:v>#N/A</c:v>
                </c:pt>
                <c:pt idx="483">
                  <c:v>#N/A</c:v>
                </c:pt>
                <c:pt idx="484">
                  <c:v>#N/A</c:v>
                </c:pt>
                <c:pt idx="485">
                  <c:v>#N/A</c:v>
                </c:pt>
                <c:pt idx="486">
                  <c:v>#N/A</c:v>
                </c:pt>
                <c:pt idx="487">
                  <c:v>#N/A</c:v>
                </c:pt>
                <c:pt idx="488">
                  <c:v>#N/A</c:v>
                </c:pt>
                <c:pt idx="489">
                  <c:v>#N/A</c:v>
                </c:pt>
                <c:pt idx="490">
                  <c:v>411.25063944064647</c:v>
                </c:pt>
                <c:pt idx="491">
                  <c:v>#N/A</c:v>
                </c:pt>
                <c:pt idx="492">
                  <c:v>#N/A</c:v>
                </c:pt>
                <c:pt idx="493">
                  <c:v>#N/A</c:v>
                </c:pt>
                <c:pt idx="494">
                  <c:v>#N/A</c:v>
                </c:pt>
                <c:pt idx="495">
                  <c:v>#N/A</c:v>
                </c:pt>
                <c:pt idx="496">
                  <c:v>#N/A</c:v>
                </c:pt>
                <c:pt idx="497">
                  <c:v>#N/A</c:v>
                </c:pt>
                <c:pt idx="498">
                  <c:v>#N/A</c:v>
                </c:pt>
                <c:pt idx="499">
                  <c:v>#N/A</c:v>
                </c:pt>
                <c:pt idx="500">
                  <c:v>440.61943310917627</c:v>
                </c:pt>
                <c:pt idx="501">
                  <c:v>#N/A</c:v>
                </c:pt>
                <c:pt idx="502">
                  <c:v>#N/A</c:v>
                </c:pt>
                <c:pt idx="503">
                  <c:v>#N/A</c:v>
                </c:pt>
                <c:pt idx="504">
                  <c:v>#N/A</c:v>
                </c:pt>
                <c:pt idx="505">
                  <c:v>#N/A</c:v>
                </c:pt>
                <c:pt idx="506">
                  <c:v>#N/A</c:v>
                </c:pt>
                <c:pt idx="507">
                  <c:v>#N/A</c:v>
                </c:pt>
                <c:pt idx="508">
                  <c:v>#N/A</c:v>
                </c:pt>
                <c:pt idx="509">
                  <c:v>#N/A</c:v>
                </c:pt>
                <c:pt idx="510">
                  <c:v>469.57612580269097</c:v>
                </c:pt>
                <c:pt idx="511">
                  <c:v>#N/A</c:v>
                </c:pt>
                <c:pt idx="512">
                  <c:v>#N/A</c:v>
                </c:pt>
                <c:pt idx="513">
                  <c:v>#N/A</c:v>
                </c:pt>
                <c:pt idx="514">
                  <c:v>#N/A</c:v>
                </c:pt>
                <c:pt idx="515">
                  <c:v>#N/A</c:v>
                </c:pt>
                <c:pt idx="516">
                  <c:v>#N/A</c:v>
                </c:pt>
                <c:pt idx="517">
                  <c:v>#N/A</c:v>
                </c:pt>
                <c:pt idx="518">
                  <c:v>#N/A</c:v>
                </c:pt>
                <c:pt idx="519">
                  <c:v>#N/A</c:v>
                </c:pt>
                <c:pt idx="520">
                  <c:v>498.19274828577528</c:v>
                </c:pt>
                <c:pt idx="521">
                  <c:v>#N/A</c:v>
                </c:pt>
                <c:pt idx="522">
                  <c:v>#N/A</c:v>
                </c:pt>
                <c:pt idx="523">
                  <c:v>#N/A</c:v>
                </c:pt>
                <c:pt idx="524">
                  <c:v>#N/A</c:v>
                </c:pt>
                <c:pt idx="525">
                  <c:v>#N/A</c:v>
                </c:pt>
                <c:pt idx="526">
                  <c:v>#N/A</c:v>
                </c:pt>
                <c:pt idx="527">
                  <c:v>#N/A</c:v>
                </c:pt>
                <c:pt idx="528">
                  <c:v>#N/A</c:v>
                </c:pt>
                <c:pt idx="529">
                  <c:v>#N/A</c:v>
                </c:pt>
                <c:pt idx="530">
                  <c:v>526.51825887060943</c:v>
                </c:pt>
                <c:pt idx="531">
                  <c:v>#N/A</c:v>
                </c:pt>
                <c:pt idx="532">
                  <c:v>#N/A</c:v>
                </c:pt>
                <c:pt idx="533">
                  <c:v>#N/A</c:v>
                </c:pt>
                <c:pt idx="534">
                  <c:v>#N/A</c:v>
                </c:pt>
                <c:pt idx="535">
                  <c:v>#N/A</c:v>
                </c:pt>
                <c:pt idx="536">
                  <c:v>#N/A</c:v>
                </c:pt>
                <c:pt idx="537">
                  <c:v>#N/A</c:v>
                </c:pt>
                <c:pt idx="538">
                  <c:v>#N/A</c:v>
                </c:pt>
                <c:pt idx="539">
                  <c:v>#N/A</c:v>
                </c:pt>
                <c:pt idx="540">
                  <c:v>554.57238758681797</c:v>
                </c:pt>
                <c:pt idx="541">
                  <c:v>#N/A</c:v>
                </c:pt>
                <c:pt idx="542">
                  <c:v>#N/A</c:v>
                </c:pt>
                <c:pt idx="543">
                  <c:v>#N/A</c:v>
                </c:pt>
                <c:pt idx="544">
                  <c:v>#N/A</c:v>
                </c:pt>
                <c:pt idx="545">
                  <c:v>#N/A</c:v>
                </c:pt>
                <c:pt idx="546">
                  <c:v>#N/A</c:v>
                </c:pt>
                <c:pt idx="547">
                  <c:v>#N/A</c:v>
                </c:pt>
                <c:pt idx="548">
                  <c:v>#N/A</c:v>
                </c:pt>
                <c:pt idx="549">
                  <c:v>#N/A</c:v>
                </c:pt>
                <c:pt idx="550">
                  <c:v>582.34366916004171</c:v>
                </c:pt>
                <c:pt idx="551">
                  <c:v>#N/A</c:v>
                </c:pt>
                <c:pt idx="552">
                  <c:v>#N/A</c:v>
                </c:pt>
                <c:pt idx="553">
                  <c:v>#N/A</c:v>
                </c:pt>
                <c:pt idx="554">
                  <c:v>#N/A</c:v>
                </c:pt>
                <c:pt idx="555">
                  <c:v>#N/A</c:v>
                </c:pt>
                <c:pt idx="556">
                  <c:v>#N/A</c:v>
                </c:pt>
                <c:pt idx="557">
                  <c:v>#N/A</c:v>
                </c:pt>
                <c:pt idx="558">
                  <c:v>#N/A</c:v>
                </c:pt>
                <c:pt idx="559">
                  <c:v>#N/A</c:v>
                </c:pt>
                <c:pt idx="560">
                  <c:v>609.79536693210821</c:v>
                </c:pt>
                <c:pt idx="561">
                  <c:v>#N/A</c:v>
                </c:pt>
                <c:pt idx="562">
                  <c:v>#N/A</c:v>
                </c:pt>
                <c:pt idx="563">
                  <c:v>#N/A</c:v>
                </c:pt>
                <c:pt idx="564">
                  <c:v>#N/A</c:v>
                </c:pt>
                <c:pt idx="565">
                  <c:v>#N/A</c:v>
                </c:pt>
                <c:pt idx="566">
                  <c:v>#N/A</c:v>
                </c:pt>
                <c:pt idx="567">
                  <c:v>#N/A</c:v>
                </c:pt>
                <c:pt idx="568">
                  <c:v>#N/A</c:v>
                </c:pt>
                <c:pt idx="569">
                  <c:v>#N/A</c:v>
                </c:pt>
                <c:pt idx="570">
                  <c:v>636.87518170192766</c:v>
                </c:pt>
                <c:pt idx="571">
                  <c:v>#N/A</c:v>
                </c:pt>
                <c:pt idx="572">
                  <c:v>#N/A</c:v>
                </c:pt>
                <c:pt idx="573">
                  <c:v>#N/A</c:v>
                </c:pt>
                <c:pt idx="574">
                  <c:v>#N/A</c:v>
                </c:pt>
                <c:pt idx="575">
                  <c:v>#N/A</c:v>
                </c:pt>
                <c:pt idx="576">
                  <c:v>#N/A</c:v>
                </c:pt>
                <c:pt idx="577">
                  <c:v>#N/A</c:v>
                </c:pt>
                <c:pt idx="578">
                  <c:v>#N/A</c:v>
                </c:pt>
                <c:pt idx="579">
                  <c:v>#N/A</c:v>
                </c:pt>
                <c:pt idx="580">
                  <c:v>663.52341709471614</c:v>
                </c:pt>
                <c:pt idx="581">
                  <c:v>#N/A</c:v>
                </c:pt>
                <c:pt idx="582">
                  <c:v>#N/A</c:v>
                </c:pt>
                <c:pt idx="583">
                  <c:v>#N/A</c:v>
                </c:pt>
                <c:pt idx="584">
                  <c:v>#N/A</c:v>
                </c:pt>
                <c:pt idx="585">
                  <c:v>#N/A</c:v>
                </c:pt>
                <c:pt idx="586">
                  <c:v>#N/A</c:v>
                </c:pt>
                <c:pt idx="587">
                  <c:v>#N/A</c:v>
                </c:pt>
                <c:pt idx="588">
                  <c:v>#N/A</c:v>
                </c:pt>
                <c:pt idx="589">
                  <c:v>#N/A</c:v>
                </c:pt>
                <c:pt idx="590">
                  <c:v>689.6783494494058</c:v>
                </c:pt>
                <c:pt idx="591">
                  <c:v>#N/A</c:v>
                </c:pt>
                <c:pt idx="592">
                  <c:v>#N/A</c:v>
                </c:pt>
                <c:pt idx="593">
                  <c:v>#N/A</c:v>
                </c:pt>
                <c:pt idx="594">
                  <c:v>#N/A</c:v>
                </c:pt>
                <c:pt idx="595">
                  <c:v>#N/A</c:v>
                </c:pt>
                <c:pt idx="596">
                  <c:v>#N/A</c:v>
                </c:pt>
                <c:pt idx="597">
                  <c:v>#N/A</c:v>
                </c:pt>
                <c:pt idx="598">
                  <c:v>#N/A</c:v>
                </c:pt>
                <c:pt idx="599">
                  <c:v>#N/A</c:v>
                </c:pt>
                <c:pt idx="600">
                  <c:v>715.27957404997187</c:v>
                </c:pt>
                <c:pt idx="601">
                  <c:v>#N/A</c:v>
                </c:pt>
                <c:pt idx="602">
                  <c:v>#N/A</c:v>
                </c:pt>
                <c:pt idx="603">
                  <c:v>#N/A</c:v>
                </c:pt>
                <c:pt idx="604">
                  <c:v>#N/A</c:v>
                </c:pt>
                <c:pt idx="605">
                  <c:v>#N/A</c:v>
                </c:pt>
                <c:pt idx="606">
                  <c:v>#N/A</c:v>
                </c:pt>
                <c:pt idx="607">
                  <c:v>#N/A</c:v>
                </c:pt>
                <c:pt idx="608">
                  <c:v>#N/A</c:v>
                </c:pt>
                <c:pt idx="609">
                  <c:v>#N/A</c:v>
                </c:pt>
                <c:pt idx="610">
                  <c:v>740.27013587554745</c:v>
                </c:pt>
                <c:pt idx="611">
                  <c:v>#N/A</c:v>
                </c:pt>
                <c:pt idx="612">
                  <c:v>#N/A</c:v>
                </c:pt>
                <c:pt idx="613">
                  <c:v>#N/A</c:v>
                </c:pt>
                <c:pt idx="614">
                  <c:v>#N/A</c:v>
                </c:pt>
                <c:pt idx="615">
                  <c:v>#N/A</c:v>
                </c:pt>
                <c:pt idx="616">
                  <c:v>#N/A</c:v>
                </c:pt>
                <c:pt idx="617">
                  <c:v>#N/A</c:v>
                </c:pt>
                <c:pt idx="618">
                  <c:v>#N/A</c:v>
                </c:pt>
                <c:pt idx="619">
                  <c:v>#N/A</c:v>
                </c:pt>
                <c:pt idx="620">
                  <c:v>764.59792563017061</c:v>
                </c:pt>
                <c:pt idx="621">
                  <c:v>#N/A</c:v>
                </c:pt>
                <c:pt idx="622">
                  <c:v>#N/A</c:v>
                </c:pt>
                <c:pt idx="623">
                  <c:v>#N/A</c:v>
                </c:pt>
                <c:pt idx="624">
                  <c:v>#N/A</c:v>
                </c:pt>
                <c:pt idx="625">
                  <c:v>#N/A</c:v>
                </c:pt>
                <c:pt idx="626">
                  <c:v>#N/A</c:v>
                </c:pt>
                <c:pt idx="627">
                  <c:v>#N/A</c:v>
                </c:pt>
                <c:pt idx="628">
                  <c:v>#N/A</c:v>
                </c:pt>
                <c:pt idx="629">
                  <c:v>#N/A</c:v>
                </c:pt>
                <c:pt idx="630">
                  <c:v>788.21659650064737</c:v>
                </c:pt>
                <c:pt idx="631">
                  <c:v>#N/A</c:v>
                </c:pt>
                <c:pt idx="632">
                  <c:v>#N/A</c:v>
                </c:pt>
                <c:pt idx="633">
                  <c:v>#N/A</c:v>
                </c:pt>
                <c:pt idx="634">
                  <c:v>#N/A</c:v>
                </c:pt>
                <c:pt idx="635">
                  <c:v>#N/A</c:v>
                </c:pt>
                <c:pt idx="636">
                  <c:v>#N/A</c:v>
                </c:pt>
                <c:pt idx="637">
                  <c:v>#N/A</c:v>
                </c:pt>
                <c:pt idx="638">
                  <c:v>#N/A</c:v>
                </c:pt>
                <c:pt idx="639">
                  <c:v>#N/A</c:v>
                </c:pt>
                <c:pt idx="640">
                  <c:v>811.08613923044504</c:v>
                </c:pt>
                <c:pt idx="641">
                  <c:v>#N/A</c:v>
                </c:pt>
                <c:pt idx="642">
                  <c:v>#N/A</c:v>
                </c:pt>
                <c:pt idx="643">
                  <c:v>#N/A</c:v>
                </c:pt>
                <c:pt idx="644">
                  <c:v>#N/A</c:v>
                </c:pt>
                <c:pt idx="645">
                  <c:v>#N/A</c:v>
                </c:pt>
                <c:pt idx="646">
                  <c:v>#N/A</c:v>
                </c:pt>
                <c:pt idx="647">
                  <c:v>#N/A</c:v>
                </c:pt>
                <c:pt idx="648">
                  <c:v>#N/A</c:v>
                </c:pt>
                <c:pt idx="649">
                  <c:v>#N/A</c:v>
                </c:pt>
                <c:pt idx="650">
                  <c:v>833.17319539373045</c:v>
                </c:pt>
                <c:pt idx="651">
                  <c:v>#N/A</c:v>
                </c:pt>
                <c:pt idx="652">
                  <c:v>#N/A</c:v>
                </c:pt>
                <c:pt idx="653">
                  <c:v>#N/A</c:v>
                </c:pt>
                <c:pt idx="654">
                  <c:v>#N/A</c:v>
                </c:pt>
                <c:pt idx="655">
                  <c:v>#N/A</c:v>
                </c:pt>
                <c:pt idx="656">
                  <c:v>#N/A</c:v>
                </c:pt>
                <c:pt idx="657">
                  <c:v>#N/A</c:v>
                </c:pt>
                <c:pt idx="658">
                  <c:v>#N/A</c:v>
                </c:pt>
                <c:pt idx="659">
                  <c:v>#N/A</c:v>
                </c:pt>
                <c:pt idx="660">
                  <c:v>854.45116085330505</c:v>
                </c:pt>
                <c:pt idx="661">
                  <c:v>#N/A</c:v>
                </c:pt>
                <c:pt idx="662">
                  <c:v>#N/A</c:v>
                </c:pt>
                <c:pt idx="663">
                  <c:v>#N/A</c:v>
                </c:pt>
                <c:pt idx="664">
                  <c:v>#N/A</c:v>
                </c:pt>
                <c:pt idx="665">
                  <c:v>#N/A</c:v>
                </c:pt>
                <c:pt idx="666">
                  <c:v>#N/A</c:v>
                </c:pt>
                <c:pt idx="667">
                  <c:v>#N/A</c:v>
                </c:pt>
                <c:pt idx="668">
                  <c:v>#N/A</c:v>
                </c:pt>
                <c:pt idx="669">
                  <c:v>#N/A</c:v>
                </c:pt>
                <c:pt idx="670">
                  <c:v>874.90011781613703</c:v>
                </c:pt>
                <c:pt idx="671">
                  <c:v>#N/A</c:v>
                </c:pt>
                <c:pt idx="672">
                  <c:v>#N/A</c:v>
                </c:pt>
                <c:pt idx="673">
                  <c:v>#N/A</c:v>
                </c:pt>
                <c:pt idx="674">
                  <c:v>#N/A</c:v>
                </c:pt>
                <c:pt idx="675">
                  <c:v>#N/A</c:v>
                </c:pt>
                <c:pt idx="676">
                  <c:v>#N/A</c:v>
                </c:pt>
                <c:pt idx="677">
                  <c:v>#N/A</c:v>
                </c:pt>
                <c:pt idx="678">
                  <c:v>#N/A</c:v>
                </c:pt>
                <c:pt idx="679">
                  <c:v>#N/A</c:v>
                </c:pt>
                <c:pt idx="680">
                  <c:v>894.50662709984147</c:v>
                </c:pt>
                <c:pt idx="681">
                  <c:v>#N/A</c:v>
                </c:pt>
                <c:pt idx="682">
                  <c:v>#N/A</c:v>
                </c:pt>
                <c:pt idx="683">
                  <c:v>#N/A</c:v>
                </c:pt>
                <c:pt idx="684">
                  <c:v>#N/A</c:v>
                </c:pt>
                <c:pt idx="685">
                  <c:v>#N/A</c:v>
                </c:pt>
                <c:pt idx="686">
                  <c:v>#N/A</c:v>
                </c:pt>
                <c:pt idx="687">
                  <c:v>#N/A</c:v>
                </c:pt>
                <c:pt idx="688">
                  <c:v>#N/A</c:v>
                </c:pt>
                <c:pt idx="689">
                  <c:v>#N/A</c:v>
                </c:pt>
                <c:pt idx="690">
                  <c:v>913.26340848782945</c:v>
                </c:pt>
                <c:pt idx="691">
                  <c:v>#N/A</c:v>
                </c:pt>
                <c:pt idx="692">
                  <c:v>#N/A</c:v>
                </c:pt>
                <c:pt idx="693">
                  <c:v>#N/A</c:v>
                </c:pt>
                <c:pt idx="694">
                  <c:v>#N/A</c:v>
                </c:pt>
                <c:pt idx="695">
                  <c:v>#N/A</c:v>
                </c:pt>
                <c:pt idx="696">
                  <c:v>#N/A</c:v>
                </c:pt>
                <c:pt idx="697">
                  <c:v>#N/A</c:v>
                </c:pt>
                <c:pt idx="698">
                  <c:v>#N/A</c:v>
                </c:pt>
                <c:pt idx="699">
                  <c:v>#N/A</c:v>
                </c:pt>
                <c:pt idx="700">
                  <c:v>931.16893455602212</c:v>
                </c:pt>
                <c:pt idx="701">
                  <c:v>#N/A</c:v>
                </c:pt>
                <c:pt idx="702">
                  <c:v>#N/A</c:v>
                </c:pt>
                <c:pt idx="703">
                  <c:v>#N/A</c:v>
                </c:pt>
                <c:pt idx="704">
                  <c:v>#N/A</c:v>
                </c:pt>
                <c:pt idx="705">
                  <c:v>#N/A</c:v>
                </c:pt>
                <c:pt idx="706">
                  <c:v>#N/A</c:v>
                </c:pt>
                <c:pt idx="707">
                  <c:v>#N/A</c:v>
                </c:pt>
                <c:pt idx="708">
                  <c:v>#N/A</c:v>
                </c:pt>
                <c:pt idx="709">
                  <c:v>#N/A</c:v>
                </c:pt>
                <c:pt idx="710">
                  <c:v>948.22696122062621</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Calculs!$K$4:$K$1004</c:f>
              <c:numCache>
                <c:formatCode>0.00</c:formatCode>
                <c:ptCount val="1001"/>
                <c:pt idx="0">
                  <c:v>0</c:v>
                </c:pt>
                <c:pt idx="1">
                  <c:v>0</c:v>
                </c:pt>
                <c:pt idx="2">
                  <c:v>9.256745468933812E-4</c:v>
                </c:pt>
                <c:pt idx="3">
                  <c:v>4.6375098159864465E-3</c:v>
                </c:pt>
                <c:pt idx="4">
                  <c:v>1.3005881763920295E-2</c:v>
                </c:pt>
                <c:pt idx="5">
                  <c:v>2.7902932677719018E-2</c:v>
                </c:pt>
                <c:pt idx="6">
                  <c:v>5.0729494037892092E-2</c:v>
                </c:pt>
                <c:pt idx="7">
                  <c:v>8.1940908218334885E-2</c:v>
                </c:pt>
                <c:pt idx="8">
                  <c:v>0.12151931462913008</c:v>
                </c:pt>
                <c:pt idx="9">
                  <c:v>0.16944677622685986</c:v>
                </c:pt>
                <c:pt idx="10">
                  <c:v>0.22570527978592239</c:v>
                </c:pt>
                <c:pt idx="11">
                  <c:v>0.29027673617222649</c:v>
                </c:pt>
                <c:pt idx="12">
                  <c:v>0.36314298061924566</c:v>
                </c:pt>
                <c:pt idx="13">
                  <c:v>0.44428577300641242</c:v>
                </c:pt>
                <c:pt idx="14">
                  <c:v>0.53368679813983388</c:v>
                </c:pt>
                <c:pt idx="15">
                  <c:v>0.63132766603530943</c:v>
                </c:pt>
                <c:pt idx="16">
                  <c:v>0.7371899122036305</c:v>
                </c:pt>
                <c:pt idx="17">
                  <c:v>0.85125499793814385</c:v>
                </c:pt>
                <c:pt idx="18">
                  <c:v>0.973504310604557</c:v>
                </c:pt>
                <c:pt idx="19">
                  <c:v>1.1039191639329675</c:v>
                </c:pt>
                <c:pt idx="20">
                  <c:v>1.2424807983120951</c:v>
                </c:pt>
                <c:pt idx="21">
                  <c:v>1.3891703810856959</c:v>
                </c:pt>
                <c:pt idx="22">
                  <c:v>1.5439690068511398</c:v>
                </c:pt>
                <c:pt idx="23">
                  <c:v>1.7068576977601289</c:v>
                </c:pt>
                <c:pt idx="24">
                  <c:v>1.8778174038215372</c:v>
                </c:pt>
                <c:pt idx="25">
                  <c:v>2.0568290032063508</c:v>
                </c:pt>
                <c:pt idx="26">
                  <c:v>2.2438733025546869</c:v>
                </c:pt>
                <c:pt idx="27">
                  <c:v>2.4389310372848709</c:v>
                </c:pt>
                <c:pt idx="28">
                  <c:v>2.6419828719045495</c:v>
                </c:pt>
                <c:pt idx="29">
                  <c:v>2.8530094003238204</c:v>
                </c:pt>
                <c:pt idx="30">
                  <c:v>3.0719911461703555</c:v>
                </c:pt>
                <c:pt idx="31">
                  <c:v>3.2989085631064961</c:v>
                </c:pt>
                <c:pt idx="32">
                  <c:v>3.5337420351482973</c:v>
                </c:pt>
                <c:pt idx="33">
                  <c:v>3.7764718769865033</c:v>
                </c:pt>
                <c:pt idx="34">
                  <c:v>4.0270783343094267</c:v>
                </c:pt>
                <c:pt idx="35">
                  <c:v>4.2855267870942164</c:v>
                </c:pt>
                <c:pt idx="36">
                  <c:v>4.5517820584966753</c:v>
                </c:pt>
                <c:pt idx="37">
                  <c:v>4.8258232181161596</c:v>
                </c:pt>
                <c:pt idx="38">
                  <c:v>5.1076292862374588</c:v>
                </c:pt>
                <c:pt idx="39">
                  <c:v>5.3971792401500984</c:v>
                </c:pt>
                <c:pt idx="40">
                  <c:v>5.6944520133574148</c:v>
                </c:pt>
                <c:pt idx="41">
                  <c:v>5.9994264948718143</c:v>
                </c:pt>
                <c:pt idx="42">
                  <c:v>6.3120815285877736</c:v>
                </c:pt>
                <c:pt idx="43">
                  <c:v>6.6323959127251593</c:v>
                </c:pt>
                <c:pt idx="44">
                  <c:v>6.960348399336354</c:v>
                </c:pt>
                <c:pt idx="45">
                  <c:v>7.2959176938714139</c:v>
                </c:pt>
                <c:pt idx="46">
                  <c:v>7.6390824547961556</c:v>
                </c:pt>
                <c:pt idx="47">
                  <c:v>7.9898212932586299</c:v>
                </c:pt>
                <c:pt idx="48">
                  <c:v>8.3481127727999347</c:v>
                </c:pt>
                <c:pt idx="49">
                  <c:v>8.7139354091057477</c:v>
                </c:pt>
                <c:pt idx="50">
                  <c:v>9.087267669795331</c:v>
                </c:pt>
                <c:pt idx="51">
                  <c:v>9.4680904607792051</c:v>
                </c:pt>
                <c:pt idx="52">
                  <c:v>9.8563896156349617</c:v>
                </c:pt>
                <c:pt idx="53">
                  <c:v>10.252153413149001</c:v>
                </c:pt>
                <c:pt idx="54">
                  <c:v>10.6553700918227</c:v>
                </c:pt>
                <c:pt idx="55">
                  <c:v>11.066027849655297</c:v>
                </c:pt>
                <c:pt idx="56">
                  <c:v>11.484114843947582</c:v>
                </c:pt>
                <c:pt idx="57">
                  <c:v>11.909619191125028</c:v>
                </c:pt>
                <c:pt idx="58">
                  <c:v>12.342528966579124</c:v>
                </c:pt>
                <c:pt idx="59">
                  <c:v>12.782832204525784</c:v>
                </c:pt>
                <c:pt idx="60">
                  <c:v>13.230516897879768</c:v>
                </c:pt>
                <c:pt idx="61">
                  <c:v>13.685570998144183</c:v>
                </c:pt>
                <c:pt idx="62">
                  <c:v>14.147982415314159</c:v>
                </c:pt>
                <c:pt idx="63">
                  <c:v>14.617739017793911</c:v>
                </c:pt>
                <c:pt idx="64">
                  <c:v>15.094828632326408</c:v>
                </c:pt>
                <c:pt idx="65">
                  <c:v>15.57923904393499</c:v>
                </c:pt>
                <c:pt idx="66">
                  <c:v>16.07095799587626</c:v>
                </c:pt>
                <c:pt idx="67">
                  <c:v>16.569973189603672</c:v>
                </c:pt>
                <c:pt idx="68">
                  <c:v>17.076272284741261</c:v>
                </c:pt>
                <c:pt idx="69">
                  <c:v>17.589842899067008</c:v>
                </c:pt>
                <c:pt idx="70">
                  <c:v>18.110672608505332</c:v>
                </c:pt>
                <c:pt idx="71">
                  <c:v>18.63874894712832</c:v>
                </c:pt>
                <c:pt idx="72">
                  <c:v>19.174059407165217</c:v>
                </c:pt>
                <c:pt idx="73">
                  <c:v>19.716591439019826</c:v>
                </c:pt>
                <c:pt idx="74">
                  <c:v>20.266332451295462</c:v>
                </c:pt>
                <c:pt idx="75">
                  <c:v>20.823269810827078</c:v>
                </c:pt>
                <c:pt idx="76">
                  <c:v>21.387390842720297</c:v>
                </c:pt>
                <c:pt idx="77">
                  <c:v>21.95868283039702</c:v>
                </c:pt>
                <c:pt idx="78">
                  <c:v>22.537133015647321</c:v>
                </c:pt>
                <c:pt idx="79">
                  <c:v>23.122728598687409</c:v>
                </c:pt>
                <c:pt idx="80">
                  <c:v>23.715456738223363</c:v>
                </c:pt>
                <c:pt idx="81">
                  <c:v>24.31530455152042</c:v>
                </c:pt>
                <c:pt idx="82">
                  <c:v>24.922259114477619</c:v>
                </c:pt>
                <c:pt idx="83">
                  <c:v>25.536307461707565</c:v>
                </c:pt>
                <c:pt idx="84">
                  <c:v>26.157436586621124</c:v>
                </c:pt>
                <c:pt idx="85">
                  <c:v>26.785633441516868</c:v>
                </c:pt>
                <c:pt idx="86">
                  <c:v>27.420884937675105</c:v>
                </c:pt>
                <c:pt idx="87">
                  <c:v>28.063177945456289</c:v>
                </c:pt>
                <c:pt idx="88">
                  <c:v>28.712499294403703</c:v>
                </c:pt>
                <c:pt idx="89">
                  <c:v>29.368835773350227</c:v>
                </c:pt>
                <c:pt idx="90">
                  <c:v>30.032174130529068</c:v>
                </c:pt>
                <c:pt idx="91">
                  <c:v>30.702501073688307</c:v>
                </c:pt>
                <c:pt idx="92">
                  <c:v>31.379803270209145</c:v>
                </c:pt>
                <c:pt idx="93">
                  <c:v>32.064067347227706</c:v>
                </c:pt>
                <c:pt idx="94">
                  <c:v>32.75527989176031</c:v>
                </c:pt>
                <c:pt idx="95">
                  <c:v>33.453427450832081</c:v>
                </c:pt>
                <c:pt idx="96">
                  <c:v>34.158496531608776</c:v>
                </c:pt>
                <c:pt idx="97">
                  <c:v>34.870473601531785</c:v>
                </c:pt>
                <c:pt idx="98">
                  <c:v>35.589345088456128</c:v>
                </c:pt>
                <c:pt idx="99">
                  <c:v>36.315097380791421</c:v>
                </c:pt>
                <c:pt idx="100">
                  <c:v>37.047716827645679</c:v>
                </c:pt>
                <c:pt idx="101">
                  <c:v>37.787188597185938</c:v>
                </c:pt>
                <c:pt idx="102">
                  <c:v>38.533495533942798</c:v>
                </c:pt>
                <c:pt idx="103">
                  <c:v>39.286619299474474</c:v>
                </c:pt>
                <c:pt idx="104">
                  <c:v>40.04654151413277</c:v>
                </c:pt>
                <c:pt idx="105">
                  <c:v>40.813243757301436</c:v>
                </c:pt>
                <c:pt idx="106">
                  <c:v>41.586707567636964</c:v>
                </c:pt>
                <c:pt idx="107">
                  <c:v>42.366914443311806</c:v>
                </c:pt>
                <c:pt idx="108">
                  <c:v>43.153845842259891</c:v>
                </c:pt>
                <c:pt idx="109">
                  <c:v>43.947483182424349</c:v>
                </c:pt>
                <c:pt idx="110">
                  <c:v>44.74780784200744</c:v>
                </c:pt>
                <c:pt idx="111">
                  <c:v>45.554801159722523</c:v>
                </c:pt>
                <c:pt idx="112">
                  <c:v>46.368444435048083</c:v>
                </c:pt>
                <c:pt idx="113">
                  <c:v>47.188718928483702</c:v>
                </c:pt>
                <c:pt idx="114">
                  <c:v>48.015605861807899</c:v>
                </c:pt>
                <c:pt idx="115">
                  <c:v>48.849086418337819</c:v>
                </c:pt>
                <c:pt idx="116">
                  <c:v>49.689141743190675</c:v>
                </c:pt>
                <c:pt idx="117">
                  <c:v>50.535752943546903</c:v>
                </c:pt>
                <c:pt idx="118">
                  <c:v>51.38890108891497</c:v>
                </c:pt>
                <c:pt idx="119">
                  <c:v>52.248567211397784</c:v>
                </c:pt>
                <c:pt idx="120">
                  <c:v>53.114732305960622</c:v>
                </c:pt>
                <c:pt idx="121">
                  <c:v>53.987377330700575</c:v>
                </c:pt>
                <c:pt idx="122">
                  <c:v>54.866483207117412</c:v>
                </c:pt>
                <c:pt idx="123">
                  <c:v>55.752030820385855</c:v>
                </c:pt>
                <c:pt idx="124">
                  <c:v>56.644001019629179</c:v>
                </c:pt>
                <c:pt idx="125">
                  <c:v>57.542374618194117</c:v>
                </c:pt>
                <c:pt idx="126">
                  <c:v>58.447132393927006</c:v>
                </c:pt>
                <c:pt idx="127">
                  <c:v>59.358255089451163</c:v>
                </c:pt>
                <c:pt idx="128">
                  <c:v>60.27572341244538</c:v>
                </c:pt>
                <c:pt idx="129">
                  <c:v>61.199518035923589</c:v>
                </c:pt>
                <c:pt idx="130">
                  <c:v>62.129619598515568</c:v>
                </c:pt>
                <c:pt idx="131">
                  <c:v>63.066008704748711</c:v>
                </c:pt>
                <c:pt idx="132">
                  <c:v>64.008665925330774</c:v>
                </c:pt>
                <c:pt idx="133">
                  <c:v>64.957571797433602</c:v>
                </c:pt>
                <c:pt idx="134">
                  <c:v>65.912706824977775</c:v>
                </c:pt>
                <c:pt idx="135">
                  <c:v>66.874051478918133</c:v>
                </c:pt>
                <c:pt idx="136">
                  <c:v>67.841586197530134</c:v>
                </c:pt>
                <c:pt idx="137">
                  <c:v>68.815291386697083</c:v>
                </c:pt>
                <c:pt idx="138">
                  <c:v>69.795147420198063</c:v>
                </c:pt>
                <c:pt idx="139">
                  <c:v>70.781134639996679</c:v>
                </c:pt>
                <c:pt idx="140">
                  <c:v>71.773233356530483</c:v>
                </c:pt>
                <c:pt idx="141">
                  <c:v>72.771423849001081</c:v>
                </c:pt>
                <c:pt idx="142">
                  <c:v>73.775686365664882</c:v>
                </c:pt>
                <c:pt idx="143">
                  <c:v>74.786001124124482</c:v>
                </c:pt>
                <c:pt idx="144">
                  <c:v>75.802348311620591</c:v>
                </c:pt>
                <c:pt idx="145">
                  <c:v>76.824708085324573</c:v>
                </c:pt>
                <c:pt idx="146">
                  <c:v>77.853060572631492</c:v>
                </c:pt>
                <c:pt idx="147">
                  <c:v>78.887385871453588</c:v>
                </c:pt>
                <c:pt idx="148">
                  <c:v>79.927664050514309</c:v>
                </c:pt>
                <c:pt idx="149">
                  <c:v>80.973875149642751</c:v>
                </c:pt>
                <c:pt idx="150">
                  <c:v>82.025999180068482</c:v>
                </c:pt>
                <c:pt idx="151">
                  <c:v>83.084016511940348</c:v>
                </c:pt>
                <c:pt idx="152">
                  <c:v>84.147908262059872</c:v>
                </c:pt>
                <c:pt idx="153">
                  <c:v>85.217655907115997</c:v>
                </c:pt>
                <c:pt idx="154">
                  <c:v>86.293240896692211</c:v>
                </c:pt>
                <c:pt idx="155">
                  <c:v>87.374644653535711</c:v>
                </c:pt>
                <c:pt idx="156">
                  <c:v>88.461848573826828</c:v>
                </c:pt>
                <c:pt idx="157">
                  <c:v>89.554834027448891</c:v>
                </c:pt>
                <c:pt idx="158">
                  <c:v>90.653582358258248</c:v>
                </c:pt>
                <c:pt idx="159">
                  <c:v>91.758074884354642</c:v>
                </c:pt>
                <c:pt idx="160">
                  <c:v>92.868292898351797</c:v>
                </c:pt>
                <c:pt idx="161">
                  <c:v>93.984217667648238</c:v>
                </c:pt>
                <c:pt idx="162">
                  <c:v>95.105830434698305</c:v>
                </c:pt>
                <c:pt idx="163">
                  <c:v>96.233112417283337</c:v>
                </c:pt>
                <c:pt idx="164">
                  <c:v>97.366044808783087</c:v>
                </c:pt>
                <c:pt idx="165">
                  <c:v>98.504608778447135</c:v>
                </c:pt>
                <c:pt idx="166">
                  <c:v>99.648785471666585</c:v>
                </c:pt>
                <c:pt idx="167">
                  <c:v>100.79855601024575</c:v>
                </c:pt>
                <c:pt idx="168">
                  <c:v>101.95390149267392</c:v>
                </c:pt>
                <c:pt idx="169">
                  <c:v>103.11480299439731</c:v>
                </c:pt>
                <c:pt idx="170">
                  <c:v>104.28124156809086</c:v>
                </c:pt>
                <c:pt idx="171">
                  <c:v>105.45319824393022</c:v>
                </c:pt>
                <c:pt idx="172">
                  <c:v>106.63065402986365</c:v>
                </c:pt>
                <c:pt idx="173">
                  <c:v>107.81358991188395</c:v>
                </c:pt>
                <c:pt idx="174">
                  <c:v>109.00198685430033</c:v>
                </c:pt>
                <c:pt idx="175">
                  <c:v>110.19582580001023</c:v>
                </c:pt>
                <c:pt idx="176">
                  <c:v>111.39508767077106</c:v>
                </c:pt>
                <c:pt idx="177">
                  <c:v>112.59975336747193</c:v>
                </c:pt>
                <c:pt idx="178">
                  <c:v>113.80980377040517</c:v>
                </c:pt>
                <c:pt idx="179">
                  <c:v>115.02521973953775</c:v>
                </c:pt>
                <c:pt idx="180">
                  <c:v>116.24598211478263</c:v>
                </c:pt>
                <c:pt idx="181">
                  <c:v>117.47207171626994</c:v>
                </c:pt>
                <c:pt idx="182">
                  <c:v>118.70346934461783</c:v>
                </c:pt>
                <c:pt idx="183">
                  <c:v>119.94015578120342</c:v>
                </c:pt>
                <c:pt idx="184">
                  <c:v>121.18211178843325</c:v>
                </c:pt>
                <c:pt idx="185">
                  <c:v>122.42931811001372</c:v>
                </c:pt>
                <c:pt idx="186">
                  <c:v>123.68175547122119</c:v>
                </c:pt>
                <c:pt idx="187">
                  <c:v>124.93940457917186</c:v>
                </c:pt>
                <c:pt idx="188">
                  <c:v>126.20224612309134</c:v>
                </c:pt>
                <c:pt idx="189">
                  <c:v>127.47026077458401</c:v>
                </c:pt>
                <c:pt idx="190">
                  <c:v>128.743429187902</c:v>
                </c:pt>
                <c:pt idx="191">
                  <c:v>130.02173200021394</c:v>
                </c:pt>
                <c:pt idx="192">
                  <c:v>131.30514983187334</c:v>
                </c:pt>
                <c:pt idx="193">
                  <c:v>132.59366328668654</c:v>
                </c:pt>
                <c:pt idx="194">
                  <c:v>133.88725295218046</c:v>
                </c:pt>
                <c:pt idx="195">
                  <c:v>135.18589939986992</c:v>
                </c:pt>
                <c:pt idx="196">
                  <c:v>136.48958318552445</c:v>
                </c:pt>
                <c:pt idx="197">
                  <c:v>137.79828484943494</c:v>
                </c:pt>
                <c:pt idx="198">
                  <c:v>139.11198491667957</c:v>
                </c:pt>
                <c:pt idx="199">
                  <c:v>140.43066389738965</c:v>
                </c:pt>
                <c:pt idx="200">
                  <c:v>141.75430228701472</c:v>
                </c:pt>
                <c:pt idx="201">
                  <c:v>143.08288056658739</c:v>
                </c:pt>
                <c:pt idx="202">
                  <c:v>144.4163792029876</c:v>
                </c:pt>
                <c:pt idx="203">
                  <c:v>145.75477864920646</c:v>
                </c:pt>
                <c:pt idx="204">
                  <c:v>147.09805934460957</c:v>
                </c:pt>
                <c:pt idx="205">
                  <c:v>148.44620171519983</c:v>
                </c:pt>
                <c:pt idx="206">
                  <c:v>149.79918617387975</c:v>
                </c:pt>
                <c:pt idx="207">
                  <c:v>151.15699312071314</c:v>
                </c:pt>
                <c:pt idx="208">
                  <c:v>152.51960294318641</c:v>
                </c:pt>
                <c:pt idx="209">
                  <c:v>153.8869960164692</c:v>
                </c:pt>
                <c:pt idx="210">
                  <c:v>155.25915270367437</c:v>
                </c:pt>
                <c:pt idx="211">
                  <c:v>156.63605335611771</c:v>
                </c:pt>
                <c:pt idx="212">
                  <c:v>158.0176783135766</c:v>
                </c:pt>
                <c:pt idx="213">
                  <c:v>159.40400790454851</c:v>
                </c:pt>
                <c:pt idx="214">
                  <c:v>160.79502244650854</c:v>
                </c:pt>
                <c:pt idx="215">
                  <c:v>162.19070224616658</c:v>
                </c:pt>
                <c:pt idx="216">
                  <c:v>163.59102759972367</c:v>
                </c:pt>
                <c:pt idx="217">
                  <c:v>164.99597879312779</c:v>
                </c:pt>
                <c:pt idx="218">
                  <c:v>166.40553610232888</c:v>
                </c:pt>
                <c:pt idx="219">
                  <c:v>167.8196797935334</c:v>
                </c:pt>
                <c:pt idx="220">
                  <c:v>169.23839012345795</c:v>
                </c:pt>
                <c:pt idx="221">
                  <c:v>170.6616473395824</c:v>
                </c:pt>
                <c:pt idx="222">
                  <c:v>172.08943168040216</c:v>
                </c:pt>
                <c:pt idx="223">
                  <c:v>173.52172337567987</c:v>
                </c:pt>
                <c:pt idx="224">
                  <c:v>174.95850264669625</c:v>
                </c:pt>
                <c:pt idx="225">
                  <c:v>176.3997497065003</c:v>
                </c:pt>
                <c:pt idx="226">
                  <c:v>177.8454447601587</c:v>
                </c:pt>
                <c:pt idx="227">
                  <c:v>179.2955680050045</c:v>
                </c:pt>
                <c:pt idx="228">
                  <c:v>180.75009963088493</c:v>
                </c:pt>
                <c:pt idx="229">
                  <c:v>182.20901982040863</c:v>
                </c:pt>
                <c:pt idx="230">
                  <c:v>183.6723087491919</c:v>
                </c:pt>
                <c:pt idx="231">
                  <c:v>185.13994658610432</c:v>
                </c:pt>
                <c:pt idx="232">
                  <c:v>186.61191349351341</c:v>
                </c:pt>
                <c:pt idx="233">
                  <c:v>188.08818962752864</c:v>
                </c:pt>
                <c:pt idx="234">
                  <c:v>189.56875513824446</c:v>
                </c:pt>
                <c:pt idx="235">
                  <c:v>191.05359016998258</c:v>
                </c:pt>
                <c:pt idx="236">
                  <c:v>192.5426748615335</c:v>
                </c:pt>
                <c:pt idx="237">
                  <c:v>194.03598934639697</c:v>
                </c:pt>
                <c:pt idx="238">
                  <c:v>195.53351375302185</c:v>
                </c:pt>
                <c:pt idx="239">
                  <c:v>197.03522820504486</c:v>
                </c:pt>
                <c:pt idx="240">
                  <c:v>198.54111282152866</c:v>
                </c:pt>
                <c:pt idx="241">
                  <c:v>200.05114771719892</c:v>
                </c:pt>
                <c:pt idx="242">
                  <c:v>201.5653130026806</c:v>
                </c:pt>
                <c:pt idx="243">
                  <c:v>203.08358878473322</c:v>
                </c:pt>
                <c:pt idx="244">
                  <c:v>204.60595516648539</c:v>
                </c:pt>
                <c:pt idx="245">
                  <c:v>206.13239224766815</c:v>
                </c:pt>
                <c:pt idx="246">
                  <c:v>207.66288012484779</c:v>
                </c:pt>
                <c:pt idx="247">
                  <c:v>209.19739889165731</c:v>
                </c:pt>
                <c:pt idx="248">
                  <c:v>210.73592863902732</c:v>
                </c:pt>
                <c:pt idx="249">
                  <c:v>212.27844945541574</c:v>
                </c:pt>
                <c:pt idx="250">
                  <c:v>213.82494142703666</c:v>
                </c:pt>
                <c:pt idx="251">
                  <c:v>215.37538297758087</c:v>
                </c:pt>
                <c:pt idx="252">
                  <c:v>216.92974920816016</c:v>
                </c:pt>
                <c:pt idx="253">
                  <c:v>218.48801355941092</c:v>
                </c:pt>
                <c:pt idx="254">
                  <c:v>220.05014947342033</c:v>
                </c:pt>
                <c:pt idx="255">
                  <c:v>221.61613039404745</c:v>
                </c:pt>
                <c:pt idx="256">
                  <c:v>223.18592976724236</c:v>
                </c:pt>
                <c:pt idx="257">
                  <c:v>224.75952104136377</c:v>
                </c:pt>
                <c:pt idx="258">
                  <c:v>226.33687766749455</c:v>
                </c:pt>
                <c:pt idx="259">
                  <c:v>227.9179730997557</c:v>
                </c:pt>
                <c:pt idx="260">
                  <c:v>229.50278079561838</c:v>
                </c:pt>
                <c:pt idx="261">
                  <c:v>231.09127421621412</c:v>
                </c:pt>
                <c:pt idx="262">
                  <c:v>232.68342682664326</c:v>
                </c:pt>
                <c:pt idx="263">
                  <c:v>234.27921209628161</c:v>
                </c:pt>
                <c:pt idx="264">
                  <c:v>235.87860349908507</c:v>
                </c:pt>
                <c:pt idx="265">
                  <c:v>237.48157451389264</c:v>
                </c:pt>
                <c:pt idx="266">
                  <c:v>239.08809862472737</c:v>
                </c:pt>
                <c:pt idx="267">
                  <c:v>240.69814932109557</c:v>
                </c:pt>
                <c:pt idx="268">
                  <c:v>242.31170009828421</c:v>
                </c:pt>
                <c:pt idx="269">
                  <c:v>243.92872445765616</c:v>
                </c:pt>
                <c:pt idx="270">
                  <c:v>245.54919590694396</c:v>
                </c:pt>
                <c:pt idx="271">
                  <c:v>247.1730879605413</c:v>
                </c:pt>
                <c:pt idx="272">
                  <c:v>248.80037413979289</c:v>
                </c:pt>
                <c:pt idx="273">
                  <c:v>250.43102797328234</c:v>
                </c:pt>
                <c:pt idx="274">
                  <c:v>252.06502299711804</c:v>
                </c:pt>
                <c:pt idx="275">
                  <c:v>253.70233275521727</c:v>
                </c:pt>
                <c:pt idx="276">
                  <c:v>255.34293079958832</c:v>
                </c:pt>
                <c:pt idx="277">
                  <c:v>256.98679069061069</c:v>
                </c:pt>
                <c:pt idx="278">
                  <c:v>258.63388599731343</c:v>
                </c:pt>
                <c:pt idx="279">
                  <c:v>260.28419029765138</c:v>
                </c:pt>
                <c:pt idx="280">
                  <c:v>261.93767717877972</c:v>
                </c:pt>
                <c:pt idx="281">
                  <c:v>263.59432023732637</c:v>
                </c:pt>
                <c:pt idx="282">
                  <c:v>265.25409307966254</c:v>
                </c:pt>
                <c:pt idx="283">
                  <c:v>266.91696932217133</c:v>
                </c:pt>
                <c:pt idx="284">
                  <c:v>268.58292259151432</c:v>
                </c:pt>
                <c:pt idx="285">
                  <c:v>270.25192652489631</c:v>
                </c:pt>
                <c:pt idx="286">
                  <c:v>271.92395477032801</c:v>
                </c:pt>
                <c:pt idx="287">
                  <c:v>273.59898098688683</c:v>
                </c:pt>
                <c:pt idx="288">
                  <c:v>275.27697884497559</c:v>
                </c:pt>
                <c:pt idx="289">
                  <c:v>276.95792202657935</c:v>
                </c:pt>
                <c:pt idx="290">
                  <c:v>278.64178422552044</c:v>
                </c:pt>
                <c:pt idx="291">
                  <c:v>280.32853914771118</c:v>
                </c:pt>
                <c:pt idx="292">
                  <c:v>282.01816051140474</c:v>
                </c:pt>
                <c:pt idx="293">
                  <c:v>283.71062204744419</c:v>
                </c:pt>
                <c:pt idx="294">
                  <c:v>285.40589749950936</c:v>
                </c:pt>
                <c:pt idx="295">
                  <c:v>287.10396062436195</c:v>
                </c:pt>
                <c:pt idx="296">
                  <c:v>288.80478519208827</c:v>
                </c:pt>
                <c:pt idx="297">
                  <c:v>290.50834498634043</c:v>
                </c:pt>
                <c:pt idx="298">
                  <c:v>292.21459562740074</c:v>
                </c:pt>
                <c:pt idx="299">
                  <c:v>293.92345640434559</c:v>
                </c:pt>
                <c:pt idx="300">
                  <c:v>295.63482847891555</c:v>
                </c:pt>
                <c:pt idx="301">
                  <c:v>297.34861308113682</c:v>
                </c:pt>
                <c:pt idx="302">
                  <c:v>299.06471151124941</c:v>
                </c:pt>
                <c:pt idx="303">
                  <c:v>300.7830251416097</c:v>
                </c:pt>
                <c:pt idx="304">
                  <c:v>302.50345541856706</c:v>
                </c:pt>
                <c:pt idx="305">
                  <c:v>304.22590386431477</c:v>
                </c:pt>
                <c:pt idx="306">
                  <c:v>305.95027207871522</c:v>
                </c:pt>
                <c:pt idx="307">
                  <c:v>307.67646174109876</c:v>
                </c:pt>
                <c:pt idx="308">
                  <c:v>309.40437461203737</c:v>
                </c:pt>
                <c:pt idx="309">
                  <c:v>311.13391253509172</c:v>
                </c:pt>
                <c:pt idx="310">
                  <c:v>312.86497743853306</c:v>
                </c:pt>
                <c:pt idx="311">
                  <c:v>314.59747133703848</c:v>
                </c:pt>
                <c:pt idx="312">
                  <c:v>316.33129633336114</c:v>
                </c:pt>
                <c:pt idx="313">
                  <c:v>318.06635461997382</c:v>
                </c:pt>
                <c:pt idx="314">
                  <c:v>319.80254848068722</c:v>
                </c:pt>
                <c:pt idx="315">
                  <c:v>321.53978029224214</c:v>
                </c:pt>
                <c:pt idx="316">
                  <c:v>323.277952525876</c:v>
                </c:pt>
                <c:pt idx="317">
                  <c:v>325.01696774886341</c:v>
                </c:pt>
                <c:pt idx="318">
                  <c:v>326.75672862603125</c:v>
                </c:pt>
                <c:pt idx="319">
                  <c:v>328.49713792124788</c:v>
                </c:pt>
                <c:pt idx="320">
                  <c:v>330.23809849888659</c:v>
                </c:pt>
                <c:pt idx="321">
                  <c:v>331.97952054574768</c:v>
                </c:pt>
                <c:pt idx="322">
                  <c:v>333.72132878576565</c:v>
                </c:pt>
                <c:pt idx="323">
                  <c:v>335.46345524492074</c:v>
                </c:pt>
                <c:pt idx="324">
                  <c:v>337.20583202296518</c:v>
                </c:pt>
                <c:pt idx="325">
                  <c:v>338.94839129406768</c:v>
                </c:pt>
                <c:pt idx="326">
                  <c:v>340.6910653074454</c:v>
                </c:pt>
                <c:pt idx="327">
                  <c:v>342.43378638798373</c:v>
                </c:pt>
                <c:pt idx="328">
                  <c:v>344.17648693684345</c:v>
                </c:pt>
                <c:pt idx="329">
                  <c:v>345.91909943205548</c:v>
                </c:pt>
                <c:pt idx="330">
                  <c:v>347.66155642910371</c:v>
                </c:pt>
                <c:pt idx="331">
                  <c:v>349.40379056149516</c:v>
                </c:pt>
                <c:pt idx="332">
                  <c:v>351.14573454131818</c:v>
                </c:pt>
                <c:pt idx="333">
                  <c:v>352.88732115978831</c:v>
                </c:pt>
                <c:pt idx="334">
                  <c:v>354.62848328778222</c:v>
                </c:pt>
                <c:pt idx="335">
                  <c:v>356.36915387635946</c:v>
                </c:pt>
                <c:pt idx="336">
                  <c:v>358.1092659572721</c:v>
                </c:pt>
                <c:pt idx="337">
                  <c:v>359.84875264346272</c:v>
                </c:pt>
                <c:pt idx="338">
                  <c:v>361.58754712955016</c:v>
                </c:pt>
                <c:pt idx="339">
                  <c:v>363.32558269230356</c:v>
                </c:pt>
                <c:pt idx="340">
                  <c:v>365.06279269110468</c:v>
                </c:pt>
                <c:pt idx="341">
                  <c:v>366.79911056839825</c:v>
                </c:pt>
                <c:pt idx="342">
                  <c:v>368.53446985013079</c:v>
                </c:pt>
                <c:pt idx="343">
                  <c:v>370.26880414617773</c:v>
                </c:pt>
                <c:pt idx="344">
                  <c:v>372.0020471507591</c:v>
                </c:pt>
                <c:pt idx="345">
                  <c:v>373.73413264284341</c:v>
                </c:pt>
                <c:pt idx="346">
                  <c:v>375.46499448654032</c:v>
                </c:pt>
                <c:pt idx="347">
                  <c:v>377.19456663148173</c:v>
                </c:pt>
                <c:pt idx="348">
                  <c:v>378.92278389100528</c:v>
                </c:pt>
                <c:pt idx="349">
                  <c:v>380.64958271927298</c:v>
                </c:pt>
                <c:pt idx="350">
                  <c:v>382.37490043167992</c:v>
                </c:pt>
                <c:pt idx="351">
                  <c:v>384.09867442628308</c:v>
                </c:pt>
                <c:pt idx="352">
                  <c:v>385.82084218408227</c:v>
                </c:pt>
                <c:pt idx="353">
                  <c:v>387.5413412692908</c:v>
                </c:pt>
                <c:pt idx="354">
                  <c:v>389.26010932959645</c:v>
                </c:pt>
                <c:pt idx="355">
                  <c:v>390.97708409641268</c:v>
                </c:pt>
                <c:pt idx="356">
                  <c:v>392.69220338511985</c:v>
                </c:pt>
                <c:pt idx="357">
                  <c:v>394.40540509529683</c:v>
                </c:pt>
                <c:pt idx="358">
                  <c:v>396.11662721094297</c:v>
                </c:pt>
                <c:pt idx="359">
                  <c:v>397.82580780069031</c:v>
                </c:pt>
                <c:pt idx="360">
                  <c:v>399.53290118753068</c:v>
                </c:pt>
                <c:pt idx="361">
                  <c:v>401.23789409457908</c:v>
                </c:pt>
                <c:pt idx="362">
                  <c:v>402.94078942892975</c:v>
                </c:pt>
                <c:pt idx="363">
                  <c:v>404.64159008938776</c:v>
                </c:pt>
                <c:pt idx="364">
                  <c:v>406.34029896649952</c:v>
                </c:pt>
                <c:pt idx="365">
                  <c:v>408.03691894258321</c:v>
                </c:pt>
                <c:pt idx="366">
                  <c:v>409.73145289175909</c:v>
                </c:pt>
                <c:pt idx="367">
                  <c:v>411.42390367997967</c:v>
                </c:pt>
                <c:pt idx="368">
                  <c:v>413.11427416505956</c:v>
                </c:pt>
                <c:pt idx="369">
                  <c:v>414.80256719670552</c:v>
                </c:pt>
                <c:pt idx="370">
                  <c:v>416.48878561654618</c:v>
                </c:pt>
                <c:pt idx="371">
                  <c:v>418.17293225816144</c:v>
                </c:pt>
                <c:pt idx="372">
                  <c:v>419.85500994711202</c:v>
                </c:pt>
                <c:pt idx="373">
                  <c:v>421.53502150096887</c:v>
                </c:pt>
                <c:pt idx="374">
                  <c:v>423.21296972934221</c:v>
                </c:pt>
                <c:pt idx="375">
                  <c:v>424.88885743391057</c:v>
                </c:pt>
                <c:pt idx="376">
                  <c:v>426.56268740844979</c:v>
                </c:pt>
                <c:pt idx="377">
                  <c:v>428.23446243886167</c:v>
                </c:pt>
                <c:pt idx="378">
                  <c:v>429.90418530320267</c:v>
                </c:pt>
                <c:pt idx="379">
                  <c:v>431.57185877171247</c:v>
                </c:pt>
                <c:pt idx="380">
                  <c:v>433.23748560684214</c:v>
                </c:pt>
                <c:pt idx="381">
                  <c:v>434.90106856328259</c:v>
                </c:pt>
                <c:pt idx="382">
                  <c:v>436.56261038799261</c:v>
                </c:pt>
                <c:pt idx="383">
                  <c:v>438.22211382022675</c:v>
                </c:pt>
                <c:pt idx="384">
                  <c:v>439.87958159156329</c:v>
                </c:pt>
                <c:pt idx="385">
                  <c:v>441.53501642593193</c:v>
                </c:pt>
                <c:pt idx="386">
                  <c:v>443.18842103964136</c:v>
                </c:pt>
                <c:pt idx="387">
                  <c:v>444.83979814140667</c:v>
                </c:pt>
                <c:pt idx="388">
                  <c:v>446.48915043237685</c:v>
                </c:pt>
                <c:pt idx="389">
                  <c:v>448.1364806061618</c:v>
                </c:pt>
                <c:pt idx="390">
                  <c:v>449.7817913488596</c:v>
                </c:pt>
                <c:pt idx="391">
                  <c:v>451.42508533908335</c:v>
                </c:pt>
                <c:pt idx="392">
                  <c:v>453.06636524798802</c:v>
                </c:pt>
                <c:pt idx="393">
                  <c:v>454.70563373929724</c:v>
                </c:pt>
                <c:pt idx="394">
                  <c:v>456.34289346932991</c:v>
                </c:pt>
                <c:pt idx="395">
                  <c:v>457.97814708702646</c:v>
                </c:pt>
                <c:pt idx="396">
                  <c:v>459.61139723397554</c:v>
                </c:pt>
                <c:pt idx="397">
                  <c:v>461.24264654443994</c:v>
                </c:pt>
                <c:pt idx="398">
                  <c:v>462.87189764538289</c:v>
                </c:pt>
                <c:pt idx="399">
                  <c:v>464.49915315649395</c:v>
                </c:pt>
                <c:pt idx="400">
                  <c:v>466.12441569021502</c:v>
                </c:pt>
                <c:pt idx="401">
                  <c:v>482.26762909441067</c:v>
                </c:pt>
                <c:pt idx="402">
                  <c:v>498.21322366661008</c:v>
                </c:pt>
                <c:pt idx="403">
                  <c:v>513.96374087047525</c:v>
                </c:pt>
                <c:pt idx="404">
                  <c:v>529.5216531012386</c:v>
                </c:pt>
                <c:pt idx="405">
                  <c:v>544.88936607434357</c:v>
                </c:pt>
                <c:pt idx="406">
                  <c:v>560.06922110912296</c:v>
                </c:pt>
                <c:pt idx="407">
                  <c:v>575.06349731301066</c:v>
                </c:pt>
                <c:pt idx="408">
                  <c:v>589.87441367144777</c:v>
                </c:pt>
                <c:pt idx="409">
                  <c:v>604.5041310483316</c:v>
                </c:pt>
                <c:pt idx="410">
                  <c:v>618.95475410156632</c:v>
                </c:pt>
                <c:pt idx="411">
                  <c:v>633.2283331180048</c:v>
                </c:pt>
                <c:pt idx="412">
                  <c:v>647.32686577181698</c:v>
                </c:pt>
                <c:pt idx="413">
                  <c:v>661.25229881008613</c:v>
                </c:pt>
                <c:pt idx="414">
                  <c:v>675.00652966921575</c:v>
                </c:pt>
                <c:pt idx="415">
                  <c:v>688.59140802552099</c:v>
                </c:pt>
                <c:pt idx="416">
                  <c:v>702.00873728319118</c:v>
                </c:pt>
                <c:pt idx="417">
                  <c:v>715.26027600262648</c:v>
                </c:pt>
                <c:pt idx="418">
                  <c:v>728.34773927198694</c:v>
                </c:pt>
                <c:pt idx="419">
                  <c:v>741.27280002463226</c:v>
                </c:pt>
                <c:pt idx="420">
                  <c:v>754.0370903049851</c:v>
                </c:pt>
                <c:pt idx="421">
                  <c:v>766.64220248521178</c:v>
                </c:pt>
                <c:pt idx="422">
                  <c:v>779.08969043498473</c:v>
                </c:pt>
                <c:pt idx="423">
                  <c:v>791.38107064646954</c:v>
                </c:pt>
                <c:pt idx="424">
                  <c:v>803.51782331656466</c:v>
                </c:pt>
                <c:pt idx="425">
                  <c:v>815.50139338831616</c:v>
                </c:pt>
                <c:pt idx="426">
                  <c:v>827.3331915533272</c:v>
                </c:pt>
                <c:pt idx="427">
                  <c:v>839.01459521688798</c:v>
                </c:pt>
                <c:pt idx="428">
                  <c:v>850.54694942746346</c:v>
                </c:pt>
                <c:pt idx="429">
                  <c:v>861.93156777209072</c:v>
                </c:pt>
                <c:pt idx="430">
                  <c:v>873.16973323916022</c:v>
                </c:pt>
                <c:pt idx="431">
                  <c:v>884.26269904997946</c:v>
                </c:pt>
                <c:pt idx="432">
                  <c:v>895.21168946044918</c:v>
                </c:pt>
                <c:pt idx="433">
                  <c:v>906.01790053411366</c:v>
                </c:pt>
                <c:pt idx="434">
                  <c:v>916.68250088778677</c:v>
                </c:pt>
                <c:pt idx="435">
                  <c:v>927.20663241089471</c:v>
                </c:pt>
                <c:pt idx="436">
                  <c:v>937.59141095962218</c:v>
                </c:pt>
                <c:pt idx="437">
                  <c:v>947.83792702689436</c:v>
                </c:pt>
                <c:pt idx="438">
                  <c:v>957.94724638918046</c:v>
                </c:pt>
                <c:pt idx="439">
                  <c:v>967.92041073105418</c:v>
                </c:pt>
                <c:pt idx="440">
                  <c:v>977.7584382484049</c:v>
                </c:pt>
                <c:pt idx="441">
                  <c:v>987.46232423115055</c:v>
                </c:pt>
                <c:pt idx="442">
                  <c:v>997.03304162626307</c:v>
                </c:pt>
                <c:pt idx="443">
                  <c:v>1006.4715415818803</c:v>
                </c:pt>
                <c:pt idx="444">
                  <c:v>1015.7787539732424</c:v>
                </c:pt>
                <c:pt idx="445">
                  <c:v>1024.9555879111581</c:v>
                </c:pt>
                <c:pt idx="446">
                  <c:v>1034.0029322336723</c:v>
                </c:pt>
                <c:pt idx="447">
                  <c:v>1042.9216559815782</c:v>
                </c:pt>
                <c:pt idx="448">
                  <c:v>1051.7126088583896</c:v>
                </c:pt>
                <c:pt idx="449">
                  <c:v>1060.3766216753556</c:v>
                </c:pt>
                <c:pt idx="450">
                  <c:v>1068.9145067820843</c:v>
                </c:pt>
                <c:pt idx="451">
                  <c:v>1077.327058483309</c:v>
                </c:pt>
                <c:pt idx="452">
                  <c:v>1085.6150534423095</c:v>
                </c:pt>
                <c:pt idx="453">
                  <c:v>1093.7792510714855</c:v>
                </c:pt>
                <c:pt idx="454">
                  <c:v>1101.8203939105454</c:v>
                </c:pt>
                <c:pt idx="455">
                  <c:v>1109.7392079927683</c:v>
                </c:pt>
                <c:pt idx="456">
                  <c:v>1117.5364031997685</c:v>
                </c:pt>
                <c:pt idx="457">
                  <c:v>1125.2126736051773</c:v>
                </c:pt>
                <c:pt idx="458">
                  <c:v>1132.7686978076408</c:v>
                </c:pt>
                <c:pt idx="459">
                  <c:v>1140.2051392535166</c:v>
                </c:pt>
                <c:pt idx="460">
                  <c:v>1147.522646549633</c:v>
                </c:pt>
                <c:pt idx="461">
                  <c:v>1154.7218537664683</c:v>
                </c:pt>
                <c:pt idx="462">
                  <c:v>1161.803380732084</c:v>
                </c:pt>
                <c:pt idx="463">
                  <c:v>1168.7678333171432</c:v>
                </c:pt>
                <c:pt idx="464">
                  <c:v>1175.6158037113244</c:v>
                </c:pt>
                <c:pt idx="465">
                  <c:v>1182.3478706914366</c:v>
                </c:pt>
                <c:pt idx="466">
                  <c:v>1188.9645998815265</c:v>
                </c:pt>
                <c:pt idx="467">
                  <c:v>1195.4665440052604</c:v>
                </c:pt>
                <c:pt idx="468">
                  <c:v>1201.8542431308522</c:v>
                </c:pt>
                <c:pt idx="469">
                  <c:v>1208.1282249088044</c:v>
                </c:pt>
                <c:pt idx="470">
                  <c:v>1214.289004802715</c:v>
                </c:pt>
                <c:pt idx="471">
                  <c:v>1220.3370863133994</c:v>
                </c:pt>
                <c:pt idx="472">
                  <c:v>1226.2729611965688</c:v>
                </c:pt>
                <c:pt idx="473">
                  <c:v>1232.097109674299</c:v>
                </c:pt>
                <c:pt idx="474">
                  <c:v>1237.8100006405195</c:v>
                </c:pt>
                <c:pt idx="475">
                  <c:v>1243.4120918607452</c:v>
                </c:pt>
                <c:pt idx="476">
                  <c:v>1248.9038301662704</c:v>
                </c:pt>
                <c:pt idx="477">
                  <c:v>1254.2856516430397</c:v>
                </c:pt>
                <c:pt idx="478">
                  <c:v>1259.557981815409</c:v>
                </c:pt>
                <c:pt idx="479">
                  <c:v>1264.7212358250022</c:v>
                </c:pt>
                <c:pt idx="480">
                  <c:v>1269.7758186048732</c:v>
                </c:pt>
                <c:pt idx="481">
                  <c:v>1274.722125049178</c:v>
                </c:pt>
                <c:pt idx="482">
                  <c:v>1279.5605401785608</c:v>
                </c:pt>
                <c:pt idx="483">
                  <c:v>1284.2914393014594</c:v>
                </c:pt>
                <c:pt idx="484">
                  <c:v>1288.9151881715366</c:v>
                </c:pt>
                <c:pt idx="485">
                  <c:v>1293.4321431414439</c:v>
                </c:pt>
                <c:pt idx="486">
                  <c:v>1297.8426513131305</c:v>
                </c:pt>
                <c:pt idx="487">
                  <c:v>1302.1470506849078</c:v>
                </c:pt>
                <c:pt idx="488">
                  <c:v>1306.345670295492</c:v>
                </c:pt>
                <c:pt idx="489">
                  <c:v>1310.4388303652486</c:v>
                </c:pt>
                <c:pt idx="490">
                  <c:v>1314.4268424348691</c:v>
                </c:pt>
                <c:pt idx="491">
                  <c:v>1318.3100095017223</c:v>
                </c:pt>
                <c:pt idx="492">
                  <c:v>1322.0886261541293</c:v>
                </c:pt>
                <c:pt idx="493">
                  <c:v>1325.7629787038215</c:v>
                </c:pt>
                <c:pt idx="494">
                  <c:v>1329.3333453168586</c:v>
                </c:pt>
                <c:pt idx="495">
                  <c:v>1332.7999961432915</c:v>
                </c:pt>
                <c:pt idx="496">
                  <c:v>1336.1631934458751</c:v>
                </c:pt>
                <c:pt idx="497">
                  <c:v>1339.423191728152</c:v>
                </c:pt>
                <c:pt idx="498">
                  <c:v>1342.5802378622491</c:v>
                </c:pt>
                <c:pt idx="499">
                  <c:v>1345.6345712167463</c:v>
                </c:pt>
                <c:pt idx="500">
                  <c:v>1348.5864237850069</c:v>
                </c:pt>
                <c:pt idx="501">
                  <c:v>1351.4360203143751</c:v>
                </c:pt>
                <c:pt idx="502">
                  <c:v>1354.1835784366808</c:v>
                </c:pt>
                <c:pt idx="503">
                  <c:v>1356.8293088005134</c:v>
                </c:pt>
                <c:pt idx="504">
                  <c:v>1359.3734152057607</c:v>
                </c:pt>
                <c:pt idx="505">
                  <c:v>1361.8160947409333</c:v>
                </c:pt>
                <c:pt idx="506">
                  <c:v>1364.1575379238325</c:v>
                </c:pt>
                <c:pt idx="507">
                  <c:v>1366.3979288461414</c:v>
                </c:pt>
                <c:pt idx="508">
                  <c:v>1368.5374453225545</c:v>
                </c:pt>
                <c:pt idx="509">
                  <c:v>1370.576259045082</c:v>
                </c:pt>
                <c:pt idx="510">
                  <c:v>1372.5145357431929</c:v>
                </c:pt>
                <c:pt idx="511">
                  <c:v>1374.3524353504743</c:v>
                </c:pt>
                <c:pt idx="512">
                  <c:v>1376.0901121784964</c:v>
                </c:pt>
                <c:pt idx="513">
                  <c:v>1377.7277150985763</c:v>
                </c:pt>
                <c:pt idx="514">
                  <c:v>1379.2653877321204</c:v>
                </c:pt>
                <c:pt idx="515">
                  <c:v>1380.7032686502066</c:v>
                </c:pt>
                <c:pt idx="516">
                  <c:v>1382.0414915830236</c:v>
                </c:pt>
                <c:pt idx="517">
                  <c:v>1383.2801856397311</c:v>
                </c:pt>
                <c:pt idx="518">
                  <c:v>1384.419475539225</c:v>
                </c:pt>
                <c:pt idx="519">
                  <c:v>1385.4594818521884</c:v>
                </c:pt>
                <c:pt idx="520">
                  <c:v>1386.4003212546877</c:v>
                </c:pt>
                <c:pt idx="521">
                  <c:v>1387.2421067934235</c:v>
                </c:pt>
                <c:pt idx="522">
                  <c:v>1387.9849481625736</c:v>
                </c:pt>
                <c:pt idx="523">
                  <c:v>1388.6289519919696</c:v>
                </c:pt>
                <c:pt idx="524">
                  <c:v>1389.1742221461436</c:v>
                </c:pt>
                <c:pt idx="525">
                  <c:v>1389.6208600335501</c:v>
                </c:pt>
                <c:pt idx="526">
                  <c:v>1389.9689649250452</c:v>
                </c:pt>
                <c:pt idx="527">
                  <c:v>1390.2186342804728</c:v>
                </c:pt>
                <c:pt idx="528">
                  <c:v>1390.3699640819921</c:v>
                </c:pt>
                <c:pt idx="529">
                  <c:v>1390.4230491725832</c:v>
                </c:pt>
                <c:pt idx="530">
                  <c:v>1390.377983597999</c:v>
                </c:pt>
                <c:pt idx="531">
                  <c:v>1390.234860950301</c:v>
                </c:pt>
                <c:pt idx="532">
                  <c:v>1389.9937747110268</c:v>
                </c:pt>
                <c:pt idx="533">
                  <c:v>1389.6548185920028</c:v>
                </c:pt>
                <c:pt idx="534">
                  <c:v>1389.2180868718222</c:v>
                </c:pt>
                <c:pt idx="535">
                  <c:v>1388.6836747260729</c:v>
                </c:pt>
                <c:pt idx="536">
                  <c:v>1388.0516785495095</c:v>
                </c:pt>
                <c:pt idx="537">
                  <c:v>1387.3221962685086</c:v>
                </c:pt>
                <c:pt idx="538">
                  <c:v>1386.4953276423366</c:v>
                </c:pt>
                <c:pt idx="539">
                  <c:v>1385.5711745519613</c:v>
                </c:pt>
                <c:pt idx="540">
                  <c:v>1384.5498412753682</c:v>
                </c:pt>
                <c:pt idx="541">
                  <c:v>1383.431434748569</c:v>
                </c:pt>
                <c:pt idx="542">
                  <c:v>1382.216064811724</c:v>
                </c:pt>
                <c:pt idx="543">
                  <c:v>1380.9038444400121</c:v>
                </c:pt>
                <c:pt idx="544">
                  <c:v>1379.4948899590952</c:v>
                </c:pt>
                <c:pt idx="545">
                  <c:v>1377.9893212451982</c:v>
                </c:pt>
                <c:pt idx="546">
                  <c:v>1376.3872619099966</c:v>
                </c:pt>
                <c:pt idx="547">
                  <c:v>1374.6888394706323</c:v>
                </c:pt>
                <c:pt idx="548">
                  <c:v>1372.894185505296</c:v>
                </c:pt>
                <c:pt idx="549">
                  <c:v>1371.0034357949</c:v>
                </c:pt>
                <c:pt idx="550">
                  <c:v>1369.0167304514337</c:v>
                </c:pt>
                <c:pt idx="551">
                  <c:v>1366.9342140336373</c:v>
                </c:pt>
                <c:pt idx="552">
                  <c:v>1364.7560356506622</c:v>
                </c:pt>
                <c:pt idx="553">
                  <c:v>1362.4823490543934</c:v>
                </c:pt>
                <c:pt idx="554">
                  <c:v>1360.1133127211176</c:v>
                </c:pt>
                <c:pt idx="555">
                  <c:v>1357.6490899232031</c:v>
                </c:pt>
                <c:pt idx="556">
                  <c:v>1355.0898487914467</c:v>
                </c:pt>
                <c:pt idx="557">
                  <c:v>1352.4357623687149</c:v>
                </c:pt>
                <c:pt idx="558">
                  <c:v>1349.6870086554788</c:v>
                </c:pt>
                <c:pt idx="559">
                  <c:v>1346.8437706478139</c:v>
                </c:pt>
                <c:pt idx="560">
                  <c:v>1343.9062363683984</c:v>
                </c:pt>
                <c:pt idx="561">
                  <c:v>1340.8745988910157</c:v>
                </c:pt>
                <c:pt idx="562">
                  <c:v>1337.7490563590279</c:v>
                </c:pt>
                <c:pt idx="563">
                  <c:v>1334.5298119982567</c:v>
                </c:pt>
                <c:pt idx="564">
                  <c:v>1331.2170741246766</c:v>
                </c:pt>
                <c:pt idx="565">
                  <c:v>1327.8110561472938</c:v>
                </c:pt>
                <c:pt idx="566">
                  <c:v>1324.3119765665542</c:v>
                </c:pt>
                <c:pt idx="567">
                  <c:v>1320.7200589686001</c:v>
                </c:pt>
                <c:pt idx="568">
                  <c:v>1317.0355320156652</c:v>
                </c:pt>
                <c:pt idx="569">
                  <c:v>1313.2586294328767</c:v>
                </c:pt>
                <c:pt idx="570">
                  <c:v>1309.3895899917118</c:v>
                </c:pt>
                <c:pt idx="571">
                  <c:v>1305.4286574903344</c:v>
                </c:pt>
                <c:pt idx="572">
                  <c:v>1301.376080731018</c:v>
                </c:pt>
                <c:pt idx="573">
                  <c:v>1297.2321134948468</c:v>
                </c:pt>
                <c:pt idx="574">
                  <c:v>1292.9970145138705</c:v>
                </c:pt>
                <c:pt idx="575">
                  <c:v>1288.6710474408726</c:v>
                </c:pt>
                <c:pt idx="576">
                  <c:v>1284.2544808169002</c:v>
                </c:pt>
                <c:pt idx="577">
                  <c:v>1279.7475880366935</c:v>
                </c:pt>
                <c:pt idx="578">
                  <c:v>1275.1506473121383</c:v>
                </c:pt>
                <c:pt idx="579">
                  <c:v>1270.4639416338596</c:v>
                </c:pt>
                <c:pt idx="580">
                  <c:v>1265.6877587310619</c:v>
                </c:pt>
                <c:pt idx="581">
                  <c:v>1260.8223910297183</c:v>
                </c:pt>
                <c:pt idx="582">
                  <c:v>1255.8681356091984</c:v>
                </c:pt>
                <c:pt idx="583">
                  <c:v>1250.8252941574206</c:v>
                </c:pt>
                <c:pt idx="584">
                  <c:v>1245.6941729246118</c:v>
                </c:pt>
                <c:pt idx="585">
                  <c:v>1240.4750826757468</c:v>
                </c:pt>
                <c:pt idx="586">
                  <c:v>1235.1683386417365</c:v>
                </c:pt>
                <c:pt idx="587">
                  <c:v>1229.774260469434</c:v>
                </c:pt>
                <c:pt idx="588">
                  <c:v>1224.2931721705161</c:v>
                </c:pt>
                <c:pt idx="589">
                  <c:v>1218.7254020693015</c:v>
                </c:pt>
                <c:pt idx="590">
                  <c:v>1213.0712827495588</c:v>
                </c:pt>
                <c:pt idx="591">
                  <c:v>1207.3311510003568</c:v>
                </c:pt>
                <c:pt idx="592">
                  <c:v>1201.5053477610068</c:v>
                </c:pt>
                <c:pt idx="593">
                  <c:v>1195.5942180651418</c:v>
                </c:pt>
                <c:pt idx="594">
                  <c:v>1189.5981109839809</c:v>
                </c:pt>
                <c:pt idx="595">
                  <c:v>1183.5173795688168</c:v>
                </c:pt>
                <c:pt idx="596">
                  <c:v>1177.3523807927718</c:v>
                </c:pt>
                <c:pt idx="597">
                  <c:v>1171.1034754918589</c:v>
                </c:pt>
                <c:pt idx="598">
                  <c:v>1164.7710283053855</c:v>
                </c:pt>
                <c:pt idx="599">
                  <c:v>1158.3554076157377</c:v>
                </c:pt>
                <c:pt idx="600">
                  <c:v>1151.8569854875784</c:v>
                </c:pt>
                <c:pt idx="601">
                  <c:v>1145.2761376064941</c:v>
                </c:pt>
                <c:pt idx="602">
                  <c:v>1138.6132432171232</c:v>
                </c:pt>
                <c:pt idx="603">
                  <c:v>1131.8686850607962</c:v>
                </c:pt>
                <c:pt idx="604">
                  <c:v>1125.042849312721</c:v>
                </c:pt>
                <c:pt idx="605">
                  <c:v>1118.1361255187408</c:v>
                </c:pt>
                <c:pt idx="606">
                  <c:v>1111.148906531695</c:v>
                </c:pt>
                <c:pt idx="607">
                  <c:v>1104.0815884474132</c:v>
                </c:pt>
                <c:pt idx="608">
                  <c:v>1096.9345705403655</c:v>
                </c:pt>
                <c:pt idx="609">
                  <c:v>1089.708255199002</c:v>
                </c:pt>
                <c:pt idx="610">
                  <c:v>1082.4030478608031</c:v>
                </c:pt>
                <c:pt idx="611">
                  <c:v>1075.01935694707</c:v>
                </c:pt>
                <c:pt idx="612">
                  <c:v>1067.5575937974784</c:v>
                </c:pt>
                <c:pt idx="613">
                  <c:v>1060.018172604422</c:v>
                </c:pt>
                <c:pt idx="614">
                  <c:v>1052.4015103471704</c:v>
                </c:pt>
                <c:pt idx="615">
                  <c:v>1044.7080267258625</c:v>
                </c:pt>
                <c:pt idx="616">
                  <c:v>1036.938144095363</c:v>
                </c:pt>
                <c:pt idx="617">
                  <c:v>1029.0922873990025</c:v>
                </c:pt>
                <c:pt idx="618">
                  <c:v>1021.170884102224</c:v>
                </c:pt>
                <c:pt idx="619">
                  <c:v>1013.174364126159</c:v>
                </c:pt>
                <c:pt idx="620">
                  <c:v>1005.1031597811551</c:v>
                </c:pt>
                <c:pt idx="621">
                  <c:v>996.95770570027526</c:v>
                </c:pt>
                <c:pt idx="622">
                  <c:v>988.73843877279148</c:v>
                </c:pt>
                <c:pt idx="623">
                  <c:v>980.44579807769298</c:v>
                </c:pt>
                <c:pt idx="624">
                  <c:v>972.08022481722924</c:v>
                </c:pt>
                <c:pt idx="625">
                  <c:v>963.64216225050768</c:v>
                </c:pt>
                <c:pt idx="626">
                  <c:v>955.13205562716678</c:v>
                </c:pt>
                <c:pt idx="627">
                  <c:v>946.55035212114331</c:v>
                </c:pt>
                <c:pt idx="628">
                  <c:v>937.89750076455232</c:v>
                </c:pt>
                <c:pt idx="629">
                  <c:v>929.17395238169945</c:v>
                </c:pt>
                <c:pt idx="630">
                  <c:v>920.38015952324383</c:v>
                </c:pt>
                <c:pt idx="631">
                  <c:v>911.51657640052917</c:v>
                </c:pt>
                <c:pt idx="632">
                  <c:v>902.58365882010105</c:v>
                </c:pt>
                <c:pt idx="633">
                  <c:v>893.58186411842803</c:v>
                </c:pt>
                <c:pt idx="634">
                  <c:v>884.51165109684314</c:v>
                </c:pt>
                <c:pt idx="635">
                  <c:v>875.3734799567236</c:v>
                </c:pt>
                <c:pt idx="636">
                  <c:v>866.16781223492353</c:v>
                </c:pt>
                <c:pt idx="637">
                  <c:v>856.89511073947767</c:v>
                </c:pt>
                <c:pt idx="638">
                  <c:v>847.55583948559013</c:v>
                </c:pt>
                <c:pt idx="639">
                  <c:v>838.15046363192528</c:v>
                </c:pt>
                <c:pt idx="640">
                  <c:v>828.67944941721453</c:v>
                </c:pt>
                <c:pt idx="641">
                  <c:v>819.14326409719513</c:v>
                </c:pt>
                <c:pt idx="642">
                  <c:v>809.54237588189403</c:v>
                </c:pt>
                <c:pt idx="643">
                  <c:v>799.87725387327259</c:v>
                </c:pt>
                <c:pt idx="644">
                  <c:v>790.14836800324474</c:v>
                </c:pt>
                <c:pt idx="645">
                  <c:v>780.35618897208258</c:v>
                </c:pt>
                <c:pt idx="646">
                  <c:v>770.50118818722319</c:v>
                </c:pt>
                <c:pt idx="647">
                  <c:v>760.58383770248827</c:v>
                </c:pt>
                <c:pt idx="648">
                  <c:v>750.60461015773069</c:v>
                </c:pt>
                <c:pt idx="649">
                  <c:v>740.56397871891875</c:v>
                </c:pt>
                <c:pt idx="650">
                  <c:v>730.46241701867143</c:v>
                </c:pt>
                <c:pt idx="651">
                  <c:v>720.30039909725474</c:v>
                </c:pt>
                <c:pt idx="652">
                  <c:v>710.07839934405229</c:v>
                </c:pt>
                <c:pt idx="653">
                  <c:v>699.79689243951896</c:v>
                </c:pt>
                <c:pt idx="654">
                  <c:v>689.45635329763013</c:v>
                </c:pt>
                <c:pt idx="655">
                  <c:v>679.05725700883556</c:v>
                </c:pt>
                <c:pt idx="656">
                  <c:v>668.6000787835286</c:v>
                </c:pt>
                <c:pt idx="657">
                  <c:v>658.08529389603962</c:v>
                </c:pt>
                <c:pt idx="658">
                  <c:v>647.51337762916421</c:v>
                </c:pt>
                <c:pt idx="659">
                  <c:v>636.88480521923395</c:v>
                </c:pt>
                <c:pt idx="660">
                  <c:v>626.20005180173894</c:v>
                </c:pt>
                <c:pt idx="661">
                  <c:v>615.45959235751104</c:v>
                </c:pt>
                <c:pt idx="662">
                  <c:v>604.6639016594745</c:v>
                </c:pt>
                <c:pt idx="663">
                  <c:v>593.81345421997321</c:v>
                </c:pt>
                <c:pt idx="664">
                  <c:v>582.90872423868143</c:v>
                </c:pt>
                <c:pt idx="665">
                  <c:v>571.95018555110425</c:v>
                </c:pt>
                <c:pt idx="666">
                  <c:v>560.93831157767636</c:v>
                </c:pt>
                <c:pt idx="667">
                  <c:v>549.87357527346433</c:v>
                </c:pt>
                <c:pt idx="668">
                  <c:v>538.75644907847845</c:v>
                </c:pt>
                <c:pt idx="669">
                  <c:v>527.58740486860154</c:v>
                </c:pt>
                <c:pt idx="670">
                  <c:v>516.36691390713838</c:v>
                </c:pt>
                <c:pt idx="671">
                  <c:v>505.09544679699235</c:v>
                </c:pt>
                <c:pt idx="672">
                  <c:v>493.77347343347412</c:v>
                </c:pt>
                <c:pt idx="673">
                  <c:v>482.40146295774645</c:v>
                </c:pt>
                <c:pt idx="674">
                  <c:v>470.97988371091014</c:v>
                </c:pt>
                <c:pt idx="675">
                  <c:v>459.50920318873517</c:v>
                </c:pt>
                <c:pt idx="676">
                  <c:v>447.98988799704034</c:v>
                </c:pt>
                <c:pt idx="677">
                  <c:v>436.42240380772569</c:v>
                </c:pt>
                <c:pt idx="678">
                  <c:v>424.80721531546044</c:v>
                </c:pt>
                <c:pt idx="679">
                  <c:v>413.14478619502961</c:v>
                </c:pt>
                <c:pt idx="680">
                  <c:v>401.4355790593421</c:v>
                </c:pt>
                <c:pt idx="681">
                  <c:v>389.68005541810243</c:v>
                </c:pt>
                <c:pt idx="682">
                  <c:v>377.87867563714849</c:v>
                </c:pt>
                <c:pt idx="683">
                  <c:v>366.03189889845743</c:v>
                </c:pt>
                <c:pt idx="684">
                  <c:v>354.14018316082058</c:v>
                </c:pt>
                <c:pt idx="685">
                  <c:v>342.20398512118987</c:v>
                </c:pt>
                <c:pt idx="686">
                  <c:v>330.22376017669575</c:v>
                </c:pt>
                <c:pt idx="687">
                  <c:v>318.1999623873383</c:v>
                </c:pt>
                <c:pt idx="688">
                  <c:v>306.13304443935198</c:v>
                </c:pt>
                <c:pt idx="689">
                  <c:v>294.02345760924391</c:v>
                </c:pt>
                <c:pt idx="690">
                  <c:v>281.87165172850666</c:v>
                </c:pt>
                <c:pt idx="691">
                  <c:v>269.67807514900488</c:v>
                </c:pt>
                <c:pt idx="692">
                  <c:v>257.44317470903559</c:v>
                </c:pt>
                <c:pt idx="693">
                  <c:v>245.16739570006141</c:v>
                </c:pt>
                <c:pt idx="694">
                  <c:v>232.85118183411663</c:v>
                </c:pt>
                <c:pt idx="695">
                  <c:v>220.49497521188422</c:v>
                </c:pt>
                <c:pt idx="696">
                  <c:v>208.0992162914433</c:v>
                </c:pt>
                <c:pt idx="697">
                  <c:v>195.66434385768514</c:v>
                </c:pt>
                <c:pt idx="698">
                  <c:v>183.19079499239663</c:v>
                </c:pt>
                <c:pt idx="699">
                  <c:v>170.67900504500875</c:v>
                </c:pt>
                <c:pt idx="700">
                  <c:v>158.12940760400866</c:v>
                </c:pt>
                <c:pt idx="701">
                  <c:v>145.54243446901273</c:v>
                </c:pt>
                <c:pt idx="702">
                  <c:v>132.91851562349831</c:v>
                </c:pt>
                <c:pt idx="703">
                  <c:v>120.25807920819173</c:v>
                </c:pt>
                <c:pt idx="704">
                  <c:v>107.56155149510964</c:v>
                </c:pt>
                <c:pt idx="705">
                  <c:v>94.829356862250748</c:v>
                </c:pt>
                <c:pt idx="706">
                  <c:v>82.061917768934947</c:v>
                </c:pt>
                <c:pt idx="707">
                  <c:v>69.259654731786497</c:v>
                </c:pt>
                <c:pt idx="708">
                  <c:v>56.422986301357888</c:v>
                </c:pt>
                <c:pt idx="709">
                  <c:v>43.552329039390642</c:v>
                </c:pt>
                <c:pt idx="710">
                  <c:v>30.648097496709511</c:v>
                </c:pt>
                <c:pt idx="711">
                  <c:v>17.710704191746018</c:v>
                </c:pt>
                <c:pt idx="712">
                  <c:v>4.7405595896873951</c:v>
                </c:pt>
                <c:pt idx="713">
                  <c:v>-8.261927917753324</c:v>
                </c:pt>
                <c:pt idx="714">
                  <c:v>-8.2749464907429484</c:v>
                </c:pt>
                <c:pt idx="715">
                  <c:v>-8.2879650954663546</c:v>
                </c:pt>
                <c:pt idx="716">
                  <c:v>-8.3009837319231412</c:v>
                </c:pt>
                <c:pt idx="717">
                  <c:v>-8.3140024001129049</c:v>
                </c:pt>
                <c:pt idx="718">
                  <c:v>-8.3270211000352443</c:v>
                </c:pt>
                <c:pt idx="719">
                  <c:v>-8.3400398316897579</c:v>
                </c:pt>
                <c:pt idx="720">
                  <c:v>-8.3530585950760425</c:v>
                </c:pt>
                <c:pt idx="721">
                  <c:v>-8.3660773901936967</c:v>
                </c:pt>
                <c:pt idx="722">
                  <c:v>-8.3790962170423171</c:v>
                </c:pt>
                <c:pt idx="723">
                  <c:v>-8.3921150756215024</c:v>
                </c:pt>
                <c:pt idx="724">
                  <c:v>-8.405133965930851</c:v>
                </c:pt>
                <c:pt idx="725">
                  <c:v>-8.4181528879699599</c:v>
                </c:pt>
                <c:pt idx="726">
                  <c:v>-8.4311718417384274</c:v>
                </c:pt>
                <c:pt idx="727">
                  <c:v>-8.4441908272358521</c:v>
                </c:pt>
                <c:pt idx="728">
                  <c:v>-8.4572098444618309</c:v>
                </c:pt>
                <c:pt idx="729">
                  <c:v>-8.4702288934159622</c:v>
                </c:pt>
                <c:pt idx="730">
                  <c:v>-8.4832479740978428</c:v>
                </c:pt>
                <c:pt idx="731">
                  <c:v>-8.4962670865070713</c:v>
                </c:pt>
                <c:pt idx="732">
                  <c:v>-8.5092862306432462</c:v>
                </c:pt>
                <c:pt idx="733">
                  <c:v>-8.5223054065059642</c:v>
                </c:pt>
                <c:pt idx="734">
                  <c:v>-8.535324614094824</c:v>
                </c:pt>
                <c:pt idx="735">
                  <c:v>-8.548343853409424</c:v>
                </c:pt>
                <c:pt idx="736">
                  <c:v>-8.5613631244493611</c:v>
                </c:pt>
                <c:pt idx="737">
                  <c:v>-8.5743824272142337</c:v>
                </c:pt>
                <c:pt idx="738">
                  <c:v>-8.5874017617036387</c:v>
                </c:pt>
                <c:pt idx="739">
                  <c:v>-8.6004211279171745</c:v>
                </c:pt>
                <c:pt idx="740">
                  <c:v>-8.6134405258544398</c:v>
                </c:pt>
                <c:pt idx="741">
                  <c:v>-8.6264599555150312</c:v>
                </c:pt>
                <c:pt idx="742">
                  <c:v>-8.6394794168985491</c:v>
                </c:pt>
                <c:pt idx="743">
                  <c:v>-8.6524989100045886</c:v>
                </c:pt>
                <c:pt idx="744">
                  <c:v>-8.6655184348327499</c:v>
                </c:pt>
                <c:pt idx="745">
                  <c:v>-8.6785379913826297</c:v>
                </c:pt>
                <c:pt idx="746">
                  <c:v>-8.6915575796538249</c:v>
                </c:pt>
                <c:pt idx="747">
                  <c:v>-8.704577199645934</c:v>
                </c:pt>
                <c:pt idx="748">
                  <c:v>-8.7175968513585556</c:v>
                </c:pt>
                <c:pt idx="749">
                  <c:v>-8.7306165347912881</c:v>
                </c:pt>
                <c:pt idx="750">
                  <c:v>-8.7436362499437283</c:v>
                </c:pt>
                <c:pt idx="751">
                  <c:v>-8.7566559968154749</c:v>
                </c:pt>
                <c:pt idx="752">
                  <c:v>-8.7696757754061263</c:v>
                </c:pt>
                <c:pt idx="753">
                  <c:v>-8.7826955857152793</c:v>
                </c:pt>
                <c:pt idx="754">
                  <c:v>-8.7957154277425325</c:v>
                </c:pt>
                <c:pt idx="755">
                  <c:v>-8.8087353014874825</c:v>
                </c:pt>
                <c:pt idx="756">
                  <c:v>-8.821755206949728</c:v>
                </c:pt>
                <c:pt idx="757">
                  <c:v>-8.8347751441288676</c:v>
                </c:pt>
                <c:pt idx="758">
                  <c:v>-8.8477951130244996</c:v>
                </c:pt>
                <c:pt idx="759">
                  <c:v>-8.860815113636221</c:v>
                </c:pt>
                <c:pt idx="760">
                  <c:v>-8.8738351459636284</c:v>
                </c:pt>
                <c:pt idx="761">
                  <c:v>-8.8868552100063223</c:v>
                </c:pt>
                <c:pt idx="762">
                  <c:v>-8.8998753057638993</c:v>
                </c:pt>
                <c:pt idx="763">
                  <c:v>-8.912895433235958</c:v>
                </c:pt>
                <c:pt idx="764">
                  <c:v>-8.9259155924220952</c:v>
                </c:pt>
                <c:pt idx="765">
                  <c:v>-8.9389357833219094</c:v>
                </c:pt>
                <c:pt idx="766">
                  <c:v>-8.9519560059349992</c:v>
                </c:pt>
                <c:pt idx="767">
                  <c:v>-8.9649762602609631</c:v>
                </c:pt>
                <c:pt idx="768">
                  <c:v>-8.9779965462993978</c:v>
                </c:pt>
                <c:pt idx="769">
                  <c:v>-8.991016864049902</c:v>
                </c:pt>
                <c:pt idx="770">
                  <c:v>-9.0040372135120723</c:v>
                </c:pt>
                <c:pt idx="771">
                  <c:v>-9.0170575946855074</c:v>
                </c:pt>
                <c:pt idx="772">
                  <c:v>-9.0300780075698057</c:v>
                </c:pt>
                <c:pt idx="773">
                  <c:v>-9.0430984521645659</c:v>
                </c:pt>
                <c:pt idx="774">
                  <c:v>-9.0561189284693846</c:v>
                </c:pt>
                <c:pt idx="775">
                  <c:v>-9.0691394364838605</c:v>
                </c:pt>
                <c:pt idx="776">
                  <c:v>-9.082159976207592</c:v>
                </c:pt>
                <c:pt idx="777">
                  <c:v>-9.0951805476401759</c:v>
                </c:pt>
                <c:pt idx="778">
                  <c:v>-9.1082011507812108</c:v>
                </c:pt>
                <c:pt idx="779">
                  <c:v>-9.1212217856302935</c:v>
                </c:pt>
                <c:pt idx="780">
                  <c:v>-9.1342424521870242</c:v>
                </c:pt>
                <c:pt idx="781">
                  <c:v>-9.1472631504509998</c:v>
                </c:pt>
                <c:pt idx="782">
                  <c:v>-9.160283880421817</c:v>
                </c:pt>
                <c:pt idx="783">
                  <c:v>-9.173304642099076</c:v>
                </c:pt>
                <c:pt idx="784">
                  <c:v>-9.1863254354823738</c:v>
                </c:pt>
                <c:pt idx="785">
                  <c:v>-9.1993462605713088</c:v>
                </c:pt>
                <c:pt idx="786">
                  <c:v>-9.2123671173654778</c:v>
                </c:pt>
                <c:pt idx="787">
                  <c:v>-9.2253880058644793</c:v>
                </c:pt>
                <c:pt idx="788">
                  <c:v>-9.2384089260679119</c:v>
                </c:pt>
                <c:pt idx="789">
                  <c:v>-9.2514298779753741</c:v>
                </c:pt>
                <c:pt idx="790">
                  <c:v>-9.2644508615864627</c:v>
                </c:pt>
                <c:pt idx="791">
                  <c:v>-9.2774718769007762</c:v>
                </c:pt>
                <c:pt idx="792">
                  <c:v>-9.2904929239179133</c:v>
                </c:pt>
                <c:pt idx="793">
                  <c:v>-9.3035140026374705</c:v>
                </c:pt>
                <c:pt idx="794">
                  <c:v>-9.3165351130590466</c:v>
                </c:pt>
                <c:pt idx="795">
                  <c:v>-9.32955625518224</c:v>
                </c:pt>
                <c:pt idx="796">
                  <c:v>-9.3425774290066474</c:v>
                </c:pt>
                <c:pt idx="797">
                  <c:v>-9.3555986345318676</c:v>
                </c:pt>
                <c:pt idx="798">
                  <c:v>-9.3686198717574989</c:v>
                </c:pt>
                <c:pt idx="799">
                  <c:v>-9.3816411406831399</c:v>
                </c:pt>
                <c:pt idx="800">
                  <c:v>-9.3946624413083875</c:v>
                </c:pt>
                <c:pt idx="801">
                  <c:v>-9.40768377363284</c:v>
                </c:pt>
                <c:pt idx="802">
                  <c:v>-9.4207051376560962</c:v>
                </c:pt>
                <c:pt idx="803">
                  <c:v>-9.4337265333777527</c:v>
                </c:pt>
                <c:pt idx="804">
                  <c:v>-9.4467479607974099</c:v>
                </c:pt>
                <c:pt idx="805">
                  <c:v>-9.4597694199146627</c:v>
                </c:pt>
                <c:pt idx="806">
                  <c:v>-9.4727909107291115</c:v>
                </c:pt>
                <c:pt idx="807">
                  <c:v>-9.4858124332403531</c:v>
                </c:pt>
                <c:pt idx="808">
                  <c:v>-9.4988339874479859</c:v>
                </c:pt>
                <c:pt idx="809">
                  <c:v>-9.5118555733516086</c:v>
                </c:pt>
                <c:pt idx="810">
                  <c:v>-9.5248771909508196</c:v>
                </c:pt>
                <c:pt idx="811">
                  <c:v>-9.5378988402452158</c:v>
                </c:pt>
                <c:pt idx="812">
                  <c:v>-9.5509205212343957</c:v>
                </c:pt>
                <c:pt idx="813">
                  <c:v>-9.5639422339179561</c:v>
                </c:pt>
                <c:pt idx="814">
                  <c:v>-9.5769639782954972</c:v>
                </c:pt>
                <c:pt idx="815">
                  <c:v>-9.5899857543666158</c:v>
                </c:pt>
                <c:pt idx="816">
                  <c:v>-9.6030075621309106</c:v>
                </c:pt>
                <c:pt idx="817">
                  <c:v>-9.6160294015879781</c:v>
                </c:pt>
                <c:pt idx="818">
                  <c:v>-9.6290512727374189</c:v>
                </c:pt>
                <c:pt idx="819">
                  <c:v>-9.6420731755788296</c:v>
                </c:pt>
                <c:pt idx="820">
                  <c:v>-9.6550951101118088</c:v>
                </c:pt>
                <c:pt idx="821">
                  <c:v>-9.6681170763359532</c:v>
                </c:pt>
                <c:pt idx="822">
                  <c:v>-9.6811390742508614</c:v>
                </c:pt>
                <c:pt idx="823">
                  <c:v>-9.6941611038561319</c:v>
                </c:pt>
                <c:pt idx="824">
                  <c:v>-9.7071831651513634</c:v>
                </c:pt>
                <c:pt idx="825">
                  <c:v>-9.7202052581361524</c:v>
                </c:pt>
                <c:pt idx="826">
                  <c:v>-9.7332273828100995</c:v>
                </c:pt>
                <c:pt idx="827">
                  <c:v>-9.7462495391728012</c:v>
                </c:pt>
                <c:pt idx="828">
                  <c:v>-9.7592717272238545</c:v>
                </c:pt>
                <c:pt idx="829">
                  <c:v>-9.7722939469628596</c:v>
                </c:pt>
                <c:pt idx="830">
                  <c:v>-9.7853161983894132</c:v>
                </c:pt>
                <c:pt idx="831">
                  <c:v>-9.798338481503114</c:v>
                </c:pt>
                <c:pt idx="832">
                  <c:v>-9.8113607963035605</c:v>
                </c:pt>
                <c:pt idx="833">
                  <c:v>-9.8243831427903494</c:v>
                </c:pt>
                <c:pt idx="834">
                  <c:v>-9.8374055209630793</c:v>
                </c:pt>
                <c:pt idx="835">
                  <c:v>-9.8504279308213487</c:v>
                </c:pt>
                <c:pt idx="836">
                  <c:v>-9.8634503723647562</c:v>
                </c:pt>
                <c:pt idx="837">
                  <c:v>-9.8764728455928985</c:v>
                </c:pt>
                <c:pt idx="838">
                  <c:v>-9.8894953505053742</c:v>
                </c:pt>
                <c:pt idx="839">
                  <c:v>-9.9025178871017818</c:v>
                </c:pt>
                <c:pt idx="840">
                  <c:v>-9.9155404553817199</c:v>
                </c:pt>
                <c:pt idx="841">
                  <c:v>-9.928563055344787</c:v>
                </c:pt>
                <c:pt idx="842">
                  <c:v>-9.9415856869905799</c:v>
                </c:pt>
                <c:pt idx="843">
                  <c:v>-9.9546083503186971</c:v>
                </c:pt>
                <c:pt idx="844">
                  <c:v>-9.9676310453287371</c:v>
                </c:pt>
                <c:pt idx="845">
                  <c:v>-9.9806537720202968</c:v>
                </c:pt>
                <c:pt idx="846">
                  <c:v>-9.9936765303929747</c:v>
                </c:pt>
                <c:pt idx="847">
                  <c:v>-10.006699320446371</c:v>
                </c:pt>
                <c:pt idx="848">
                  <c:v>-10.019722142180081</c:v>
                </c:pt>
                <c:pt idx="849">
                  <c:v>-10.032744995593704</c:v>
                </c:pt>
                <c:pt idx="850">
                  <c:v>-10.045767880686839</c:v>
                </c:pt>
                <c:pt idx="851">
                  <c:v>-10.058790797459082</c:v>
                </c:pt>
                <c:pt idx="852">
                  <c:v>-10.071813745910033</c:v>
                </c:pt>
                <c:pt idx="853">
                  <c:v>-10.08483672603929</c:v>
                </c:pt>
                <c:pt idx="854">
                  <c:v>-10.09785973784645</c:v>
                </c:pt>
                <c:pt idx="855">
                  <c:v>-10.110882781331114</c:v>
                </c:pt>
                <c:pt idx="856">
                  <c:v>-10.123905856492877</c:v>
                </c:pt>
                <c:pt idx="857">
                  <c:v>-10.136928963331339</c:v>
                </c:pt>
                <c:pt idx="858">
                  <c:v>-10.149952101846097</c:v>
                </c:pt>
                <c:pt idx="859">
                  <c:v>-10.162975272036748</c:v>
                </c:pt>
                <c:pt idx="860">
                  <c:v>-10.175998473902894</c:v>
                </c:pt>
                <c:pt idx="861">
                  <c:v>-10.189021707444128</c:v>
                </c:pt>
                <c:pt idx="862">
                  <c:v>-10.202044972660053</c:v>
                </c:pt>
                <c:pt idx="863">
                  <c:v>-10.215068269550265</c:v>
                </c:pt>
                <c:pt idx="864">
                  <c:v>-10.228091598114363</c:v>
                </c:pt>
                <c:pt idx="865">
                  <c:v>-10.241114958351943</c:v>
                </c:pt>
                <c:pt idx="866">
                  <c:v>-10.254138350262606</c:v>
                </c:pt>
                <c:pt idx="867">
                  <c:v>-10.267161773845947</c:v>
                </c:pt>
                <c:pt idx="868">
                  <c:v>-10.280185229101567</c:v>
                </c:pt>
                <c:pt idx="869">
                  <c:v>-10.293208716029064</c:v>
                </c:pt>
                <c:pt idx="870">
                  <c:v>-10.306232234628034</c:v>
                </c:pt>
                <c:pt idx="871">
                  <c:v>-10.319255784898077</c:v>
                </c:pt>
                <c:pt idx="872">
                  <c:v>-10.332279366838792</c:v>
                </c:pt>
                <c:pt idx="873">
                  <c:v>-10.345302980449775</c:v>
                </c:pt>
                <c:pt idx="874">
                  <c:v>-10.358326625730625</c:v>
                </c:pt>
                <c:pt idx="875">
                  <c:v>-10.371350302680939</c:v>
                </c:pt>
                <c:pt idx="876">
                  <c:v>-10.384374011300318</c:v>
                </c:pt>
                <c:pt idx="877">
                  <c:v>-10.397397751588359</c:v>
                </c:pt>
                <c:pt idx="878">
                  <c:v>-10.41042152354466</c:v>
                </c:pt>
                <c:pt idx="879">
                  <c:v>-10.423445327168817</c:v>
                </c:pt>
                <c:pt idx="880">
                  <c:v>-10.436469162460432</c:v>
                </c:pt>
                <c:pt idx="881">
                  <c:v>-10.4494930294191</c:v>
                </c:pt>
                <c:pt idx="882">
                  <c:v>-10.462516928044423</c:v>
                </c:pt>
                <c:pt idx="883">
                  <c:v>-10.475540858335995</c:v>
                </c:pt>
                <c:pt idx="884">
                  <c:v>-10.488564820293416</c:v>
                </c:pt>
                <c:pt idx="885">
                  <c:v>-10.501588813916284</c:v>
                </c:pt>
                <c:pt idx="886">
                  <c:v>-10.514612839204197</c:v>
                </c:pt>
                <c:pt idx="887">
                  <c:v>-10.527636896156755</c:v>
                </c:pt>
                <c:pt idx="888">
                  <c:v>-10.540660984773556</c:v>
                </c:pt>
                <c:pt idx="889">
                  <c:v>-10.553685105054196</c:v>
                </c:pt>
                <c:pt idx="890">
                  <c:v>-10.566709256998275</c:v>
                </c:pt>
                <c:pt idx="891">
                  <c:v>-10.57973344060539</c:v>
                </c:pt>
                <c:pt idx="892">
                  <c:v>-10.59275765587514</c:v>
                </c:pt>
                <c:pt idx="893">
                  <c:v>-10.605781902807122</c:v>
                </c:pt>
                <c:pt idx="894">
                  <c:v>-10.618806181400936</c:v>
                </c:pt>
                <c:pt idx="895">
                  <c:v>-10.63183049165618</c:v>
                </c:pt>
                <c:pt idx="896">
                  <c:v>-10.644854833572451</c:v>
                </c:pt>
                <c:pt idx="897">
                  <c:v>-10.657879207149348</c:v>
                </c:pt>
                <c:pt idx="898">
                  <c:v>-10.67090361238647</c:v>
                </c:pt>
                <c:pt idx="899">
                  <c:v>-10.683928049283413</c:v>
                </c:pt>
                <c:pt idx="900">
                  <c:v>-10.696952517839778</c:v>
                </c:pt>
                <c:pt idx="901">
                  <c:v>-10.709977018055161</c:v>
                </c:pt>
                <c:pt idx="902">
                  <c:v>-10.723001549929162</c:v>
                </c:pt>
                <c:pt idx="903">
                  <c:v>-10.736026113461378</c:v>
                </c:pt>
                <c:pt idx="904">
                  <c:v>-10.749050708651408</c:v>
                </c:pt>
                <c:pt idx="905">
                  <c:v>-10.762075335498849</c:v>
                </c:pt>
                <c:pt idx="906">
                  <c:v>-10.775099994003302</c:v>
                </c:pt>
                <c:pt idx="907">
                  <c:v>-10.788124684164362</c:v>
                </c:pt>
                <c:pt idx="908">
                  <c:v>-10.801149405981629</c:v>
                </c:pt>
                <c:pt idx="909">
                  <c:v>-10.814174159454701</c:v>
                </c:pt>
                <c:pt idx="910">
                  <c:v>-10.827198944583175</c:v>
                </c:pt>
                <c:pt idx="911">
                  <c:v>-10.840223761366651</c:v>
                </c:pt>
                <c:pt idx="912">
                  <c:v>-10.853248609804726</c:v>
                </c:pt>
                <c:pt idx="913">
                  <c:v>-10.866273489897001</c:v>
                </c:pt>
                <c:pt idx="914">
                  <c:v>-10.879298401643071</c:v>
                </c:pt>
                <c:pt idx="915">
                  <c:v>-10.892323345042536</c:v>
                </c:pt>
                <c:pt idx="916">
                  <c:v>-10.905348320094994</c:v>
                </c:pt>
                <c:pt idx="917">
                  <c:v>-10.918373326800042</c:v>
                </c:pt>
                <c:pt idx="918">
                  <c:v>-10.93139836515728</c:v>
                </c:pt>
                <c:pt idx="919">
                  <c:v>-10.944423435166305</c:v>
                </c:pt>
                <c:pt idx="920">
                  <c:v>-10.957448536826716</c:v>
                </c:pt>
                <c:pt idx="921">
                  <c:v>-10.970473670138112</c:v>
                </c:pt>
                <c:pt idx="922">
                  <c:v>-10.98349883510009</c:v>
                </c:pt>
                <c:pt idx="923">
                  <c:v>-10.996524031712248</c:v>
                </c:pt>
                <c:pt idx="924">
                  <c:v>-11.009549259974186</c:v>
                </c:pt>
                <c:pt idx="925">
                  <c:v>-11.022574519885501</c:v>
                </c:pt>
                <c:pt idx="926">
                  <c:v>-11.035599811445792</c:v>
                </c:pt>
                <c:pt idx="927">
                  <c:v>-11.048625134654657</c:v>
                </c:pt>
                <c:pt idx="928">
                  <c:v>-11.061650489511694</c:v>
                </c:pt>
                <c:pt idx="929">
                  <c:v>-11.074675876016501</c:v>
                </c:pt>
                <c:pt idx="930">
                  <c:v>-11.087701294168678</c:v>
                </c:pt>
                <c:pt idx="931">
                  <c:v>-11.100726743967822</c:v>
                </c:pt>
                <c:pt idx="932">
                  <c:v>-11.113752225413531</c:v>
                </c:pt>
                <c:pt idx="933">
                  <c:v>-11.126777738505405</c:v>
                </c:pt>
                <c:pt idx="934">
                  <c:v>-11.13980328324304</c:v>
                </c:pt>
                <c:pt idx="935">
                  <c:v>-11.152828859626036</c:v>
                </c:pt>
                <c:pt idx="936">
                  <c:v>-11.16585446765399</c:v>
                </c:pt>
                <c:pt idx="937">
                  <c:v>-11.178880107326501</c:v>
                </c:pt>
                <c:pt idx="938">
                  <c:v>-11.191905778643168</c:v>
                </c:pt>
                <c:pt idx="939">
                  <c:v>-11.204931481603587</c:v>
                </c:pt>
                <c:pt idx="940">
                  <c:v>-11.21795721620736</c:v>
                </c:pt>
                <c:pt idx="941">
                  <c:v>-11.230982982454082</c:v>
                </c:pt>
                <c:pt idx="942">
                  <c:v>-11.244008780343353</c:v>
                </c:pt>
                <c:pt idx="943">
                  <c:v>-11.257034609874772</c:v>
                </c:pt>
                <c:pt idx="944">
                  <c:v>-11.270060471047936</c:v>
                </c:pt>
                <c:pt idx="945">
                  <c:v>-11.283086363862443</c:v>
                </c:pt>
                <c:pt idx="946">
                  <c:v>-11.296112288317893</c:v>
                </c:pt>
                <c:pt idx="947">
                  <c:v>-11.309138244413882</c:v>
                </c:pt>
                <c:pt idx="948">
                  <c:v>-11.32216423215001</c:v>
                </c:pt>
                <c:pt idx="949">
                  <c:v>-11.335190251525876</c:v>
                </c:pt>
                <c:pt idx="950">
                  <c:v>-11.348216302541077</c:v>
                </c:pt>
                <c:pt idx="951">
                  <c:v>-11.361242385195212</c:v>
                </c:pt>
                <c:pt idx="952">
                  <c:v>-11.374268499487878</c:v>
                </c:pt>
                <c:pt idx="953">
                  <c:v>-11.387294645418674</c:v>
                </c:pt>
                <c:pt idx="954">
                  <c:v>-11.400320822987199</c:v>
                </c:pt>
                <c:pt idx="955">
                  <c:v>-11.413347032193052</c:v>
                </c:pt>
                <c:pt idx="956">
                  <c:v>-11.42637327303583</c:v>
                </c:pt>
                <c:pt idx="957">
                  <c:v>-11.439399545515133</c:v>
                </c:pt>
                <c:pt idx="958">
                  <c:v>-11.452425849630558</c:v>
                </c:pt>
                <c:pt idx="959">
                  <c:v>-11.465452185381704</c:v>
                </c:pt>
                <c:pt idx="960">
                  <c:v>-11.478478552768168</c:v>
                </c:pt>
                <c:pt idx="961">
                  <c:v>-11.491504951789549</c:v>
                </c:pt>
                <c:pt idx="962">
                  <c:v>-11.504531382445446</c:v>
                </c:pt>
                <c:pt idx="963">
                  <c:v>-11.517557844735457</c:v>
                </c:pt>
                <c:pt idx="964">
                  <c:v>-11.53058433865918</c:v>
                </c:pt>
                <c:pt idx="965">
                  <c:v>-11.543610864216214</c:v>
                </c:pt>
                <c:pt idx="966">
                  <c:v>-11.556637421406158</c:v>
                </c:pt>
                <c:pt idx="967">
                  <c:v>-11.56966401022861</c:v>
                </c:pt>
                <c:pt idx="968">
                  <c:v>-11.582690630683167</c:v>
                </c:pt>
                <c:pt idx="969">
                  <c:v>-11.59571728276943</c:v>
                </c:pt>
                <c:pt idx="970">
                  <c:v>-11.608743966486994</c:v>
                </c:pt>
                <c:pt idx="971">
                  <c:v>-11.621770681835459</c:v>
                </c:pt>
                <c:pt idx="972">
                  <c:v>-11.634797428814425</c:v>
                </c:pt>
                <c:pt idx="973">
                  <c:v>-11.647824207423488</c:v>
                </c:pt>
                <c:pt idx="974">
                  <c:v>-11.660851017662248</c:v>
                </c:pt>
                <c:pt idx="975">
                  <c:v>-11.673877859530302</c:v>
                </c:pt>
                <c:pt idx="976">
                  <c:v>-11.68690473302725</c:v>
                </c:pt>
                <c:pt idx="977">
                  <c:v>-11.699931638152687</c:v>
                </c:pt>
                <c:pt idx="978">
                  <c:v>-11.712958574906216</c:v>
                </c:pt>
                <c:pt idx="979">
                  <c:v>-11.725985543287432</c:v>
                </c:pt>
                <c:pt idx="980">
                  <c:v>-11.739012543295937</c:v>
                </c:pt>
                <c:pt idx="981">
                  <c:v>-11.752039574931326</c:v>
                </c:pt>
                <c:pt idx="982">
                  <c:v>-11.765066638193197</c:v>
                </c:pt>
                <c:pt idx="983">
                  <c:v>-11.778093733081151</c:v>
                </c:pt>
                <c:pt idx="984">
                  <c:v>-11.791120859594786</c:v>
                </c:pt>
                <c:pt idx="985">
                  <c:v>-11.804148017733699</c:v>
                </c:pt>
                <c:pt idx="986">
                  <c:v>-11.81717520749749</c:v>
                </c:pt>
                <c:pt idx="987">
                  <c:v>-11.830202428885757</c:v>
                </c:pt>
                <c:pt idx="988">
                  <c:v>-11.843229681898098</c:v>
                </c:pt>
                <c:pt idx="989">
                  <c:v>-11.856256966534112</c:v>
                </c:pt>
                <c:pt idx="990">
                  <c:v>-11.869284282793396</c:v>
                </c:pt>
                <c:pt idx="991">
                  <c:v>-11.882311630675549</c:v>
                </c:pt>
                <c:pt idx="992">
                  <c:v>-11.895339010180169</c:v>
                </c:pt>
                <c:pt idx="993">
                  <c:v>-11.908366421306857</c:v>
                </c:pt>
                <c:pt idx="994">
                  <c:v>-11.92139386405521</c:v>
                </c:pt>
                <c:pt idx="995">
                  <c:v>-11.934421338424825</c:v>
                </c:pt>
                <c:pt idx="996">
                  <c:v>-11.947448844415302</c:v>
                </c:pt>
                <c:pt idx="997">
                  <c:v>-11.960476382026238</c:v>
                </c:pt>
                <c:pt idx="998">
                  <c:v>-11.973503951257234</c:v>
                </c:pt>
                <c:pt idx="999">
                  <c:v>-11.986531552107886</c:v>
                </c:pt>
                <c:pt idx="1000">
                  <c:v>-11.999559184577793</c:v>
                </c:pt>
              </c:numCache>
            </c:numRef>
          </c:yVal>
          <c:smooth val="1"/>
          <c:extLst>
            <c:ext xmlns:c16="http://schemas.microsoft.com/office/drawing/2014/chart" uri="{C3380CC4-5D6E-409C-BE32-E72D297353CC}">
              <c16:uniqueId val="{00000001-1F49-47DF-B4D1-65FFA35A5CB2}"/>
            </c:ext>
          </c:extLst>
        </c:ser>
        <c:ser>
          <c:idx val="2"/>
          <c:order val="2"/>
          <c:tx>
            <c:strRef>
              <c:f>Trajecto!$B$107</c:f>
              <c:strCache>
                <c:ptCount val="1"/>
                <c:pt idx="0">
                  <c:v>Descente balistique</c:v>
                </c:pt>
              </c:strCache>
            </c:strRef>
          </c:tx>
          <c:spPr>
            <a:ln w="12700">
              <a:solidFill>
                <a:srgbClr val="808080"/>
              </a:solidFill>
              <a:prstDash val="sysDash"/>
            </a:ln>
          </c:spPr>
          <c:marker>
            <c:symbol val="none"/>
          </c:marker>
          <c:xVal>
            <c:numRef>
              <c:f>Calculs!$J$4:$J$1004</c:f>
              <c:numCache>
                <c:formatCode>0.00</c:formatCode>
                <c:ptCount val="1001"/>
                <c:pt idx="0">
                  <c:v>0</c:v>
                </c:pt>
                <c:pt idx="1">
                  <c:v>0</c:v>
                </c:pt>
                <c:pt idx="2">
                  <c:v>1.6320904504900539E-4</c:v>
                </c:pt>
                <c:pt idx="3">
                  <c:v>8.1766045198087677E-4</c:v>
                </c:pt>
                <c:pt idx="4">
                  <c:v>2.2931354789787728E-3</c:v>
                </c:pt>
                <c:pt idx="5">
                  <c:v>4.9197268202197178E-3</c:v>
                </c:pt>
                <c:pt idx="6">
                  <c:v>8.944426512602079E-3</c:v>
                </c:pt>
                <c:pt idx="7">
                  <c:v>1.4447519687411856E-2</c:v>
                </c:pt>
                <c:pt idx="8">
                  <c:v>2.142585719678726E-2</c:v>
                </c:pt>
                <c:pt idx="9">
                  <c:v>2.9876276412292374E-2</c:v>
                </c:pt>
                <c:pt idx="10">
                  <c:v>3.97956012727574E-2</c:v>
                </c:pt>
                <c:pt idx="11">
                  <c:v>5.1180642332538211E-2</c:v>
                </c:pt>
                <c:pt idx="12">
                  <c:v>6.4028196810191923E-2</c:v>
                </c:pt>
                <c:pt idx="13">
                  <c:v>7.8335048637565158E-2</c:v>
                </c:pt>
                <c:pt idx="14">
                  <c:v>9.4097968509291585E-2</c:v>
                </c:pt>
                <c:pt idx="15">
                  <c:v>0.11131371393269533</c:v>
                </c:pt>
                <c:pt idx="16">
                  <c:v>0.1299790292780969</c:v>
                </c:pt>
                <c:pt idx="17">
                  <c:v>0.15009064582951803</c:v>
                </c:pt>
                <c:pt idx="18">
                  <c:v>0.17164528183578215</c:v>
                </c:pt>
                <c:pt idx="19">
                  <c:v>0.19463964256200672</c:v>
                </c:pt>
                <c:pt idx="20">
                  <c:v>0.21907042034148405</c:v>
                </c:pt>
                <c:pt idx="21">
                  <c:v>0.24493429462794705</c:v>
                </c:pt>
                <c:pt idx="22">
                  <c:v>0.27222793204821616</c:v>
                </c:pt>
                <c:pt idx="23">
                  <c:v>0.30094798645522391</c:v>
                </c:pt>
                <c:pt idx="24">
                  <c:v>0.33109109898141365</c:v>
                </c:pt>
                <c:pt idx="25">
                  <c:v>0.36265389809250836</c:v>
                </c:pt>
                <c:pt idx="26">
                  <c:v>0.39563299964164617</c:v>
                </c:pt>
                <c:pt idx="27">
                  <c:v>0.43002500692387874</c:v>
                </c:pt>
                <c:pt idx="28">
                  <c:v>0.46582651073102899</c:v>
                </c:pt>
                <c:pt idx="29">
                  <c:v>0.50303408940690364</c:v>
                </c:pt>
                <c:pt idx="30">
                  <c:v>0.54164430890285808</c:v>
                </c:pt>
                <c:pt idx="31">
                  <c:v>0.58165372283370831</c:v>
                </c:pt>
                <c:pt idx="32">
                  <c:v>0.62305887253398706</c:v>
                </c:pt>
                <c:pt idx="33">
                  <c:v>0.66585628711453981</c:v>
                </c:pt>
                <c:pt idx="34">
                  <c:v>0.71004248351945742</c:v>
                </c:pt>
                <c:pt idx="35">
                  <c:v>0.75569788473039057</c:v>
                </c:pt>
                <c:pt idx="36">
                  <c:v>0.80290566680716557</c:v>
                </c:pt>
                <c:pt idx="37">
                  <c:v>0.85166779734229703</c:v>
                </c:pt>
                <c:pt idx="38">
                  <c:v>0.90198610860638107</c:v>
                </c:pt>
                <c:pt idx="39">
                  <c:v>0.95386226517082828</c:v>
                </c:pt>
                <c:pt idx="40">
                  <c:v>1.0072977717225271</c:v>
                </c:pt>
                <c:pt idx="41">
                  <c:v>1.0622939802730664</c:v>
                </c:pt>
                <c:pt idx="42">
                  <c:v>1.118852096824746</c:v>
                </c:pt>
                <c:pt idx="43">
                  <c:v>1.1769731875477671</c:v>
                </c:pt>
                <c:pt idx="44">
                  <c:v>1.2366581845163116</c:v>
                </c:pt>
                <c:pt idx="45">
                  <c:v>1.2979078910455011</c:v>
                </c:pt>
                <c:pt idx="46">
                  <c:v>1.3607229866663231</c:v>
                </c:pt>
                <c:pt idx="47">
                  <c:v>1.4251040317713708</c:v>
                </c:pt>
                <c:pt idx="48">
                  <c:v>1.4910514719605836</c:v>
                </c:pt>
                <c:pt idx="49">
                  <c:v>1.5585656421129916</c:v>
                </c:pt>
                <c:pt idx="50">
                  <c:v>1.6276467702076913</c:v>
                </c:pt>
                <c:pt idx="51">
                  <c:v>1.6982954416130198</c:v>
                </c:pt>
                <c:pt idx="52">
                  <c:v>1.7705130672189946</c:v>
                </c:pt>
                <c:pt idx="53">
                  <c:v>1.8443014312376822</c:v>
                </c:pt>
                <c:pt idx="54">
                  <c:v>1.919662234606951</c:v>
                </c:pt>
                <c:pt idx="55">
                  <c:v>1.9965970975148022</c:v>
                </c:pt>
                <c:pt idx="56">
                  <c:v>2.0751075617886836</c:v>
                </c:pt>
                <c:pt idx="57">
                  <c:v>2.1551950931594859</c:v>
                </c:pt>
                <c:pt idx="58">
                  <c:v>2.2368610834090594</c:v>
                </c:pt>
                <c:pt idx="59">
                  <c:v>2.3201068524093267</c:v>
                </c:pt>
                <c:pt idx="60">
                  <c:v>2.4049336500603684</c:v>
                </c:pt>
                <c:pt idx="61">
                  <c:v>2.4913426581342488</c:v>
                </c:pt>
                <c:pt idx="62">
                  <c:v>2.5793349920307804</c:v>
                </c:pt>
                <c:pt idx="63">
                  <c:v>2.6689117024509335</c:v>
                </c:pt>
                <c:pt idx="64">
                  <c:v>2.7600737769931292</c:v>
                </c:pt>
                <c:pt idx="65">
                  <c:v>2.8528221416772559</c:v>
                </c:pt>
                <c:pt idx="66">
                  <c:v>2.9471576624008642</c:v>
                </c:pt>
                <c:pt idx="67">
                  <c:v>3.0430811463316609</c:v>
                </c:pt>
                <c:pt idx="68">
                  <c:v>3.1405933432401163</c:v>
                </c:pt>
                <c:pt idx="69">
                  <c:v>3.2396949467757108</c:v>
                </c:pt>
                <c:pt idx="70">
                  <c:v>3.3403865956900995</c:v>
                </c:pt>
                <c:pt idx="71">
                  <c:v>3.4426688750102272</c:v>
                </c:pt>
                <c:pt idx="72">
                  <c:v>3.5465423171642234</c:v>
                </c:pt>
                <c:pt idx="73">
                  <c:v>3.652007403062703</c:v>
                </c:pt>
                <c:pt idx="74">
                  <c:v>3.7590645631379203</c:v>
                </c:pt>
                <c:pt idx="75">
                  <c:v>3.8677141783430584</c:v>
                </c:pt>
                <c:pt idx="76">
                  <c:v>3.9779565811137836</c:v>
                </c:pt>
                <c:pt idx="77">
                  <c:v>4.0897920562940531</c:v>
                </c:pt>
                <c:pt idx="78">
                  <c:v>4.2032208420280357</c:v>
                </c:pt>
                <c:pt idx="79">
                  <c:v>4.3182431306198898</c:v>
                </c:pt>
                <c:pt idx="80">
                  <c:v>4.4348590693630241</c:v>
                </c:pt>
                <c:pt idx="81">
                  <c:v>4.5530687613403735</c:v>
                </c:pt>
                <c:pt idx="82">
                  <c:v>4.6728722661971211</c:v>
                </c:pt>
                <c:pt idx="83">
                  <c:v>4.7942696008872163</c:v>
                </c:pt>
                <c:pt idx="84">
                  <c:v>4.9172607403949531</c:v>
                </c:pt>
                <c:pt idx="85">
                  <c:v>5.0418456184327978</c:v>
                </c:pt>
                <c:pt idx="86">
                  <c:v>5.1680241281165893</c:v>
                </c:pt>
                <c:pt idx="87">
                  <c:v>5.2957961226191665</c:v>
                </c:pt>
                <c:pt idx="88">
                  <c:v>5.4251614158034158</c:v>
                </c:pt>
                <c:pt idx="89">
                  <c:v>5.5561197828356779</c:v>
                </c:pt>
                <c:pt idx="90">
                  <c:v>5.6886709607804002</c:v>
                </c:pt>
                <c:pt idx="91">
                  <c:v>5.8228146491768751</c:v>
                </c:pt>
                <c:pt idx="92">
                  <c:v>5.9585505105988421</c:v>
                </c:pt>
                <c:pt idx="93">
                  <c:v>6.0958781711977199</c:v>
                </c:pt>
                <c:pt idx="94">
                  <c:v>6.2347972212301599</c:v>
                </c:pt>
                <c:pt idx="95">
                  <c:v>6.3753072155705981</c:v>
                </c:pt>
                <c:pt idx="96">
                  <c:v>6.5174076742094442</c:v>
                </c:pt>
                <c:pt idx="97">
                  <c:v>6.6610980827374986</c:v>
                </c:pt>
                <c:pt idx="98">
                  <c:v>6.8063778928171805</c:v>
                </c:pt>
                <c:pt idx="99">
                  <c:v>6.9532465226410984</c:v>
                </c:pt>
                <c:pt idx="100">
                  <c:v>7.1017033573784847</c:v>
                </c:pt>
                <c:pt idx="101">
                  <c:v>7.2517475180869333</c:v>
                </c:pt>
                <c:pt idx="102">
                  <c:v>7.4033776294840141</c:v>
                </c:pt>
                <c:pt idx="103">
                  <c:v>7.5565920504220481</c:v>
                </c:pt>
                <c:pt idx="104">
                  <c:v>7.7113891055085935</c:v>
                </c:pt>
                <c:pt idx="105">
                  <c:v>7.86776708555265</c:v>
                </c:pt>
                <c:pt idx="106">
                  <c:v>8.025724248000099</c:v>
                </c:pt>
                <c:pt idx="107">
                  <c:v>8.1852588173587932</c:v>
                </c:pt>
                <c:pt idx="108">
                  <c:v>8.3463689856137115</c:v>
                </c:pt>
                <c:pt idx="109">
                  <c:v>8.5090529126325301</c:v>
                </c:pt>
                <c:pt idx="110">
                  <c:v>8.6733087265619968</c:v>
                </c:pt>
                <c:pt idx="111">
                  <c:v>8.839134524215428</c:v>
                </c:pt>
                <c:pt idx="112">
                  <c:v>9.0065283714516777</c:v>
                </c:pt>
                <c:pt idx="113">
                  <c:v>9.1754883035458707</c:v>
                </c:pt>
                <c:pt idx="114">
                  <c:v>9.3460123255522181</c:v>
                </c:pt>
                <c:pt idx="115">
                  <c:v>9.5180984126591781</c:v>
                </c:pt>
                <c:pt idx="116">
                  <c:v>9.6917445105372568</c:v>
                </c:pt>
                <c:pt idx="117">
                  <c:v>9.8669485356796933</c:v>
                </c:pt>
                <c:pt idx="118">
                  <c:v>10.04370837573628</c:v>
                </c:pt>
                <c:pt idx="119">
                  <c:v>10.222021889840565</c:v>
                </c:pt>
                <c:pt idx="120">
                  <c:v>10.401886908930654</c:v>
                </c:pt>
                <c:pt idx="121">
                  <c:v>10.583301236063827</c:v>
                </c:pt>
                <c:pt idx="122">
                  <c:v>10.766262646725195</c:v>
                </c:pt>
                <c:pt idx="123">
                  <c:v>10.950768889130579</c:v>
                </c:pt>
                <c:pt idx="124">
                  <c:v>11.136817684523809</c:v>
                </c:pt>
                <c:pt idx="125">
                  <c:v>11.324406727468627</c:v>
                </c:pt>
                <c:pt idx="126">
                  <c:v>11.513533686135373</c:v>
                </c:pt>
                <c:pt idx="127">
                  <c:v>11.704196202582608</c:v>
                </c:pt>
                <c:pt idx="128">
                  <c:v>11.896391893033856</c:v>
                </c:pt>
                <c:pt idx="129">
                  <c:v>12.090118348149609</c:v>
                </c:pt>
                <c:pt idx="130">
                  <c:v>12.28537313329474</c:v>
                </c:pt>
                <c:pt idx="131">
                  <c:v>12.482153788801476</c:v>
                </c:pt>
                <c:pt idx="132">
                  <c:v>12.680457830228059</c:v>
                </c:pt>
                <c:pt idx="133">
                  <c:v>12.880282748613245</c:v>
                </c:pt>
                <c:pt idx="134">
                  <c:v>13.081626010726739</c:v>
                </c:pt>
                <c:pt idx="135">
                  <c:v>13.284485059315712</c:v>
                </c:pt>
                <c:pt idx="136">
                  <c:v>13.488857313347513</c:v>
                </c:pt>
                <c:pt idx="137">
                  <c:v>13.694740168248673</c:v>
                </c:pt>
                <c:pt idx="138">
                  <c:v>13.902130996140331</c:v>
                </c:pt>
                <c:pt idx="139">
                  <c:v>14.111027146070171</c:v>
                </c:pt>
                <c:pt idx="140">
                  <c:v>14.321425944240978</c:v>
                </c:pt>
                <c:pt idx="141">
                  <c:v>14.533324694235906</c:v>
                </c:pt>
                <c:pt idx="142">
                  <c:v>14.74672067724055</c:v>
                </c:pt>
                <c:pt idx="143">
                  <c:v>14.961611152261916</c:v>
                </c:pt>
                <c:pt idx="144">
                  <c:v>15.177993356344377</c:v>
                </c:pt>
                <c:pt idx="145">
                  <c:v>15.395864504782685</c:v>
                </c:pt>
                <c:pt idx="146">
                  <c:v>15.615221791332132</c:v>
                </c:pt>
                <c:pt idx="147">
                  <c:v>15.836062388415939</c:v>
                </c:pt>
                <c:pt idx="148">
                  <c:v>16.058383447329934</c:v>
                </c:pt>
                <c:pt idx="149">
                  <c:v>16.282182098444601</c:v>
                </c:pt>
                <c:pt idx="150">
                  <c:v>16.507455451404571</c:v>
                </c:pt>
                <c:pt idx="151">
                  <c:v>16.734200678273599</c:v>
                </c:pt>
                <c:pt idx="152">
                  <c:v>16.962415096952657</c:v>
                </c:pt>
                <c:pt idx="153">
                  <c:v>17.192096088762646</c:v>
                </c:pt>
                <c:pt idx="154">
                  <c:v>17.423241015743422</c:v>
                </c:pt>
                <c:pt idx="155">
                  <c:v>17.65584722082983</c:v>
                </c:pt>
                <c:pt idx="156">
                  <c:v>17.88991202802567</c:v>
                </c:pt>
                <c:pt idx="157">
                  <c:v>18.125432742575665</c:v>
                </c:pt>
                <c:pt idx="158">
                  <c:v>18.362406651135487</c:v>
                </c:pt>
                <c:pt idx="159">
                  <c:v>18.600831021939875</c:v>
                </c:pt>
                <c:pt idx="160">
                  <c:v>18.840703104968892</c:v>
                </c:pt>
                <c:pt idx="161">
                  <c:v>19.082020132112362</c:v>
                </c:pt>
                <c:pt idx="162">
                  <c:v>19.324779317332553</c:v>
                </c:pt>
                <c:pt idx="163">
                  <c:v>19.568977856825118</c:v>
                </c:pt>
                <c:pt idx="164">
                  <c:v>19.814612929178352</c:v>
                </c:pt>
                <c:pt idx="165">
                  <c:v>20.061681695530787</c:v>
                </c:pt>
                <c:pt idx="166">
                  <c:v>20.310181299727184</c:v>
                </c:pt>
                <c:pt idx="167">
                  <c:v>20.560108868472945</c:v>
                </c:pt>
                <c:pt idx="168">
                  <c:v>20.811461511486982</c:v>
                </c:pt>
                <c:pt idx="169">
                  <c:v>21.06423632165307</c:v>
                </c:pt>
                <c:pt idx="170">
                  <c:v>21.318430375169736</c:v>
                </c:pt>
                <c:pt idx="171">
                  <c:v>21.574040731698695</c:v>
                </c:pt>
                <c:pt idx="172">
                  <c:v>21.831064434511873</c:v>
                </c:pt>
                <c:pt idx="173">
                  <c:v>22.089498510637053</c:v>
                </c:pt>
                <c:pt idx="174">
                  <c:v>22.349339971002156</c:v>
                </c:pt>
                <c:pt idx="175">
                  <c:v>22.610585810578208</c:v>
                </c:pt>
                <c:pt idx="176">
                  <c:v>22.873233008520987</c:v>
                </c:pt>
                <c:pt idx="177">
                  <c:v>23.137278528311427</c:v>
                </c:pt>
                <c:pt idx="178">
                  <c:v>23.402719317894736</c:v>
                </c:pt>
                <c:pt idx="179">
                  <c:v>23.669552309818325</c:v>
                </c:pt>
                <c:pt idx="180">
                  <c:v>23.937774421368516</c:v>
                </c:pt>
                <c:pt idx="181">
                  <c:v>24.207382554706076</c:v>
                </c:pt>
                <c:pt idx="182">
                  <c:v>24.478373597000608</c:v>
                </c:pt>
                <c:pt idx="183">
                  <c:v>24.750744420563798</c:v>
                </c:pt>
                <c:pt idx="184">
                  <c:v>25.02449188298155</c:v>
                </c:pt>
                <c:pt idx="185">
                  <c:v>25.299612827245049</c:v>
                </c:pt>
                <c:pt idx="186">
                  <c:v>25.576104081880722</c:v>
                </c:pt>
                <c:pt idx="187">
                  <c:v>25.853962461079171</c:v>
                </c:pt>
                <c:pt idx="188">
                  <c:v>26.133184764823067</c:v>
                </c:pt>
                <c:pt idx="189">
                  <c:v>26.413767779014027</c:v>
                </c:pt>
                <c:pt idx="190">
                  <c:v>26.695708275598484</c:v>
                </c:pt>
                <c:pt idx="191">
                  <c:v>26.979003012692601</c:v>
                </c:pt>
                <c:pt idx="192">
                  <c:v>27.263648734706198</c:v>
                </c:pt>
                <c:pt idx="193">
                  <c:v>27.549642172465735</c:v>
                </c:pt>
                <c:pt idx="194">
                  <c:v>27.836980043336371</c:v>
                </c:pt>
                <c:pt idx="195">
                  <c:v>28.125659051343106</c:v>
                </c:pt>
                <c:pt idx="196">
                  <c:v>28.415675887291002</c:v>
                </c:pt>
                <c:pt idx="197">
                  <c:v>28.707027228884538</c:v>
                </c:pt>
                <c:pt idx="198">
                  <c:v>28.999709740846082</c:v>
                </c:pt>
                <c:pt idx="199">
                  <c:v>29.293720075033491</c:v>
                </c:pt>
                <c:pt idx="200">
                  <c:v>29.589054870556875</c:v>
                </c:pt>
                <c:pt idx="201">
                  <c:v>29.885710753894532</c:v>
                </c:pt>
                <c:pt idx="202">
                  <c:v>30.183684339008032</c:v>
                </c:pt>
                <c:pt idx="203">
                  <c:v>30.482972227456525</c:v>
                </c:pt>
                <c:pt idx="204">
                  <c:v>30.783571008510215</c:v>
                </c:pt>
                <c:pt idx="205">
                  <c:v>31.085477259263072</c:v>
                </c:pt>
                <c:pt idx="206">
                  <c:v>31.388687544744752</c:v>
                </c:pt>
                <c:pt idx="207">
                  <c:v>31.693198418031745</c:v>
                </c:pt>
                <c:pt idx="208">
                  <c:v>31.999006420357787</c:v>
                </c:pt>
                <c:pt idx="209">
                  <c:v>32.306108081223499</c:v>
                </c:pt>
                <c:pt idx="210">
                  <c:v>32.614499918505309</c:v>
                </c:pt>
                <c:pt idx="211">
                  <c:v>32.924178438563629</c:v>
                </c:pt>
                <c:pt idx="212">
                  <c:v>33.235140136350338</c:v>
                </c:pt>
                <c:pt idx="213">
                  <c:v>33.547381495515523</c:v>
                </c:pt>
                <c:pt idx="214">
                  <c:v>33.86089898851354</c:v>
                </c:pt>
                <c:pt idx="215">
                  <c:v>34.17568907670838</c:v>
                </c:pt>
                <c:pt idx="216">
                  <c:v>34.491748210478349</c:v>
                </c:pt>
                <c:pt idx="217">
                  <c:v>34.809072829320066</c:v>
                </c:pt>
                <c:pt idx="218">
                  <c:v>35.127659361951793</c:v>
                </c:pt>
                <c:pt idx="219">
                  <c:v>35.447504226416108</c:v>
                </c:pt>
                <c:pt idx="220">
                  <c:v>35.768603830181924</c:v>
                </c:pt>
                <c:pt idx="221">
                  <c:v>36.090954570245856</c:v>
                </c:pt>
                <c:pt idx="222">
                  <c:v>36.414552833232953</c:v>
                </c:pt>
                <c:pt idx="223">
                  <c:v>36.739394995496795</c:v>
                </c:pt>
                <c:pt idx="224">
                  <c:v>37.065477423218951</c:v>
                </c:pt>
                <c:pt idx="225">
                  <c:v>37.392796472507833</c:v>
                </c:pt>
                <c:pt idx="226">
                  <c:v>37.721348489496933</c:v>
                </c:pt>
                <c:pt idx="227">
                  <c:v>38.051129810442447</c:v>
                </c:pt>
                <c:pt idx="228">
                  <c:v>38.382136761820284</c:v>
                </c:pt>
                <c:pt idx="229">
                  <c:v>38.714365660422516</c:v>
                </c:pt>
                <c:pt idx="230">
                  <c:v>39.047812813453177</c:v>
                </c:pt>
                <c:pt idx="231">
                  <c:v>39.382474518623539</c:v>
                </c:pt>
                <c:pt idx="232">
                  <c:v>39.718347064246757</c:v>
                </c:pt>
                <c:pt idx="233">
                  <c:v>40.05542672933197</c:v>
                </c:pt>
                <c:pt idx="234">
                  <c:v>40.393709783677814</c:v>
                </c:pt>
                <c:pt idx="235">
                  <c:v>40.733192487965376</c:v>
                </c:pt>
                <c:pt idx="236">
                  <c:v>41.073871093850585</c:v>
                </c:pt>
                <c:pt idx="237">
                  <c:v>41.415741844056043</c:v>
                </c:pt>
                <c:pt idx="238">
                  <c:v>41.758800972462303</c:v>
                </c:pt>
                <c:pt idx="239">
                  <c:v>42.103044704198609</c:v>
                </c:pt>
                <c:pt idx="240">
                  <c:v>42.44846925573308</c:v>
                </c:pt>
                <c:pt idx="241">
                  <c:v>42.79507083496236</c:v>
                </c:pt>
                <c:pt idx="242">
                  <c:v>43.142845641300717</c:v>
                </c:pt>
                <c:pt idx="243">
                  <c:v>43.491789865768638</c:v>
                </c:pt>
                <c:pt idx="244">
                  <c:v>43.841899691080876</c:v>
                </c:pt>
                <c:pt idx="245">
                  <c:v>44.193171291733975</c:v>
                </c:pt>
                <c:pt idx="246">
                  <c:v>44.545600834093271</c:v>
                </c:pt>
                <c:pt idx="247">
                  <c:v>44.899184476479391</c:v>
                </c:pt>
                <c:pt idx="248">
                  <c:v>45.253918369254215</c:v>
                </c:pt>
                <c:pt idx="249">
                  <c:v>45.609798654906335</c:v>
                </c:pt>
                <c:pt idx="250">
                  <c:v>45.966821468136025</c:v>
                </c:pt>
                <c:pt idx="251">
                  <c:v>46.32498255247404</c:v>
                </c:pt>
                <c:pt idx="252">
                  <c:v>46.684276876225709</c:v>
                </c:pt>
                <c:pt idx="253">
                  <c:v>47.04469901537216</c:v>
                </c:pt>
                <c:pt idx="254">
                  <c:v>47.406243537161266</c:v>
                </c:pt>
                <c:pt idx="255">
                  <c:v>47.768905000221999</c:v>
                </c:pt>
                <c:pt idx="256">
                  <c:v>48.132677954677952</c:v>
                </c:pt>
                <c:pt idx="257">
                  <c:v>48.49755694226009</c:v>
                </c:pt>
                <c:pt idx="258">
                  <c:v>48.863536496418689</c:v>
                </c:pt>
                <c:pt idx="259">
                  <c:v>49.230611142434519</c:v>
                </c:pt>
                <c:pt idx="260">
                  <c:v>49.598775397529195</c:v>
                </c:pt>
                <c:pt idx="261">
                  <c:v>49.968023770974774</c:v>
                </c:pt>
                <c:pt idx="262">
                  <c:v>50.338350764202588</c:v>
                </c:pt>
                <c:pt idx="263">
                  <c:v>50.709750870911257</c:v>
                </c:pt>
                <c:pt idx="264">
                  <c:v>51.08221857717399</c:v>
                </c:pt>
                <c:pt idx="265">
                  <c:v>51.455748361545076</c:v>
                </c:pt>
                <c:pt idx="266">
                  <c:v>51.830334695165618</c:v>
                </c:pt>
                <c:pt idx="267">
                  <c:v>52.205972041868534</c:v>
                </c:pt>
                <c:pt idx="268">
                  <c:v>52.582654858282766</c:v>
                </c:pt>
                <c:pt idx="269">
                  <c:v>52.960377593936762</c:v>
                </c:pt>
                <c:pt idx="270">
                  <c:v>53.339134691361188</c:v>
                </c:pt>
                <c:pt idx="271">
                  <c:v>53.718920586190912</c:v>
                </c:pt>
                <c:pt idx="272">
                  <c:v>54.099729707266235</c:v>
                </c:pt>
                <c:pt idx="273">
                  <c:v>54.481556476733367</c:v>
                </c:pt>
                <c:pt idx="274">
                  <c:v>54.864395310144197</c:v>
                </c:pt>
                <c:pt idx="275">
                  <c:v>55.248240616555286</c:v>
                </c:pt>
                <c:pt idx="276">
                  <c:v>55.633086798626174</c:v>
                </c:pt>
                <c:pt idx="277">
                  <c:v>56.018928252716911</c:v>
                </c:pt>
                <c:pt idx="278">
                  <c:v>56.405759368984896</c:v>
                </c:pt>
                <c:pt idx="279">
                  <c:v>56.793574531480978</c:v>
                </c:pt>
                <c:pt idx="280">
                  <c:v>57.182368118244824</c:v>
                </c:pt>
                <c:pt idx="281">
                  <c:v>57.572134501399589</c:v>
                </c:pt>
                <c:pt idx="282">
                  <c:v>57.962868047245856</c:v>
                </c:pt>
                <c:pt idx="283">
                  <c:v>58.354563116354853</c:v>
                </c:pt>
                <c:pt idx="284">
                  <c:v>58.747214063660984</c:v>
                </c:pt>
                <c:pt idx="285">
                  <c:v>59.140815238553628</c:v>
                </c:pt>
                <c:pt idx="286">
                  <c:v>59.535360984968229</c:v>
                </c:pt>
                <c:pt idx="287">
                  <c:v>59.930845641476694</c:v>
                </c:pt>
                <c:pt idx="288">
                  <c:v>60.327263541377093</c:v>
                </c:pt>
                <c:pt idx="289">
                  <c:v>60.724609012782629</c:v>
                </c:pt>
                <c:pt idx="290">
                  <c:v>61.12287637870994</c:v>
                </c:pt>
                <c:pt idx="291">
                  <c:v>61.522059957166682</c:v>
                </c:pt>
                <c:pt idx="292">
                  <c:v>61.922154061238452</c:v>
                </c:pt>
                <c:pt idx="293">
                  <c:v>62.323152999174958</c:v>
                </c:pt>
                <c:pt idx="294">
                  <c:v>62.725051074475559</c:v>
                </c:pt>
                <c:pt idx="295">
                  <c:v>63.127842585974101</c:v>
                </c:pt>
                <c:pt idx="296">
                  <c:v>63.531521827923036</c:v>
                </c:pt>
                <c:pt idx="297">
                  <c:v>63.936083090076906</c:v>
                </c:pt>
                <c:pt idx="298">
                  <c:v>64.341516339820359</c:v>
                </c:pt>
                <c:pt idx="299">
                  <c:v>64.747802899022219</c:v>
                </c:pt>
                <c:pt idx="300">
                  <c:v>65.154919758471422</c:v>
                </c:pt>
                <c:pt idx="301">
                  <c:v>65.562843897822646</c:v>
                </c:pt>
                <c:pt idx="302">
                  <c:v>65.971552286146107</c:v>
                </c:pt>
                <c:pt idx="303">
                  <c:v>66.381021882468929</c:v>
                </c:pt>
                <c:pt idx="304">
                  <c:v>66.791229636307932</c:v>
                </c:pt>
                <c:pt idx="305">
                  <c:v>67.202152488193974</c:v>
                </c:pt>
                <c:pt idx="306">
                  <c:v>67.613767370187773</c:v>
                </c:pt>
                <c:pt idx="307">
                  <c:v>68.026051206387294</c:v>
                </c:pt>
                <c:pt idx="308">
                  <c:v>68.438980913426676</c:v>
                </c:pt>
                <c:pt idx="309">
                  <c:v>68.85253340096672</c:v>
                </c:pt>
                <c:pt idx="310">
                  <c:v>69.266685572176939</c:v>
                </c:pt>
                <c:pt idx="311">
                  <c:v>69.681414324209243</c:v>
                </c:pt>
                <c:pt idx="312">
                  <c:v>70.096696548663118</c:v>
                </c:pt>
                <c:pt idx="313">
                  <c:v>70.512509132042524</c:v>
                </c:pt>
                <c:pt idx="314">
                  <c:v>70.928828956204384</c:v>
                </c:pt>
                <c:pt idx="315">
                  <c:v>71.345632898798641</c:v>
                </c:pt>
                <c:pt idx="316">
                  <c:v>71.762897833700052</c:v>
                </c:pt>
                <c:pt idx="317">
                  <c:v>72.180600631431574</c:v>
                </c:pt>
                <c:pt idx="318">
                  <c:v>72.598718159579434</c:v>
                </c:pt>
                <c:pt idx="319">
                  <c:v>73.017227283199901</c:v>
                </c:pt>
                <c:pt idx="320">
                  <c:v>73.436104865217672</c:v>
                </c:pt>
                <c:pt idx="321">
                  <c:v>73.855329504563855</c:v>
                </c:pt>
                <c:pt idx="322">
                  <c:v>74.274883275510206</c:v>
                </c:pt>
                <c:pt idx="323">
                  <c:v>74.694749990354993</c:v>
                </c:pt>
                <c:pt idx="324">
                  <c:v>75.114913460807088</c:v>
                </c:pt>
                <c:pt idx="325">
                  <c:v>75.535357498167016</c:v>
                </c:pt>
                <c:pt idx="326">
                  <c:v>75.95606591350402</c:v>
                </c:pt>
                <c:pt idx="327">
                  <c:v>76.377022517829033</c:v>
                </c:pt>
                <c:pt idx="328">
                  <c:v>76.798211122263538</c:v>
                </c:pt>
                <c:pt idx="329">
                  <c:v>77.219615538204465</c:v>
                </c:pt>
                <c:pt idx="330">
                  <c:v>77.641219577484989</c:v>
                </c:pt>
                <c:pt idx="331">
                  <c:v>78.063007052531276</c:v>
                </c:pt>
                <c:pt idx="332">
                  <c:v>78.484961776515263</c:v>
                </c:pt>
                <c:pt idx="333">
                  <c:v>78.907067563503318</c:v>
                </c:pt>
                <c:pt idx="334">
                  <c:v>79.329308228600937</c:v>
                </c:pt>
                <c:pt idx="335">
                  <c:v>79.751667588093454</c:v>
                </c:pt>
                <c:pt idx="336">
                  <c:v>80.174129459582616</c:v>
                </c:pt>
                <c:pt idx="337">
                  <c:v>80.596677662119319</c:v>
                </c:pt>
                <c:pt idx="338">
                  <c:v>81.019296016332177</c:v>
                </c:pt>
                <c:pt idx="339">
                  <c:v>81.441968344552208</c:v>
                </c:pt>
                <c:pt idx="340">
                  <c:v>81.864678470933498</c:v>
                </c:pt>
                <c:pt idx="341">
                  <c:v>82.287410221569871</c:v>
                </c:pt>
                <c:pt idx="342">
                  <c:v>82.710147424607527</c:v>
                </c:pt>
                <c:pt idx="343">
                  <c:v>83.132873910353808</c:v>
                </c:pt>
                <c:pt idx="344">
                  <c:v>83.555573511381894</c:v>
                </c:pt>
                <c:pt idx="345">
                  <c:v>83.978230062631553</c:v>
                </c:pt>
                <c:pt idx="346">
                  <c:v>84.400827401505936</c:v>
                </c:pt>
                <c:pt idx="347">
                  <c:v>84.823349367964411</c:v>
                </c:pt>
                <c:pt idx="348">
                  <c:v>85.245779994679538</c:v>
                </c:pt>
                <c:pt idx="349">
                  <c:v>85.668103697256356</c:v>
                </c:pt>
                <c:pt idx="350">
                  <c:v>86.090305084157677</c:v>
                </c:pt>
                <c:pt idx="351">
                  <c:v>86.512368766553777</c:v>
                </c:pt>
                <c:pt idx="352">
                  <c:v>86.934279358385012</c:v>
                </c:pt>
                <c:pt idx="353">
                  <c:v>87.356021476420793</c:v>
                </c:pt>
                <c:pt idx="354">
                  <c:v>87.777579740314991</c:v>
                </c:pt>
                <c:pt idx="355">
                  <c:v>88.198938772657769</c:v>
                </c:pt>
                <c:pt idx="356">
                  <c:v>88.620083199023824</c:v>
                </c:pt>
                <c:pt idx="357">
                  <c:v>89.040997648017068</c:v>
                </c:pt>
                <c:pt idx="358">
                  <c:v>89.461666751311682</c:v>
                </c:pt>
                <c:pt idx="359">
                  <c:v>89.882075143689633</c:v>
                </c:pt>
                <c:pt idx="360">
                  <c:v>90.302211441446616</c:v>
                </c:pt>
                <c:pt idx="361">
                  <c:v>90.722072221761906</c:v>
                </c:pt>
                <c:pt idx="362">
                  <c:v>91.141658041993864</c:v>
                </c:pt>
                <c:pt idx="363">
                  <c:v>91.560969457996634</c:v>
                </c:pt>
                <c:pt idx="364">
                  <c:v>91.980007024125797</c:v>
                </c:pt>
                <c:pt idx="365">
                  <c:v>92.398771293243982</c:v>
                </c:pt>
                <c:pt idx="366">
                  <c:v>92.817262816726455</c:v>
                </c:pt>
                <c:pt idx="367">
                  <c:v>93.235482144466673</c:v>
                </c:pt>
                <c:pt idx="368">
                  <c:v>93.653429824881812</c:v>
                </c:pt>
                <c:pt idx="369">
                  <c:v>94.071106404918297</c:v>
                </c:pt>
                <c:pt idx="370">
                  <c:v>94.488512430057284</c:v>
                </c:pt>
                <c:pt idx="371">
                  <c:v>94.905648444320079</c:v>
                </c:pt>
                <c:pt idx="372">
                  <c:v>95.322514990273618</c:v>
                </c:pt>
                <c:pt idx="373">
                  <c:v>95.739112609035843</c:v>
                </c:pt>
                <c:pt idx="374">
                  <c:v>96.155441840281114</c:v>
                </c:pt>
                <c:pt idx="375">
                  <c:v>96.571503222245525</c:v>
                </c:pt>
                <c:pt idx="376">
                  <c:v>96.987297291732276</c:v>
                </c:pt>
                <c:pt idx="377">
                  <c:v>97.402824584116956</c:v>
                </c:pt>
                <c:pt idx="378">
                  <c:v>97.818085633352837</c:v>
                </c:pt>
                <c:pt idx="379">
                  <c:v>98.233080971976108</c:v>
                </c:pt>
                <c:pt idx="380">
                  <c:v>98.647811131111155</c:v>
                </c:pt>
                <c:pt idx="381">
                  <c:v>99.06227664047573</c:v>
                </c:pt>
                <c:pt idx="382">
                  <c:v>99.476478028386168</c:v>
                </c:pt>
                <c:pt idx="383">
                  <c:v>99.890415821762502</c:v>
                </c:pt>
                <c:pt idx="384">
                  <c:v>100.30409054613366</c:v>
                </c:pt>
                <c:pt idx="385">
                  <c:v>100.71750272564255</c:v>
                </c:pt>
                <c:pt idx="386">
                  <c:v>101.13065288305111</c:v>
                </c:pt>
                <c:pt idx="387">
                  <c:v>101.54354153974549</c:v>
                </c:pt>
                <c:pt idx="388">
                  <c:v>101.95616921574097</c:v>
                </c:pt>
                <c:pt idx="389">
                  <c:v>102.36853642968705</c:v>
                </c:pt>
                <c:pt idx="390">
                  <c:v>102.78064369887245</c:v>
                </c:pt>
                <c:pt idx="391">
                  <c:v>103.19249153923006</c:v>
                </c:pt>
                <c:pt idx="392">
                  <c:v>103.60408046534189</c:v>
                </c:pt>
                <c:pt idx="393">
                  <c:v>104.01541099044404</c:v>
                </c:pt>
                <c:pt idx="394">
                  <c:v>104.42648362643155</c:v>
                </c:pt>
                <c:pt idx="395">
                  <c:v>104.83729888386334</c:v>
                </c:pt>
                <c:pt idx="396">
                  <c:v>105.24785727196705</c:v>
                </c:pt>
                <c:pt idx="397">
                  <c:v>105.65815929864387</c:v>
                </c:pt>
                <c:pt idx="398">
                  <c:v>106.06820547047336</c:v>
                </c:pt>
                <c:pt idx="399">
                  <c:v>106.47799629271827</c:v>
                </c:pt>
                <c:pt idx="400">
                  <c:v>106.88753226932933</c:v>
                </c:pt>
                <c:pt idx="401">
                  <c:v>110.96891446576083</c:v>
                </c:pt>
                <c:pt idx="402">
                  <c:v>115.0251364924391</c:v>
                </c:pt>
                <c:pt idx="403">
                  <c:v>119.05669004260277</c:v>
                </c:pt>
                <c:pt idx="404">
                  <c:v>123.06405430276698</c:v>
                </c:pt>
                <c:pt idx="405">
                  <c:v>127.04769639435445</c:v>
                </c:pt>
                <c:pt idx="406">
                  <c:v>131.00807179598777</c:v>
                </c:pt>
                <c:pt idx="407">
                  <c:v>134.94562474745544</c:v>
                </c:pt>
                <c:pt idx="408">
                  <c:v>138.86078863630254</c:v>
                </c:pt>
                <c:pt idx="409">
                  <c:v>142.75398636793949</c:v>
                </c:pt>
                <c:pt idx="410">
                  <c:v>146.62563072010866</c:v>
                </c:pt>
                <c:pt idx="411">
                  <c:v>150.47612468249883</c:v>
                </c:pt>
                <c:pt idx="412">
                  <c:v>154.30586178225116</c:v>
                </c:pt>
                <c:pt idx="413">
                  <c:v>158.1152263960563</c:v>
                </c:pt>
                <c:pt idx="414">
                  <c:v>161.90459404950258</c:v>
                </c:pt>
                <c:pt idx="415">
                  <c:v>165.67433170429655</c:v>
                </c:pt>
                <c:pt idx="416">
                  <c:v>169.42479803394221</c:v>
                </c:pt>
                <c:pt idx="417">
                  <c:v>173.15634368843183</c:v>
                </c:pt>
                <c:pt idx="418">
                  <c:v>176.86931154847045</c:v>
                </c:pt>
                <c:pt idx="419">
                  <c:v>180.56403696972691</c:v>
                </c:pt>
                <c:pt idx="420">
                  <c:v>184.24084801757715</c:v>
                </c:pt>
                <c:pt idx="421">
                  <c:v>187.90006569277992</c:v>
                </c:pt>
                <c:pt idx="422">
                  <c:v>191.54200414850095</c:v>
                </c:pt>
                <c:pt idx="423">
                  <c:v>195.16697089907953</c:v>
                </c:pt>
                <c:pt idx="424">
                  <c:v>198.77526702090972</c:v>
                </c:pt>
                <c:pt idx="425">
                  <c:v>202.36718734578906</c:v>
                </c:pt>
                <c:pt idx="426">
                  <c:v>205.94302064706883</c:v>
                </c:pt>
                <c:pt idx="427">
                  <c:v>209.50304981892199</c:v>
                </c:pt>
                <c:pt idx="428">
                  <c:v>213.04755204902906</c:v>
                </c:pt>
                <c:pt idx="429">
                  <c:v>216.57679898496588</c:v>
                </c:pt>
                <c:pt idx="430">
                  <c:v>220.09105689456291</c:v>
                </c:pt>
                <c:pt idx="431">
                  <c:v>223.59058682049215</c:v>
                </c:pt>
                <c:pt idx="432">
                  <c:v>227.07564472932364</c:v>
                </c:pt>
                <c:pt idx="433">
                  <c:v>230.54648165528263</c:v>
                </c:pt>
                <c:pt idx="434">
                  <c:v>234.00334383892545</c:v>
                </c:pt>
                <c:pt idx="435">
                  <c:v>237.44647286094201</c:v>
                </c:pt>
                <c:pt idx="436">
                  <c:v>240.87610577128211</c:v>
                </c:pt>
                <c:pt idx="437">
                  <c:v>244.29247521379278</c:v>
                </c:pt>
                <c:pt idx="438">
                  <c:v>247.69580954654461</c:v>
                </c:pt>
                <c:pt idx="439">
                  <c:v>251.08633295801638</c:v>
                </c:pt>
                <c:pt idx="440">
                  <c:v>254.46426557929846</c:v>
                </c:pt>
                <c:pt idx="441">
                  <c:v>257.82982359246779</c:v>
                </c:pt>
                <c:pt idx="442">
                  <c:v>261.18321933527966</c:v>
                </c:pt>
                <c:pt idx="443">
                  <c:v>264.52466140231417</c:v>
                </c:pt>
                <c:pt idx="444">
                  <c:v>267.85435474270827</c:v>
                </c:pt>
                <c:pt idx="445">
                  <c:v>271.17250075459839</c:v>
                </c:pt>
                <c:pt idx="446">
                  <c:v>274.47929737639157</c:v>
                </c:pt>
                <c:pt idx="447">
                  <c:v>277.77493917497759</c:v>
                </c:pt>
                <c:pt idx="448">
                  <c:v>281.05961743098879</c:v>
                </c:pt>
                <c:pt idx="449">
                  <c:v>284.33352022120908</c:v>
                </c:pt>
                <c:pt idx="450">
                  <c:v>287.5968324982278</c:v>
                </c:pt>
                <c:pt idx="451">
                  <c:v>290.84973616742991</c:v>
                </c:pt>
                <c:pt idx="452">
                  <c:v>294.09241016140857</c:v>
                </c:pt>
                <c:pt idx="453">
                  <c:v>297.32503051188166</c:v>
                </c:pt>
                <c:pt idx="454">
                  <c:v>300.54777041918993</c:v>
                </c:pt>
                <c:pt idx="455">
                  <c:v>303.7608003194494</c:v>
                </c:pt>
                <c:pt idx="456">
                  <c:v>306.96428794942665</c:v>
                </c:pt>
                <c:pt idx="457">
                  <c:v>310.15839840920222</c:v>
                </c:pt>
                <c:pt idx="458">
                  <c:v>313.34329422268269</c:v>
                </c:pt>
                <c:pt idx="459">
                  <c:v>316.5191353960185</c:v>
                </c:pt>
                <c:pt idx="460">
                  <c:v>319.68607947398107</c:v>
                </c:pt>
                <c:pt idx="461">
                  <c:v>322.84428159434879</c:v>
                </c:pt>
                <c:pt idx="462">
                  <c:v>325.99389454034804</c:v>
                </c:pt>
                <c:pt idx="463">
                  <c:v>329.13506879119183</c:v>
                </c:pt>
                <c:pt idx="464">
                  <c:v>332.26795257075577</c:v>
                </c:pt>
                <c:pt idx="465">
                  <c:v>335.39269189442621</c:v>
                </c:pt>
                <c:pt idx="466">
                  <c:v>338.50943061415381</c:v>
                </c:pt>
                <c:pt idx="467">
                  <c:v>341.6183104617412</c:v>
                </c:pt>
                <c:pt idx="468">
                  <c:v>344.71947109038996</c:v>
                </c:pt>
                <c:pt idx="469">
                  <c:v>347.8130501145298</c:v>
                </c:pt>
                <c:pt idx="470">
                  <c:v>350.89918314794818</c:v>
                </c:pt>
                <c:pt idx="471">
                  <c:v>353.97800384023611</c:v>
                </c:pt>
                <c:pt idx="472">
                  <c:v>357.04964391156159</c:v>
                </c:pt>
                <c:pt idx="473">
                  <c:v>360.11423318577926</c:v>
                </c:pt>
                <c:pt idx="474">
                  <c:v>363.1718996218811</c:v>
                </c:pt>
                <c:pt idx="475">
                  <c:v>366.22276934378863</c:v>
                </c:pt>
                <c:pt idx="476">
                  <c:v>369.26696666848477</c:v>
                </c:pt>
                <c:pt idx="477">
                  <c:v>372.3046141324777</c:v>
                </c:pt>
                <c:pt idx="478">
                  <c:v>375.33583251658706</c:v>
                </c:pt>
                <c:pt idx="479">
                  <c:v>378.3607408690375</c:v>
                </c:pt>
                <c:pt idx="480">
                  <c:v>381.37945652684039</c:v>
                </c:pt>
                <c:pt idx="481">
                  <c:v>384.3920951354412</c:v>
                </c:pt>
                <c:pt idx="482">
                  <c:v>387.39877066660432</c:v>
                </c:pt>
                <c:pt idx="483">
                  <c:v>390.39959543450334</c:v>
                </c:pt>
                <c:pt idx="484">
                  <c:v>393.39468010997996</c:v>
                </c:pt>
                <c:pt idx="485">
                  <c:v>396.38413373292906</c:v>
                </c:pt>
                <c:pt idx="486">
                  <c:v>399.36806372276402</c:v>
                </c:pt>
                <c:pt idx="487">
                  <c:v>402.34657588690942</c:v>
                </c:pt>
                <c:pt idx="488">
                  <c:v>405.31977442726463</c:v>
                </c:pt>
                <c:pt idx="489">
                  <c:v>408.28776194457544</c:v>
                </c:pt>
                <c:pt idx="490">
                  <c:v>411.25063944064647</c:v>
                </c:pt>
                <c:pt idx="491">
                  <c:v>414.20850631832081</c:v>
                </c:pt>
                <c:pt idx="492">
                  <c:v>417.16146037914922</c:v>
                </c:pt>
                <c:pt idx="493">
                  <c:v>420.10959781866563</c:v>
                </c:pt>
                <c:pt idx="494">
                  <c:v>423.05301321918074</c:v>
                </c:pt>
                <c:pt idx="495">
                  <c:v>425.99179954000181</c:v>
                </c:pt>
                <c:pt idx="496">
                  <c:v>428.92604810498221</c:v>
                </c:pt>
                <c:pt idx="497">
                  <c:v>431.85584858730175</c:v>
                </c:pt>
                <c:pt idx="498">
                  <c:v>434.78128899137624</c:v>
                </c:pt>
                <c:pt idx="499">
                  <c:v>437.70245563179384</c:v>
                </c:pt>
                <c:pt idx="500">
                  <c:v>440.61943310917627</c:v>
                </c:pt>
                <c:pt idx="501">
                  <c:v>443.53230428286543</c:v>
                </c:pt>
                <c:pt idx="502">
                  <c:v>446.44115024033988</c:v>
                </c:pt>
                <c:pt idx="503">
                  <c:v>449.34605026327353</c:v>
                </c:pt>
                <c:pt idx="504">
                  <c:v>452.2470817901588</c:v>
                </c:pt>
                <c:pt idx="505">
                  <c:v>455.14432037543048</c:v>
                </c:pt>
                <c:pt idx="506">
                  <c:v>458.03783964504476</c:v>
                </c:pt>
                <c:pt idx="507">
                  <c:v>460.92771124849179</c:v>
                </c:pt>
                <c:pt idx="508">
                  <c:v>463.81400480724807</c:v>
                </c:pt>
                <c:pt idx="509">
                  <c:v>466.69678785970979</c:v>
                </c:pt>
                <c:pt idx="510">
                  <c:v>469.57612580269097</c:v>
                </c:pt>
                <c:pt idx="511">
                  <c:v>472.45208182961812</c:v>
                </c:pt>
                <c:pt idx="512">
                  <c:v>475.32471686560979</c:v>
                </c:pt>
                <c:pt idx="513">
                  <c:v>478.19408949969392</c:v>
                </c:pt>
                <c:pt idx="514">
                  <c:v>481.0602559144873</c:v>
                </c:pt>
                <c:pt idx="515">
                  <c:v>483.92326981374049</c:v>
                </c:pt>
                <c:pt idx="516">
                  <c:v>486.78318234823593</c:v>
                </c:pt>
                <c:pt idx="517">
                  <c:v>489.64004204061661</c:v>
                </c:pt>
                <c:pt idx="518">
                  <c:v>492.49389470981453</c:v>
                </c:pt>
                <c:pt idx="519">
                  <c:v>495.34478339583933</c:v>
                </c:pt>
                <c:pt idx="520">
                  <c:v>498.19274828577528</c:v>
                </c:pt>
                <c:pt idx="521">
                  <c:v>501.03782664191442</c:v>
                </c:pt>
                <c:pt idx="522">
                  <c:v>503.88005273302224</c:v>
                </c:pt>
                <c:pt idx="523">
                  <c:v>506.7194577697818</c:v>
                </c:pt>
                <c:pt idx="524">
                  <c:v>509.5560698454928</c:v>
                </c:pt>
                <c:pt idx="525">
                  <c:v>512.38991388310433</c:v>
                </c:pt>
                <c:pt idx="526">
                  <c:v>515.22101158963437</c:v>
                </c:pt>
                <c:pt idx="527">
                  <c:v>518.0493814189706</c:v>
                </c:pt>
                <c:pt idx="528">
                  <c:v>520.87503854395595</c:v>
                </c:pt>
                <c:pt idx="529">
                  <c:v>523.69799483853797</c:v>
                </c:pt>
                <c:pt idx="530">
                  <c:v>526.51825887060943</c:v>
                </c:pt>
                <c:pt idx="531">
                  <c:v>529.33583590598869</c:v>
                </c:pt>
                <c:pt idx="532">
                  <c:v>532.15072792379169</c:v>
                </c:pt>
                <c:pt idx="533">
                  <c:v>534.96293364324151</c:v>
                </c:pt>
                <c:pt idx="534">
                  <c:v>537.77244856175173</c:v>
                </c:pt>
                <c:pt idx="535">
                  <c:v>540.57926500391545</c:v>
                </c:pt>
                <c:pt idx="536">
                  <c:v>543.38337218084632</c:v>
                </c:pt>
                <c:pt idx="537">
                  <c:v>546.18475625914903</c:v>
                </c:pt>
                <c:pt idx="538">
                  <c:v>548.98340043865949</c:v>
                </c:pt>
                <c:pt idx="539">
                  <c:v>551.77928503798705</c:v>
                </c:pt>
                <c:pt idx="540">
                  <c:v>554.57238758681797</c:v>
                </c:pt>
                <c:pt idx="541">
                  <c:v>557.36268292389559</c:v>
                </c:pt>
                <c:pt idx="542">
                  <c:v>560.15014329958819</c:v>
                </c:pt>
                <c:pt idx="543">
                  <c:v>562.93473848196834</c:v>
                </c:pt>
                <c:pt idx="544">
                  <c:v>565.71643586537698</c:v>
                </c:pt>
                <c:pt idx="545">
                  <c:v>568.49520058050291</c:v>
                </c:pt>
                <c:pt idx="546">
                  <c:v>571.27099560508941</c:v>
                </c:pt>
                <c:pt idx="547">
                  <c:v>574.04378187446616</c:v>
                </c:pt>
                <c:pt idx="548">
                  <c:v>576.81351839119725</c:v>
                </c:pt>
                <c:pt idx="549">
                  <c:v>579.58016233323247</c:v>
                </c:pt>
                <c:pt idx="550">
                  <c:v>582.34366916004171</c:v>
                </c:pt>
                <c:pt idx="551">
                  <c:v>585.10399271630286</c:v>
                </c:pt>
                <c:pt idx="552">
                  <c:v>587.86108533279753</c:v>
                </c:pt>
                <c:pt idx="553">
                  <c:v>590.61489792424663</c:v>
                </c:pt>
                <c:pt idx="554">
                  <c:v>593.36538008388675</c:v>
                </c:pt>
                <c:pt idx="555">
                  <c:v>596.11248017465141</c:v>
                </c:pt>
                <c:pt idx="556">
                  <c:v>598.85614541687232</c:v>
                </c:pt>
                <c:pt idx="557">
                  <c:v>601.59632197246435</c:v>
                </c:pt>
                <c:pt idx="558">
                  <c:v>604.3329550255952</c:v>
                </c:pt>
                <c:pt idx="559">
                  <c:v>607.0659888598725</c:v>
                </c:pt>
                <c:pt idx="560">
                  <c:v>609.79536693210821</c:v>
                </c:pt>
                <c:pt idx="561">
                  <c:v>612.52103194273968</c:v>
                </c:pt>
                <c:pt idx="562">
                  <c:v>615.24292590300331</c:v>
                </c:pt>
                <c:pt idx="563">
                  <c:v>617.96099019896826</c:v>
                </c:pt>
                <c:pt idx="564">
                  <c:v>620.67516565254618</c:v>
                </c:pt>
                <c:pt idx="565">
                  <c:v>623.38539257959883</c:v>
                </c:pt>
                <c:pt idx="566">
                  <c:v>626.09161084526806</c:v>
                </c:pt>
                <c:pt idx="567">
                  <c:v>628.79375991665324</c:v>
                </c:pt>
                <c:pt idx="568">
                  <c:v>631.49177891296222</c:v>
                </c:pt>
                <c:pt idx="569">
                  <c:v>634.1856066532589</c:v>
                </c:pt>
                <c:pt idx="570">
                  <c:v>636.87518170192766</c:v>
                </c:pt>
                <c:pt idx="571">
                  <c:v>639.56044241197185</c:v>
                </c:pt>
                <c:pt idx="572">
                  <c:v>642.24132696625998</c:v>
                </c:pt>
                <c:pt idx="573">
                  <c:v>644.91777341682678</c:v>
                </c:pt>
                <c:pt idx="574">
                  <c:v>647.58971972233428</c:v>
                </c:pt>
                <c:pt idx="575">
                  <c:v>650.25710378379017</c:v>
                </c:pt>
                <c:pt idx="576">
                  <c:v>652.91986347861882</c:v>
                </c:pt>
                <c:pt idx="577">
                  <c:v>655.57793669317311</c:v>
                </c:pt>
                <c:pt idx="578">
                  <c:v>658.23126135377072</c:v>
                </c:pt>
                <c:pt idx="579">
                  <c:v>660.87977545633521</c:v>
                </c:pt>
                <c:pt idx="580">
                  <c:v>663.52341709471614</c:v>
                </c:pt>
                <c:pt idx="581">
                  <c:v>666.16212448775821</c:v>
                </c:pt>
                <c:pt idx="582">
                  <c:v>668.79583600518595</c:v>
                </c:pt>
                <c:pt idx="583">
                  <c:v>671.42449019236597</c:v>
                </c:pt>
                <c:pt idx="584">
                  <c:v>674.0480257940045</c:v>
                </c:pt>
                <c:pt idx="585">
                  <c:v>676.66638177683546</c:v>
                </c:pt>
                <c:pt idx="586">
                  <c:v>679.27949735134905</c:v>
                </c:pt>
                <c:pt idx="587">
                  <c:v>681.88731199261031</c:v>
                </c:pt>
                <c:pt idx="588">
                  <c:v>684.48976546021049</c:v>
                </c:pt>
                <c:pt idx="589">
                  <c:v>687.086797817395</c:v>
                </c:pt>
                <c:pt idx="590">
                  <c:v>689.6783494494058</c:v>
                </c:pt>
                <c:pt idx="591">
                  <c:v>692.26436108107555</c:v>
                </c:pt>
                <c:pt idx="592">
                  <c:v>694.84477379370821</c:v>
                </c:pt>
                <c:pt idx="593">
                  <c:v>697.41952904127743</c:v>
                </c:pt>
                <c:pt idx="594">
                  <c:v>699.98856866597339</c:v>
                </c:pt>
                <c:pt idx="595">
                  <c:v>702.5518349131263</c:v>
                </c:pt>
                <c:pt idx="596">
                  <c:v>705.10927044553273</c:v>
                </c:pt>
                <c:pt idx="597">
                  <c:v>707.66081835720968</c:v>
                </c:pt>
                <c:pt idx="598">
                  <c:v>710.20642218659941</c:v>
                </c:pt>
                <c:pt idx="599">
                  <c:v>712.74602592924725</c:v>
                </c:pt>
                <c:pt idx="600">
                  <c:v>715.27957404997187</c:v>
                </c:pt>
                <c:pt idx="601">
                  <c:v>717.80701149454853</c:v>
                </c:pt>
                <c:pt idx="602">
                  <c:v>720.3282837009217</c:v>
                </c:pt>
                <c:pt idx="603">
                  <c:v>722.8433366099656</c:v>
                </c:pt>
                <c:pt idx="604">
                  <c:v>725.352116675807</c:v>
                </c:pt>
                <c:pt idx="605">
                  <c:v>727.85457087572672</c:v>
                </c:pt>
                <c:pt idx="606">
                  <c:v>730.35064671965256</c:v>
                </c:pt>
                <c:pt idx="607">
                  <c:v>732.84029225925838</c:v>
                </c:pt>
                <c:pt idx="608">
                  <c:v>735.32345609668016</c:v>
                </c:pt>
                <c:pt idx="609">
                  <c:v>737.80008739286291</c:v>
                </c:pt>
                <c:pt idx="610">
                  <c:v>740.27013587554745</c:v>
                </c:pt>
                <c:pt idx="611">
                  <c:v>742.73355184690979</c:v>
                </c:pt>
                <c:pt idx="612">
                  <c:v>745.19028619086112</c:v>
                </c:pt>
                <c:pt idx="613">
                  <c:v>747.64029038001968</c:v>
                </c:pt>
                <c:pt idx="614">
                  <c:v>750.08351648236237</c:v>
                </c:pt>
                <c:pt idx="615">
                  <c:v>752.5199171675647</c:v>
                </c:pt>
                <c:pt idx="616">
                  <c:v>754.94944571303847</c:v>
                </c:pt>
                <c:pt idx="617">
                  <c:v>757.3720560096732</c:v>
                </c:pt>
                <c:pt idx="618">
                  <c:v>759.78770256728967</c:v>
                </c:pt>
                <c:pt idx="619">
                  <c:v>762.19634051981291</c:v>
                </c:pt>
                <c:pt idx="620">
                  <c:v>764.59792563017061</c:v>
                </c:pt>
                <c:pt idx="621">
                  <c:v>766.99241429492395</c:v>
                </c:pt>
                <c:pt idx="622">
                  <c:v>769.37976354863679</c:v>
                </c:pt>
                <c:pt idx="623">
                  <c:v>771.7599310679891</c:v>
                </c:pt>
                <c:pt idx="624">
                  <c:v>774.13287517564072</c:v>
                </c:pt>
                <c:pt idx="625">
                  <c:v>776.49855484385046</c:v>
                </c:pt>
                <c:pt idx="626">
                  <c:v>778.856929697856</c:v>
                </c:pt>
                <c:pt idx="627">
                  <c:v>781.20796001902011</c:v>
                </c:pt>
                <c:pt idx="628">
                  <c:v>783.55160674774686</c:v>
                </c:pt>
                <c:pt idx="629">
                  <c:v>785.88783148617449</c:v>
                </c:pt>
                <c:pt idx="630">
                  <c:v>788.21659650064737</c:v>
                </c:pt>
                <c:pt idx="631">
                  <c:v>790.53786472397371</c:v>
                </c:pt>
                <c:pt idx="632">
                  <c:v>792.85159975747115</c:v>
                </c:pt>
                <c:pt idx="633">
                  <c:v>795.15776587280641</c:v>
                </c:pt>
                <c:pt idx="634">
                  <c:v>797.45632801363172</c:v>
                </c:pt>
                <c:pt idx="635">
                  <c:v>799.74725179702273</c:v>
                </c:pt>
                <c:pt idx="636">
                  <c:v>802.03050351472132</c:v>
                </c:pt>
                <c:pt idx="637">
                  <c:v>804.30605013418779</c:v>
                </c:pt>
                <c:pt idx="638">
                  <c:v>806.57385929946531</c:v>
                </c:pt>
                <c:pt idx="639">
                  <c:v>808.83389933186061</c:v>
                </c:pt>
                <c:pt idx="640">
                  <c:v>811.08613923044504</c:v>
                </c:pt>
                <c:pt idx="641">
                  <c:v>813.33054867237831</c:v>
                </c:pt>
                <c:pt idx="642">
                  <c:v>815.56709801305942</c:v>
                </c:pt>
                <c:pt idx="643">
                  <c:v>817.79575828610757</c:v>
                </c:pt>
                <c:pt idx="644">
                  <c:v>820.01650120317618</c:v>
                </c:pt>
                <c:pt idx="645">
                  <c:v>822.22929915360419</c:v>
                </c:pt>
                <c:pt idx="646">
                  <c:v>824.43412520390655</c:v>
                </c:pt>
                <c:pt idx="647">
                  <c:v>826.63095309710809</c:v>
                </c:pt>
                <c:pt idx="648">
                  <c:v>828.81975725192353</c:v>
                </c:pt>
                <c:pt idx="649">
                  <c:v>831.00051276178647</c:v>
                </c:pt>
                <c:pt idx="650">
                  <c:v>833.17319539373045</c:v>
                </c:pt>
                <c:pt idx="651">
                  <c:v>835.33778158712562</c:v>
                </c:pt>
                <c:pt idx="652">
                  <c:v>837.49424845227315</c:v>
                </c:pt>
                <c:pt idx="653">
                  <c:v>839.64257376886098</c:v>
                </c:pt>
                <c:pt idx="654">
                  <c:v>841.78273598428336</c:v>
                </c:pt>
                <c:pt idx="655">
                  <c:v>843.91471421182689</c:v>
                </c:pt>
                <c:pt idx="656">
                  <c:v>846.03848822872669</c:v>
                </c:pt>
                <c:pt idx="657">
                  <c:v>848.15403847409493</c:v>
                </c:pt>
                <c:pt idx="658">
                  <c:v>850.26134604672393</c:v>
                </c:pt>
                <c:pt idx="659">
                  <c:v>852.36039270276785</c:v>
                </c:pt>
                <c:pt idx="660">
                  <c:v>854.45116085330505</c:v>
                </c:pt>
                <c:pt idx="661">
                  <c:v>856.53363356178295</c:v>
                </c:pt>
                <c:pt idx="662">
                  <c:v>858.60779454135002</c:v>
                </c:pt>
                <c:pt idx="663">
                  <c:v>860.67362815207571</c:v>
                </c:pt>
                <c:pt idx="664">
                  <c:v>862.73111939806176</c:v>
                </c:pt>
                <c:pt idx="665">
                  <c:v>864.78025392444783</c:v>
                </c:pt>
                <c:pt idx="666">
                  <c:v>866.82101801431281</c:v>
                </c:pt>
                <c:pt idx="667">
                  <c:v>868.85339858547616</c:v>
                </c:pt>
                <c:pt idx="668">
                  <c:v>870.87738318719994</c:v>
                </c:pt>
                <c:pt idx="669">
                  <c:v>872.89295999679564</c:v>
                </c:pt>
                <c:pt idx="670">
                  <c:v>874.90011781613703</c:v>
                </c:pt>
                <c:pt idx="671">
                  <c:v>876.89884606808243</c:v>
                </c:pt>
                <c:pt idx="672">
                  <c:v>878.8891347928087</c:v>
                </c:pt>
                <c:pt idx="673">
                  <c:v>880.87097464405872</c:v>
                </c:pt>
                <c:pt idx="674">
                  <c:v>882.8443568853055</c:v>
                </c:pt>
                <c:pt idx="675">
                  <c:v>884.80927338583524</c:v>
                </c:pt>
                <c:pt idx="676">
                  <c:v>886.76571661675132</c:v>
                </c:pt>
                <c:pt idx="677">
                  <c:v>888.71367964690205</c:v>
                </c:pt>
                <c:pt idx="678">
                  <c:v>890.65315613873406</c:v>
                </c:pt>
                <c:pt idx="679">
                  <c:v>892.58414034407417</c:v>
                </c:pt>
                <c:pt idx="680">
                  <c:v>894.50662709984147</c:v>
                </c:pt>
                <c:pt idx="681">
                  <c:v>896.4206118236923</c:v>
                </c:pt>
                <c:pt idx="682">
                  <c:v>898.32609050960002</c:v>
                </c:pt>
                <c:pt idx="683">
                  <c:v>900.22305972337256</c:v>
                </c:pt>
                <c:pt idx="684">
                  <c:v>902.11151659810901</c:v>
                </c:pt>
                <c:pt idx="685">
                  <c:v>903.99145882959772</c:v>
                </c:pt>
                <c:pt idx="686">
                  <c:v>905.86288467165866</c:v>
                </c:pt>
                <c:pt idx="687">
                  <c:v>907.72579293143167</c:v>
                </c:pt>
                <c:pt idx="688">
                  <c:v>909.58018296461228</c:v>
                </c:pt>
                <c:pt idx="689">
                  <c:v>911.42605467063856</c:v>
                </c:pt>
                <c:pt idx="690">
                  <c:v>913.26340848782945</c:v>
                </c:pt>
                <c:pt idx="691">
                  <c:v>915.0922453884782</c:v>
                </c:pt>
                <c:pt idx="692">
                  <c:v>916.91256687390148</c:v>
                </c:pt>
                <c:pt idx="693">
                  <c:v>918.72437496944713</c:v>
                </c:pt>
                <c:pt idx="694">
                  <c:v>920.5276722194626</c:v>
                </c:pt>
                <c:pt idx="695">
                  <c:v>922.32246168222525</c:v>
                </c:pt>
                <c:pt idx="696">
                  <c:v>924.10874692483708</c:v>
                </c:pt>
                <c:pt idx="697">
                  <c:v>925.88653201808609</c:v>
                </c:pt>
                <c:pt idx="698">
                  <c:v>927.6558215312748</c:v>
                </c:pt>
                <c:pt idx="699">
                  <c:v>929.41662052701975</c:v>
                </c:pt>
                <c:pt idx="700">
                  <c:v>931.16893455602212</c:v>
                </c:pt>
                <c:pt idx="701">
                  <c:v>932.91276965181214</c:v>
                </c:pt>
                <c:pt idx="702">
                  <c:v>934.64813232546919</c:v>
                </c:pt>
                <c:pt idx="703">
                  <c:v>936.37502956031881</c:v>
                </c:pt>
                <c:pt idx="704">
                  <c:v>938.0934688066086</c:v>
                </c:pt>
                <c:pt idx="705">
                  <c:v>939.80345797616508</c:v>
                </c:pt>
                <c:pt idx="706">
                  <c:v>941.50500543703242</c:v>
                </c:pt>
                <c:pt idx="707">
                  <c:v>943.198120008096</c:v>
                </c:pt>
                <c:pt idx="708">
                  <c:v>944.88281095369064</c:v>
                </c:pt>
                <c:pt idx="709">
                  <c:v>946.559087978197</c:v>
                </c:pt>
                <c:pt idx="710">
                  <c:v>948.22696122062621</c:v>
                </c:pt>
                <c:pt idx="711">
                  <c:v>949.88644124919529</c:v>
                </c:pt>
                <c:pt idx="712">
                  <c:v>951.53753905589474</c:v>
                </c:pt>
                <c:pt idx="713">
                  <c:v>953.1802660510491</c:v>
                </c:pt>
                <c:pt idx="714">
                  <c:v>953.1802660510491</c:v>
                </c:pt>
                <c:pt idx="715">
                  <c:v>953.1802660510491</c:v>
                </c:pt>
                <c:pt idx="716">
                  <c:v>953.1802660510491</c:v>
                </c:pt>
                <c:pt idx="717">
                  <c:v>953.1802660510491</c:v>
                </c:pt>
                <c:pt idx="718">
                  <c:v>953.1802660510491</c:v>
                </c:pt>
                <c:pt idx="719">
                  <c:v>953.1802660510491</c:v>
                </c:pt>
                <c:pt idx="720">
                  <c:v>953.1802660510491</c:v>
                </c:pt>
                <c:pt idx="721">
                  <c:v>953.1802660510491</c:v>
                </c:pt>
                <c:pt idx="722">
                  <c:v>953.1802660510491</c:v>
                </c:pt>
                <c:pt idx="723">
                  <c:v>953.1802660510491</c:v>
                </c:pt>
                <c:pt idx="724">
                  <c:v>953.1802660510491</c:v>
                </c:pt>
                <c:pt idx="725">
                  <c:v>953.1802660510491</c:v>
                </c:pt>
                <c:pt idx="726">
                  <c:v>953.1802660510491</c:v>
                </c:pt>
                <c:pt idx="727">
                  <c:v>953.1802660510491</c:v>
                </c:pt>
                <c:pt idx="728">
                  <c:v>953.1802660510491</c:v>
                </c:pt>
                <c:pt idx="729">
                  <c:v>953.1802660510491</c:v>
                </c:pt>
                <c:pt idx="730">
                  <c:v>953.1802660510491</c:v>
                </c:pt>
                <c:pt idx="731">
                  <c:v>953.1802660510491</c:v>
                </c:pt>
                <c:pt idx="732">
                  <c:v>953.1802660510491</c:v>
                </c:pt>
                <c:pt idx="733">
                  <c:v>953.1802660510491</c:v>
                </c:pt>
                <c:pt idx="734">
                  <c:v>953.1802660510491</c:v>
                </c:pt>
                <c:pt idx="735">
                  <c:v>953.1802660510491</c:v>
                </c:pt>
                <c:pt idx="736">
                  <c:v>953.1802660510491</c:v>
                </c:pt>
                <c:pt idx="737">
                  <c:v>953.1802660510491</c:v>
                </c:pt>
                <c:pt idx="738">
                  <c:v>953.1802660510491</c:v>
                </c:pt>
                <c:pt idx="739">
                  <c:v>953.1802660510491</c:v>
                </c:pt>
                <c:pt idx="740">
                  <c:v>953.1802660510491</c:v>
                </c:pt>
                <c:pt idx="741">
                  <c:v>953.1802660510491</c:v>
                </c:pt>
                <c:pt idx="742">
                  <c:v>953.1802660510491</c:v>
                </c:pt>
                <c:pt idx="743">
                  <c:v>953.1802660510491</c:v>
                </c:pt>
                <c:pt idx="744">
                  <c:v>953.1802660510491</c:v>
                </c:pt>
                <c:pt idx="745">
                  <c:v>953.1802660510491</c:v>
                </c:pt>
                <c:pt idx="746">
                  <c:v>953.1802660510491</c:v>
                </c:pt>
                <c:pt idx="747">
                  <c:v>953.1802660510491</c:v>
                </c:pt>
                <c:pt idx="748">
                  <c:v>953.1802660510491</c:v>
                </c:pt>
                <c:pt idx="749">
                  <c:v>953.1802660510491</c:v>
                </c:pt>
                <c:pt idx="750">
                  <c:v>953.1802660510491</c:v>
                </c:pt>
                <c:pt idx="751">
                  <c:v>953.1802660510491</c:v>
                </c:pt>
                <c:pt idx="752">
                  <c:v>953.1802660510491</c:v>
                </c:pt>
                <c:pt idx="753">
                  <c:v>953.1802660510491</c:v>
                </c:pt>
                <c:pt idx="754">
                  <c:v>953.1802660510491</c:v>
                </c:pt>
                <c:pt idx="755">
                  <c:v>953.1802660510491</c:v>
                </c:pt>
                <c:pt idx="756">
                  <c:v>953.1802660510491</c:v>
                </c:pt>
                <c:pt idx="757">
                  <c:v>953.1802660510491</c:v>
                </c:pt>
                <c:pt idx="758">
                  <c:v>953.1802660510491</c:v>
                </c:pt>
                <c:pt idx="759">
                  <c:v>953.1802660510491</c:v>
                </c:pt>
                <c:pt idx="760">
                  <c:v>953.1802660510491</c:v>
                </c:pt>
                <c:pt idx="761">
                  <c:v>953.1802660510491</c:v>
                </c:pt>
                <c:pt idx="762">
                  <c:v>953.1802660510491</c:v>
                </c:pt>
                <c:pt idx="763">
                  <c:v>953.1802660510491</c:v>
                </c:pt>
                <c:pt idx="764">
                  <c:v>953.1802660510491</c:v>
                </c:pt>
                <c:pt idx="765">
                  <c:v>953.1802660510491</c:v>
                </c:pt>
                <c:pt idx="766">
                  <c:v>953.1802660510491</c:v>
                </c:pt>
                <c:pt idx="767">
                  <c:v>953.1802660510491</c:v>
                </c:pt>
                <c:pt idx="768">
                  <c:v>953.1802660510491</c:v>
                </c:pt>
                <c:pt idx="769">
                  <c:v>953.1802660510491</c:v>
                </c:pt>
                <c:pt idx="770">
                  <c:v>953.1802660510491</c:v>
                </c:pt>
                <c:pt idx="771">
                  <c:v>953.1802660510491</c:v>
                </c:pt>
                <c:pt idx="772">
                  <c:v>953.1802660510491</c:v>
                </c:pt>
                <c:pt idx="773">
                  <c:v>953.1802660510491</c:v>
                </c:pt>
                <c:pt idx="774">
                  <c:v>953.1802660510491</c:v>
                </c:pt>
                <c:pt idx="775">
                  <c:v>953.1802660510491</c:v>
                </c:pt>
                <c:pt idx="776">
                  <c:v>953.1802660510491</c:v>
                </c:pt>
                <c:pt idx="777">
                  <c:v>953.1802660510491</c:v>
                </c:pt>
                <c:pt idx="778">
                  <c:v>953.1802660510491</c:v>
                </c:pt>
                <c:pt idx="779">
                  <c:v>953.1802660510491</c:v>
                </c:pt>
                <c:pt idx="780">
                  <c:v>953.1802660510491</c:v>
                </c:pt>
                <c:pt idx="781">
                  <c:v>953.1802660510491</c:v>
                </c:pt>
                <c:pt idx="782">
                  <c:v>953.1802660510491</c:v>
                </c:pt>
                <c:pt idx="783">
                  <c:v>953.1802660510491</c:v>
                </c:pt>
                <c:pt idx="784">
                  <c:v>953.1802660510491</c:v>
                </c:pt>
                <c:pt idx="785">
                  <c:v>953.1802660510491</c:v>
                </c:pt>
                <c:pt idx="786">
                  <c:v>953.1802660510491</c:v>
                </c:pt>
                <c:pt idx="787">
                  <c:v>953.1802660510491</c:v>
                </c:pt>
                <c:pt idx="788">
                  <c:v>953.1802660510491</c:v>
                </c:pt>
                <c:pt idx="789">
                  <c:v>953.1802660510491</c:v>
                </c:pt>
                <c:pt idx="790">
                  <c:v>953.1802660510491</c:v>
                </c:pt>
                <c:pt idx="791">
                  <c:v>953.1802660510491</c:v>
                </c:pt>
                <c:pt idx="792">
                  <c:v>953.1802660510491</c:v>
                </c:pt>
                <c:pt idx="793">
                  <c:v>953.1802660510491</c:v>
                </c:pt>
                <c:pt idx="794">
                  <c:v>953.1802660510491</c:v>
                </c:pt>
                <c:pt idx="795">
                  <c:v>953.1802660510491</c:v>
                </c:pt>
                <c:pt idx="796">
                  <c:v>953.1802660510491</c:v>
                </c:pt>
                <c:pt idx="797">
                  <c:v>953.1802660510491</c:v>
                </c:pt>
                <c:pt idx="798">
                  <c:v>953.1802660510491</c:v>
                </c:pt>
                <c:pt idx="799">
                  <c:v>953.1802660510491</c:v>
                </c:pt>
                <c:pt idx="800">
                  <c:v>953.1802660510491</c:v>
                </c:pt>
                <c:pt idx="801">
                  <c:v>953.1802660510491</c:v>
                </c:pt>
                <c:pt idx="802">
                  <c:v>953.1802660510491</c:v>
                </c:pt>
                <c:pt idx="803">
                  <c:v>953.1802660510491</c:v>
                </c:pt>
                <c:pt idx="804">
                  <c:v>953.1802660510491</c:v>
                </c:pt>
                <c:pt idx="805">
                  <c:v>953.1802660510491</c:v>
                </c:pt>
                <c:pt idx="806">
                  <c:v>953.1802660510491</c:v>
                </c:pt>
                <c:pt idx="807">
                  <c:v>953.1802660510491</c:v>
                </c:pt>
                <c:pt idx="808">
                  <c:v>953.1802660510491</c:v>
                </c:pt>
                <c:pt idx="809">
                  <c:v>953.1802660510491</c:v>
                </c:pt>
                <c:pt idx="810">
                  <c:v>953.1802660510491</c:v>
                </c:pt>
                <c:pt idx="811">
                  <c:v>953.1802660510491</c:v>
                </c:pt>
                <c:pt idx="812">
                  <c:v>953.1802660510491</c:v>
                </c:pt>
                <c:pt idx="813">
                  <c:v>953.1802660510491</c:v>
                </c:pt>
                <c:pt idx="814">
                  <c:v>953.1802660510491</c:v>
                </c:pt>
                <c:pt idx="815">
                  <c:v>953.1802660510491</c:v>
                </c:pt>
                <c:pt idx="816">
                  <c:v>953.1802660510491</c:v>
                </c:pt>
                <c:pt idx="817">
                  <c:v>953.1802660510491</c:v>
                </c:pt>
                <c:pt idx="818">
                  <c:v>953.1802660510491</c:v>
                </c:pt>
                <c:pt idx="819">
                  <c:v>953.1802660510491</c:v>
                </c:pt>
                <c:pt idx="820">
                  <c:v>953.1802660510491</c:v>
                </c:pt>
                <c:pt idx="821">
                  <c:v>953.1802660510491</c:v>
                </c:pt>
                <c:pt idx="822">
                  <c:v>953.1802660510491</c:v>
                </c:pt>
                <c:pt idx="823">
                  <c:v>953.1802660510491</c:v>
                </c:pt>
                <c:pt idx="824">
                  <c:v>953.1802660510491</c:v>
                </c:pt>
                <c:pt idx="825">
                  <c:v>953.1802660510491</c:v>
                </c:pt>
                <c:pt idx="826">
                  <c:v>953.1802660510491</c:v>
                </c:pt>
                <c:pt idx="827">
                  <c:v>953.1802660510491</c:v>
                </c:pt>
                <c:pt idx="828">
                  <c:v>953.1802660510491</c:v>
                </c:pt>
                <c:pt idx="829">
                  <c:v>953.1802660510491</c:v>
                </c:pt>
                <c:pt idx="830">
                  <c:v>953.1802660510491</c:v>
                </c:pt>
                <c:pt idx="831">
                  <c:v>953.1802660510491</c:v>
                </c:pt>
                <c:pt idx="832">
                  <c:v>953.1802660510491</c:v>
                </c:pt>
                <c:pt idx="833">
                  <c:v>953.1802660510491</c:v>
                </c:pt>
                <c:pt idx="834">
                  <c:v>953.1802660510491</c:v>
                </c:pt>
                <c:pt idx="835">
                  <c:v>953.1802660510491</c:v>
                </c:pt>
                <c:pt idx="836">
                  <c:v>953.1802660510491</c:v>
                </c:pt>
                <c:pt idx="837">
                  <c:v>953.1802660510491</c:v>
                </c:pt>
                <c:pt idx="838">
                  <c:v>953.1802660510491</c:v>
                </c:pt>
                <c:pt idx="839">
                  <c:v>953.1802660510491</c:v>
                </c:pt>
                <c:pt idx="840">
                  <c:v>953.1802660510491</c:v>
                </c:pt>
                <c:pt idx="841">
                  <c:v>953.1802660510491</c:v>
                </c:pt>
                <c:pt idx="842">
                  <c:v>953.1802660510491</c:v>
                </c:pt>
                <c:pt idx="843">
                  <c:v>953.1802660510491</c:v>
                </c:pt>
                <c:pt idx="844">
                  <c:v>953.1802660510491</c:v>
                </c:pt>
                <c:pt idx="845">
                  <c:v>953.1802660510491</c:v>
                </c:pt>
                <c:pt idx="846">
                  <c:v>953.1802660510491</c:v>
                </c:pt>
                <c:pt idx="847">
                  <c:v>953.1802660510491</c:v>
                </c:pt>
                <c:pt idx="848">
                  <c:v>953.1802660510491</c:v>
                </c:pt>
                <c:pt idx="849">
                  <c:v>953.1802660510491</c:v>
                </c:pt>
                <c:pt idx="850">
                  <c:v>953.1802660510491</c:v>
                </c:pt>
                <c:pt idx="851">
                  <c:v>953.1802660510491</c:v>
                </c:pt>
                <c:pt idx="852">
                  <c:v>953.1802660510491</c:v>
                </c:pt>
                <c:pt idx="853">
                  <c:v>953.1802660510491</c:v>
                </c:pt>
                <c:pt idx="854">
                  <c:v>953.1802660510491</c:v>
                </c:pt>
                <c:pt idx="855">
                  <c:v>953.1802660510491</c:v>
                </c:pt>
                <c:pt idx="856">
                  <c:v>953.1802660510491</c:v>
                </c:pt>
                <c:pt idx="857">
                  <c:v>953.1802660510491</c:v>
                </c:pt>
                <c:pt idx="858">
                  <c:v>953.1802660510491</c:v>
                </c:pt>
                <c:pt idx="859">
                  <c:v>953.1802660510491</c:v>
                </c:pt>
                <c:pt idx="860">
                  <c:v>953.1802660510491</c:v>
                </c:pt>
                <c:pt idx="861">
                  <c:v>953.1802660510491</c:v>
                </c:pt>
                <c:pt idx="862">
                  <c:v>953.1802660510491</c:v>
                </c:pt>
                <c:pt idx="863">
                  <c:v>953.1802660510491</c:v>
                </c:pt>
                <c:pt idx="864">
                  <c:v>953.1802660510491</c:v>
                </c:pt>
                <c:pt idx="865">
                  <c:v>953.1802660510491</c:v>
                </c:pt>
                <c:pt idx="866">
                  <c:v>953.1802660510491</c:v>
                </c:pt>
                <c:pt idx="867">
                  <c:v>953.1802660510491</c:v>
                </c:pt>
                <c:pt idx="868">
                  <c:v>953.1802660510491</c:v>
                </c:pt>
                <c:pt idx="869">
                  <c:v>953.1802660510491</c:v>
                </c:pt>
                <c:pt idx="870">
                  <c:v>953.1802660510491</c:v>
                </c:pt>
                <c:pt idx="871">
                  <c:v>953.1802660510491</c:v>
                </c:pt>
                <c:pt idx="872">
                  <c:v>953.1802660510491</c:v>
                </c:pt>
                <c:pt idx="873">
                  <c:v>953.1802660510491</c:v>
                </c:pt>
                <c:pt idx="874">
                  <c:v>953.1802660510491</c:v>
                </c:pt>
                <c:pt idx="875">
                  <c:v>953.1802660510491</c:v>
                </c:pt>
                <c:pt idx="876">
                  <c:v>953.1802660510491</c:v>
                </c:pt>
                <c:pt idx="877">
                  <c:v>953.1802660510491</c:v>
                </c:pt>
                <c:pt idx="878">
                  <c:v>953.1802660510491</c:v>
                </c:pt>
                <c:pt idx="879">
                  <c:v>953.1802660510491</c:v>
                </c:pt>
                <c:pt idx="880">
                  <c:v>953.1802660510491</c:v>
                </c:pt>
                <c:pt idx="881">
                  <c:v>953.1802660510491</c:v>
                </c:pt>
                <c:pt idx="882">
                  <c:v>953.1802660510491</c:v>
                </c:pt>
                <c:pt idx="883">
                  <c:v>953.1802660510491</c:v>
                </c:pt>
                <c:pt idx="884">
                  <c:v>953.1802660510491</c:v>
                </c:pt>
                <c:pt idx="885">
                  <c:v>953.1802660510491</c:v>
                </c:pt>
                <c:pt idx="886">
                  <c:v>953.1802660510491</c:v>
                </c:pt>
                <c:pt idx="887">
                  <c:v>953.1802660510491</c:v>
                </c:pt>
                <c:pt idx="888">
                  <c:v>953.1802660510491</c:v>
                </c:pt>
                <c:pt idx="889">
                  <c:v>953.1802660510491</c:v>
                </c:pt>
                <c:pt idx="890">
                  <c:v>953.1802660510491</c:v>
                </c:pt>
                <c:pt idx="891">
                  <c:v>953.1802660510491</c:v>
                </c:pt>
                <c:pt idx="892">
                  <c:v>953.1802660510491</c:v>
                </c:pt>
                <c:pt idx="893">
                  <c:v>953.1802660510491</c:v>
                </c:pt>
                <c:pt idx="894">
                  <c:v>953.1802660510491</c:v>
                </c:pt>
                <c:pt idx="895">
                  <c:v>953.1802660510491</c:v>
                </c:pt>
                <c:pt idx="896">
                  <c:v>953.1802660510491</c:v>
                </c:pt>
                <c:pt idx="897">
                  <c:v>953.1802660510491</c:v>
                </c:pt>
                <c:pt idx="898">
                  <c:v>953.1802660510491</c:v>
                </c:pt>
                <c:pt idx="899">
                  <c:v>953.1802660510491</c:v>
                </c:pt>
                <c:pt idx="900">
                  <c:v>953.1802660510491</c:v>
                </c:pt>
                <c:pt idx="901">
                  <c:v>953.1802660510491</c:v>
                </c:pt>
                <c:pt idx="902">
                  <c:v>953.1802660510491</c:v>
                </c:pt>
                <c:pt idx="903">
                  <c:v>953.1802660510491</c:v>
                </c:pt>
                <c:pt idx="904">
                  <c:v>953.1802660510491</c:v>
                </c:pt>
                <c:pt idx="905">
                  <c:v>953.1802660510491</c:v>
                </c:pt>
                <c:pt idx="906">
                  <c:v>953.1802660510491</c:v>
                </c:pt>
                <c:pt idx="907">
                  <c:v>953.1802660510491</c:v>
                </c:pt>
                <c:pt idx="908">
                  <c:v>953.1802660510491</c:v>
                </c:pt>
                <c:pt idx="909">
                  <c:v>953.1802660510491</c:v>
                </c:pt>
                <c:pt idx="910">
                  <c:v>953.1802660510491</c:v>
                </c:pt>
                <c:pt idx="911">
                  <c:v>953.1802660510491</c:v>
                </c:pt>
                <c:pt idx="912">
                  <c:v>953.1802660510491</c:v>
                </c:pt>
                <c:pt idx="913">
                  <c:v>953.1802660510491</c:v>
                </c:pt>
                <c:pt idx="914">
                  <c:v>953.1802660510491</c:v>
                </c:pt>
                <c:pt idx="915">
                  <c:v>953.1802660510491</c:v>
                </c:pt>
                <c:pt idx="916">
                  <c:v>953.1802660510491</c:v>
                </c:pt>
                <c:pt idx="917">
                  <c:v>953.1802660510491</c:v>
                </c:pt>
                <c:pt idx="918">
                  <c:v>953.1802660510491</c:v>
                </c:pt>
                <c:pt idx="919">
                  <c:v>953.1802660510491</c:v>
                </c:pt>
                <c:pt idx="920">
                  <c:v>953.1802660510491</c:v>
                </c:pt>
                <c:pt idx="921">
                  <c:v>953.1802660510491</c:v>
                </c:pt>
                <c:pt idx="922">
                  <c:v>953.1802660510491</c:v>
                </c:pt>
                <c:pt idx="923">
                  <c:v>953.1802660510491</c:v>
                </c:pt>
                <c:pt idx="924">
                  <c:v>953.1802660510491</c:v>
                </c:pt>
                <c:pt idx="925">
                  <c:v>953.1802660510491</c:v>
                </c:pt>
                <c:pt idx="926">
                  <c:v>953.1802660510491</c:v>
                </c:pt>
                <c:pt idx="927">
                  <c:v>953.1802660510491</c:v>
                </c:pt>
                <c:pt idx="928">
                  <c:v>953.1802660510491</c:v>
                </c:pt>
                <c:pt idx="929">
                  <c:v>953.1802660510491</c:v>
                </c:pt>
                <c:pt idx="930">
                  <c:v>953.1802660510491</c:v>
                </c:pt>
                <c:pt idx="931">
                  <c:v>953.1802660510491</c:v>
                </c:pt>
                <c:pt idx="932">
                  <c:v>953.1802660510491</c:v>
                </c:pt>
                <c:pt idx="933">
                  <c:v>953.1802660510491</c:v>
                </c:pt>
                <c:pt idx="934">
                  <c:v>953.1802660510491</c:v>
                </c:pt>
                <c:pt idx="935">
                  <c:v>953.1802660510491</c:v>
                </c:pt>
                <c:pt idx="936">
                  <c:v>953.1802660510491</c:v>
                </c:pt>
                <c:pt idx="937">
                  <c:v>953.1802660510491</c:v>
                </c:pt>
                <c:pt idx="938">
                  <c:v>953.1802660510491</c:v>
                </c:pt>
                <c:pt idx="939">
                  <c:v>953.1802660510491</c:v>
                </c:pt>
                <c:pt idx="940">
                  <c:v>953.1802660510491</c:v>
                </c:pt>
                <c:pt idx="941">
                  <c:v>953.1802660510491</c:v>
                </c:pt>
                <c:pt idx="942">
                  <c:v>953.1802660510491</c:v>
                </c:pt>
                <c:pt idx="943">
                  <c:v>953.1802660510491</c:v>
                </c:pt>
                <c:pt idx="944">
                  <c:v>953.1802660510491</c:v>
                </c:pt>
                <c:pt idx="945">
                  <c:v>953.1802660510491</c:v>
                </c:pt>
                <c:pt idx="946">
                  <c:v>953.1802660510491</c:v>
                </c:pt>
                <c:pt idx="947">
                  <c:v>953.1802660510491</c:v>
                </c:pt>
                <c:pt idx="948">
                  <c:v>953.1802660510491</c:v>
                </c:pt>
                <c:pt idx="949">
                  <c:v>953.1802660510491</c:v>
                </c:pt>
                <c:pt idx="950">
                  <c:v>953.1802660510491</c:v>
                </c:pt>
                <c:pt idx="951">
                  <c:v>953.1802660510491</c:v>
                </c:pt>
                <c:pt idx="952">
                  <c:v>953.1802660510491</c:v>
                </c:pt>
                <c:pt idx="953">
                  <c:v>953.1802660510491</c:v>
                </c:pt>
                <c:pt idx="954">
                  <c:v>953.1802660510491</c:v>
                </c:pt>
                <c:pt idx="955">
                  <c:v>953.1802660510491</c:v>
                </c:pt>
                <c:pt idx="956">
                  <c:v>953.1802660510491</c:v>
                </c:pt>
                <c:pt idx="957">
                  <c:v>953.1802660510491</c:v>
                </c:pt>
                <c:pt idx="958">
                  <c:v>953.1802660510491</c:v>
                </c:pt>
                <c:pt idx="959">
                  <c:v>953.1802660510491</c:v>
                </c:pt>
                <c:pt idx="960">
                  <c:v>953.1802660510491</c:v>
                </c:pt>
                <c:pt idx="961">
                  <c:v>953.1802660510491</c:v>
                </c:pt>
                <c:pt idx="962">
                  <c:v>953.1802660510491</c:v>
                </c:pt>
                <c:pt idx="963">
                  <c:v>953.1802660510491</c:v>
                </c:pt>
                <c:pt idx="964">
                  <c:v>953.1802660510491</c:v>
                </c:pt>
                <c:pt idx="965">
                  <c:v>953.1802660510491</c:v>
                </c:pt>
                <c:pt idx="966">
                  <c:v>953.1802660510491</c:v>
                </c:pt>
                <c:pt idx="967">
                  <c:v>953.1802660510491</c:v>
                </c:pt>
                <c:pt idx="968">
                  <c:v>953.1802660510491</c:v>
                </c:pt>
                <c:pt idx="969">
                  <c:v>953.1802660510491</c:v>
                </c:pt>
                <c:pt idx="970">
                  <c:v>953.1802660510491</c:v>
                </c:pt>
                <c:pt idx="971">
                  <c:v>953.1802660510491</c:v>
                </c:pt>
                <c:pt idx="972">
                  <c:v>953.1802660510491</c:v>
                </c:pt>
                <c:pt idx="973">
                  <c:v>953.1802660510491</c:v>
                </c:pt>
                <c:pt idx="974">
                  <c:v>953.1802660510491</c:v>
                </c:pt>
                <c:pt idx="975">
                  <c:v>953.1802660510491</c:v>
                </c:pt>
                <c:pt idx="976">
                  <c:v>953.1802660510491</c:v>
                </c:pt>
                <c:pt idx="977">
                  <c:v>953.1802660510491</c:v>
                </c:pt>
                <c:pt idx="978">
                  <c:v>953.1802660510491</c:v>
                </c:pt>
                <c:pt idx="979">
                  <c:v>953.1802660510491</c:v>
                </c:pt>
                <c:pt idx="980">
                  <c:v>953.1802660510491</c:v>
                </c:pt>
                <c:pt idx="981">
                  <c:v>953.1802660510491</c:v>
                </c:pt>
                <c:pt idx="982">
                  <c:v>953.1802660510491</c:v>
                </c:pt>
                <c:pt idx="983">
                  <c:v>953.1802660510491</c:v>
                </c:pt>
                <c:pt idx="984">
                  <c:v>953.1802660510491</c:v>
                </c:pt>
                <c:pt idx="985">
                  <c:v>953.1802660510491</c:v>
                </c:pt>
                <c:pt idx="986">
                  <c:v>953.1802660510491</c:v>
                </c:pt>
                <c:pt idx="987">
                  <c:v>953.1802660510491</c:v>
                </c:pt>
                <c:pt idx="988">
                  <c:v>953.1802660510491</c:v>
                </c:pt>
                <c:pt idx="989">
                  <c:v>953.1802660510491</c:v>
                </c:pt>
                <c:pt idx="990">
                  <c:v>953.1802660510491</c:v>
                </c:pt>
                <c:pt idx="991">
                  <c:v>953.1802660510491</c:v>
                </c:pt>
                <c:pt idx="992">
                  <c:v>953.1802660510491</c:v>
                </c:pt>
                <c:pt idx="993">
                  <c:v>953.1802660510491</c:v>
                </c:pt>
                <c:pt idx="994">
                  <c:v>953.1802660510491</c:v>
                </c:pt>
                <c:pt idx="995">
                  <c:v>953.1802660510491</c:v>
                </c:pt>
                <c:pt idx="996">
                  <c:v>953.1802660510491</c:v>
                </c:pt>
                <c:pt idx="997">
                  <c:v>953.1802660510491</c:v>
                </c:pt>
                <c:pt idx="998">
                  <c:v>953.1802660510491</c:v>
                </c:pt>
                <c:pt idx="999">
                  <c:v>953.1802660510491</c:v>
                </c:pt>
                <c:pt idx="1000">
                  <c:v>953.1802660510491</c:v>
                </c:pt>
              </c:numCache>
            </c:numRef>
          </c:xVal>
          <c:yVal>
            <c:numRef>
              <c:f>Calculs!$K$4:$K$1004</c:f>
              <c:numCache>
                <c:formatCode>0.00</c:formatCode>
                <c:ptCount val="1001"/>
                <c:pt idx="0">
                  <c:v>0</c:v>
                </c:pt>
                <c:pt idx="1">
                  <c:v>0</c:v>
                </c:pt>
                <c:pt idx="2">
                  <c:v>9.256745468933812E-4</c:v>
                </c:pt>
                <c:pt idx="3">
                  <c:v>4.6375098159864465E-3</c:v>
                </c:pt>
                <c:pt idx="4">
                  <c:v>1.3005881763920295E-2</c:v>
                </c:pt>
                <c:pt idx="5">
                  <c:v>2.7902932677719018E-2</c:v>
                </c:pt>
                <c:pt idx="6">
                  <c:v>5.0729494037892092E-2</c:v>
                </c:pt>
                <c:pt idx="7">
                  <c:v>8.1940908218334885E-2</c:v>
                </c:pt>
                <c:pt idx="8">
                  <c:v>0.12151931462913008</c:v>
                </c:pt>
                <c:pt idx="9">
                  <c:v>0.16944677622685986</c:v>
                </c:pt>
                <c:pt idx="10">
                  <c:v>0.22570527978592239</c:v>
                </c:pt>
                <c:pt idx="11">
                  <c:v>0.29027673617222649</c:v>
                </c:pt>
                <c:pt idx="12">
                  <c:v>0.36314298061924566</c:v>
                </c:pt>
                <c:pt idx="13">
                  <c:v>0.44428577300641242</c:v>
                </c:pt>
                <c:pt idx="14">
                  <c:v>0.53368679813983388</c:v>
                </c:pt>
                <c:pt idx="15">
                  <c:v>0.63132766603530943</c:v>
                </c:pt>
                <c:pt idx="16">
                  <c:v>0.7371899122036305</c:v>
                </c:pt>
                <c:pt idx="17">
                  <c:v>0.85125499793814385</c:v>
                </c:pt>
                <c:pt idx="18">
                  <c:v>0.973504310604557</c:v>
                </c:pt>
                <c:pt idx="19">
                  <c:v>1.1039191639329675</c:v>
                </c:pt>
                <c:pt idx="20">
                  <c:v>1.2424807983120951</c:v>
                </c:pt>
                <c:pt idx="21">
                  <c:v>1.3891703810856959</c:v>
                </c:pt>
                <c:pt idx="22">
                  <c:v>1.5439690068511398</c:v>
                </c:pt>
                <c:pt idx="23">
                  <c:v>1.7068576977601289</c:v>
                </c:pt>
                <c:pt idx="24">
                  <c:v>1.8778174038215372</c:v>
                </c:pt>
                <c:pt idx="25">
                  <c:v>2.0568290032063508</c:v>
                </c:pt>
                <c:pt idx="26">
                  <c:v>2.2438733025546869</c:v>
                </c:pt>
                <c:pt idx="27">
                  <c:v>2.4389310372848709</c:v>
                </c:pt>
                <c:pt idx="28">
                  <c:v>2.6419828719045495</c:v>
                </c:pt>
                <c:pt idx="29">
                  <c:v>2.8530094003238204</c:v>
                </c:pt>
                <c:pt idx="30">
                  <c:v>3.0719911461703555</c:v>
                </c:pt>
                <c:pt idx="31">
                  <c:v>3.2989085631064961</c:v>
                </c:pt>
                <c:pt idx="32">
                  <c:v>3.5337420351482973</c:v>
                </c:pt>
                <c:pt idx="33">
                  <c:v>3.7764718769865033</c:v>
                </c:pt>
                <c:pt idx="34">
                  <c:v>4.0270783343094267</c:v>
                </c:pt>
                <c:pt idx="35">
                  <c:v>4.2855267870942164</c:v>
                </c:pt>
                <c:pt idx="36">
                  <c:v>4.5517820584966753</c:v>
                </c:pt>
                <c:pt idx="37">
                  <c:v>4.8258232181161596</c:v>
                </c:pt>
                <c:pt idx="38">
                  <c:v>5.1076292862374588</c:v>
                </c:pt>
                <c:pt idx="39">
                  <c:v>5.3971792401500984</c:v>
                </c:pt>
                <c:pt idx="40">
                  <c:v>5.6944520133574148</c:v>
                </c:pt>
                <c:pt idx="41">
                  <c:v>5.9994264948718143</c:v>
                </c:pt>
                <c:pt idx="42">
                  <c:v>6.3120815285877736</c:v>
                </c:pt>
                <c:pt idx="43">
                  <c:v>6.6323959127251593</c:v>
                </c:pt>
                <c:pt idx="44">
                  <c:v>6.960348399336354</c:v>
                </c:pt>
                <c:pt idx="45">
                  <c:v>7.2959176938714139</c:v>
                </c:pt>
                <c:pt idx="46">
                  <c:v>7.6390824547961556</c:v>
                </c:pt>
                <c:pt idx="47">
                  <c:v>7.9898212932586299</c:v>
                </c:pt>
                <c:pt idx="48">
                  <c:v>8.3481127727999347</c:v>
                </c:pt>
                <c:pt idx="49">
                  <c:v>8.7139354091057477</c:v>
                </c:pt>
                <c:pt idx="50">
                  <c:v>9.087267669795331</c:v>
                </c:pt>
                <c:pt idx="51">
                  <c:v>9.4680904607792051</c:v>
                </c:pt>
                <c:pt idx="52">
                  <c:v>9.8563896156349617</c:v>
                </c:pt>
                <c:pt idx="53">
                  <c:v>10.252153413149001</c:v>
                </c:pt>
                <c:pt idx="54">
                  <c:v>10.6553700918227</c:v>
                </c:pt>
                <c:pt idx="55">
                  <c:v>11.066027849655297</c:v>
                </c:pt>
                <c:pt idx="56">
                  <c:v>11.484114843947582</c:v>
                </c:pt>
                <c:pt idx="57">
                  <c:v>11.909619191125028</c:v>
                </c:pt>
                <c:pt idx="58">
                  <c:v>12.342528966579124</c:v>
                </c:pt>
                <c:pt idx="59">
                  <c:v>12.782832204525784</c:v>
                </c:pt>
                <c:pt idx="60">
                  <c:v>13.230516897879768</c:v>
                </c:pt>
                <c:pt idx="61">
                  <c:v>13.685570998144183</c:v>
                </c:pt>
                <c:pt idx="62">
                  <c:v>14.147982415314159</c:v>
                </c:pt>
                <c:pt idx="63">
                  <c:v>14.617739017793911</c:v>
                </c:pt>
                <c:pt idx="64">
                  <c:v>15.094828632326408</c:v>
                </c:pt>
                <c:pt idx="65">
                  <c:v>15.57923904393499</c:v>
                </c:pt>
                <c:pt idx="66">
                  <c:v>16.07095799587626</c:v>
                </c:pt>
                <c:pt idx="67">
                  <c:v>16.569973189603672</c:v>
                </c:pt>
                <c:pt idx="68">
                  <c:v>17.076272284741261</c:v>
                </c:pt>
                <c:pt idx="69">
                  <c:v>17.589842899067008</c:v>
                </c:pt>
                <c:pt idx="70">
                  <c:v>18.110672608505332</c:v>
                </c:pt>
                <c:pt idx="71">
                  <c:v>18.63874894712832</c:v>
                </c:pt>
                <c:pt idx="72">
                  <c:v>19.174059407165217</c:v>
                </c:pt>
                <c:pt idx="73">
                  <c:v>19.716591439019826</c:v>
                </c:pt>
                <c:pt idx="74">
                  <c:v>20.266332451295462</c:v>
                </c:pt>
                <c:pt idx="75">
                  <c:v>20.823269810827078</c:v>
                </c:pt>
                <c:pt idx="76">
                  <c:v>21.387390842720297</c:v>
                </c:pt>
                <c:pt idx="77">
                  <c:v>21.95868283039702</c:v>
                </c:pt>
                <c:pt idx="78">
                  <c:v>22.537133015647321</c:v>
                </c:pt>
                <c:pt idx="79">
                  <c:v>23.122728598687409</c:v>
                </c:pt>
                <c:pt idx="80">
                  <c:v>23.715456738223363</c:v>
                </c:pt>
                <c:pt idx="81">
                  <c:v>24.31530455152042</c:v>
                </c:pt>
                <c:pt idx="82">
                  <c:v>24.922259114477619</c:v>
                </c:pt>
                <c:pt idx="83">
                  <c:v>25.536307461707565</c:v>
                </c:pt>
                <c:pt idx="84">
                  <c:v>26.157436586621124</c:v>
                </c:pt>
                <c:pt idx="85">
                  <c:v>26.785633441516868</c:v>
                </c:pt>
                <c:pt idx="86">
                  <c:v>27.420884937675105</c:v>
                </c:pt>
                <c:pt idx="87">
                  <c:v>28.063177945456289</c:v>
                </c:pt>
                <c:pt idx="88">
                  <c:v>28.712499294403703</c:v>
                </c:pt>
                <c:pt idx="89">
                  <c:v>29.368835773350227</c:v>
                </c:pt>
                <c:pt idx="90">
                  <c:v>30.032174130529068</c:v>
                </c:pt>
                <c:pt idx="91">
                  <c:v>30.702501073688307</c:v>
                </c:pt>
                <c:pt idx="92">
                  <c:v>31.379803270209145</c:v>
                </c:pt>
                <c:pt idx="93">
                  <c:v>32.064067347227706</c:v>
                </c:pt>
                <c:pt idx="94">
                  <c:v>32.75527989176031</c:v>
                </c:pt>
                <c:pt idx="95">
                  <c:v>33.453427450832081</c:v>
                </c:pt>
                <c:pt idx="96">
                  <c:v>34.158496531608776</c:v>
                </c:pt>
                <c:pt idx="97">
                  <c:v>34.870473601531785</c:v>
                </c:pt>
                <c:pt idx="98">
                  <c:v>35.589345088456128</c:v>
                </c:pt>
                <c:pt idx="99">
                  <c:v>36.315097380791421</c:v>
                </c:pt>
                <c:pt idx="100">
                  <c:v>37.047716827645679</c:v>
                </c:pt>
                <c:pt idx="101">
                  <c:v>37.787188597185938</c:v>
                </c:pt>
                <c:pt idx="102">
                  <c:v>38.533495533942798</c:v>
                </c:pt>
                <c:pt idx="103">
                  <c:v>39.286619299474474</c:v>
                </c:pt>
                <c:pt idx="104">
                  <c:v>40.04654151413277</c:v>
                </c:pt>
                <c:pt idx="105">
                  <c:v>40.813243757301436</c:v>
                </c:pt>
                <c:pt idx="106">
                  <c:v>41.586707567636964</c:v>
                </c:pt>
                <c:pt idx="107">
                  <c:v>42.366914443311806</c:v>
                </c:pt>
                <c:pt idx="108">
                  <c:v>43.153845842259891</c:v>
                </c:pt>
                <c:pt idx="109">
                  <c:v>43.947483182424349</c:v>
                </c:pt>
                <c:pt idx="110">
                  <c:v>44.74780784200744</c:v>
                </c:pt>
                <c:pt idx="111">
                  <c:v>45.554801159722523</c:v>
                </c:pt>
                <c:pt idx="112">
                  <c:v>46.368444435048083</c:v>
                </c:pt>
                <c:pt idx="113">
                  <c:v>47.188718928483702</c:v>
                </c:pt>
                <c:pt idx="114">
                  <c:v>48.015605861807899</c:v>
                </c:pt>
                <c:pt idx="115">
                  <c:v>48.849086418337819</c:v>
                </c:pt>
                <c:pt idx="116">
                  <c:v>49.689141743190675</c:v>
                </c:pt>
                <c:pt idx="117">
                  <c:v>50.535752943546903</c:v>
                </c:pt>
                <c:pt idx="118">
                  <c:v>51.38890108891497</c:v>
                </c:pt>
                <c:pt idx="119">
                  <c:v>52.248567211397784</c:v>
                </c:pt>
                <c:pt idx="120">
                  <c:v>53.114732305960622</c:v>
                </c:pt>
                <c:pt idx="121">
                  <c:v>53.987377330700575</c:v>
                </c:pt>
                <c:pt idx="122">
                  <c:v>54.866483207117412</c:v>
                </c:pt>
                <c:pt idx="123">
                  <c:v>55.752030820385855</c:v>
                </c:pt>
                <c:pt idx="124">
                  <c:v>56.644001019629179</c:v>
                </c:pt>
                <c:pt idx="125">
                  <c:v>57.542374618194117</c:v>
                </c:pt>
                <c:pt idx="126">
                  <c:v>58.447132393927006</c:v>
                </c:pt>
                <c:pt idx="127">
                  <c:v>59.358255089451163</c:v>
                </c:pt>
                <c:pt idx="128">
                  <c:v>60.27572341244538</c:v>
                </c:pt>
                <c:pt idx="129">
                  <c:v>61.199518035923589</c:v>
                </c:pt>
                <c:pt idx="130">
                  <c:v>62.129619598515568</c:v>
                </c:pt>
                <c:pt idx="131">
                  <c:v>63.066008704748711</c:v>
                </c:pt>
                <c:pt idx="132">
                  <c:v>64.008665925330774</c:v>
                </c:pt>
                <c:pt idx="133">
                  <c:v>64.957571797433602</c:v>
                </c:pt>
                <c:pt idx="134">
                  <c:v>65.912706824977775</c:v>
                </c:pt>
                <c:pt idx="135">
                  <c:v>66.874051478918133</c:v>
                </c:pt>
                <c:pt idx="136">
                  <c:v>67.841586197530134</c:v>
                </c:pt>
                <c:pt idx="137">
                  <c:v>68.815291386697083</c:v>
                </c:pt>
                <c:pt idx="138">
                  <c:v>69.795147420198063</c:v>
                </c:pt>
                <c:pt idx="139">
                  <c:v>70.781134639996679</c:v>
                </c:pt>
                <c:pt idx="140">
                  <c:v>71.773233356530483</c:v>
                </c:pt>
                <c:pt idx="141">
                  <c:v>72.771423849001081</c:v>
                </c:pt>
                <c:pt idx="142">
                  <c:v>73.775686365664882</c:v>
                </c:pt>
                <c:pt idx="143">
                  <c:v>74.786001124124482</c:v>
                </c:pt>
                <c:pt idx="144">
                  <c:v>75.802348311620591</c:v>
                </c:pt>
                <c:pt idx="145">
                  <c:v>76.824708085324573</c:v>
                </c:pt>
                <c:pt idx="146">
                  <c:v>77.853060572631492</c:v>
                </c:pt>
                <c:pt idx="147">
                  <c:v>78.887385871453588</c:v>
                </c:pt>
                <c:pt idx="148">
                  <c:v>79.927664050514309</c:v>
                </c:pt>
                <c:pt idx="149">
                  <c:v>80.973875149642751</c:v>
                </c:pt>
                <c:pt idx="150">
                  <c:v>82.025999180068482</c:v>
                </c:pt>
                <c:pt idx="151">
                  <c:v>83.084016511940348</c:v>
                </c:pt>
                <c:pt idx="152">
                  <c:v>84.147908262059872</c:v>
                </c:pt>
                <c:pt idx="153">
                  <c:v>85.217655907115997</c:v>
                </c:pt>
                <c:pt idx="154">
                  <c:v>86.293240896692211</c:v>
                </c:pt>
                <c:pt idx="155">
                  <c:v>87.374644653535711</c:v>
                </c:pt>
                <c:pt idx="156">
                  <c:v>88.461848573826828</c:v>
                </c:pt>
                <c:pt idx="157">
                  <c:v>89.554834027448891</c:v>
                </c:pt>
                <c:pt idx="158">
                  <c:v>90.653582358258248</c:v>
                </c:pt>
                <c:pt idx="159">
                  <c:v>91.758074884354642</c:v>
                </c:pt>
                <c:pt idx="160">
                  <c:v>92.868292898351797</c:v>
                </c:pt>
                <c:pt idx="161">
                  <c:v>93.984217667648238</c:v>
                </c:pt>
                <c:pt idx="162">
                  <c:v>95.105830434698305</c:v>
                </c:pt>
                <c:pt idx="163">
                  <c:v>96.233112417283337</c:v>
                </c:pt>
                <c:pt idx="164">
                  <c:v>97.366044808783087</c:v>
                </c:pt>
                <c:pt idx="165">
                  <c:v>98.504608778447135</c:v>
                </c:pt>
                <c:pt idx="166">
                  <c:v>99.648785471666585</c:v>
                </c:pt>
                <c:pt idx="167">
                  <c:v>100.79855601024575</c:v>
                </c:pt>
                <c:pt idx="168">
                  <c:v>101.95390149267392</c:v>
                </c:pt>
                <c:pt idx="169">
                  <c:v>103.11480299439731</c:v>
                </c:pt>
                <c:pt idx="170">
                  <c:v>104.28124156809086</c:v>
                </c:pt>
                <c:pt idx="171">
                  <c:v>105.45319824393022</c:v>
                </c:pt>
                <c:pt idx="172">
                  <c:v>106.63065402986365</c:v>
                </c:pt>
                <c:pt idx="173">
                  <c:v>107.81358991188395</c:v>
                </c:pt>
                <c:pt idx="174">
                  <c:v>109.00198685430033</c:v>
                </c:pt>
                <c:pt idx="175">
                  <c:v>110.19582580001023</c:v>
                </c:pt>
                <c:pt idx="176">
                  <c:v>111.39508767077106</c:v>
                </c:pt>
                <c:pt idx="177">
                  <c:v>112.59975336747193</c:v>
                </c:pt>
                <c:pt idx="178">
                  <c:v>113.80980377040517</c:v>
                </c:pt>
                <c:pt idx="179">
                  <c:v>115.02521973953775</c:v>
                </c:pt>
                <c:pt idx="180">
                  <c:v>116.24598211478263</c:v>
                </c:pt>
                <c:pt idx="181">
                  <c:v>117.47207171626994</c:v>
                </c:pt>
                <c:pt idx="182">
                  <c:v>118.70346934461783</c:v>
                </c:pt>
                <c:pt idx="183">
                  <c:v>119.94015578120342</c:v>
                </c:pt>
                <c:pt idx="184">
                  <c:v>121.18211178843325</c:v>
                </c:pt>
                <c:pt idx="185">
                  <c:v>122.42931811001372</c:v>
                </c:pt>
                <c:pt idx="186">
                  <c:v>123.68175547122119</c:v>
                </c:pt>
                <c:pt idx="187">
                  <c:v>124.93940457917186</c:v>
                </c:pt>
                <c:pt idx="188">
                  <c:v>126.20224612309134</c:v>
                </c:pt>
                <c:pt idx="189">
                  <c:v>127.47026077458401</c:v>
                </c:pt>
                <c:pt idx="190">
                  <c:v>128.743429187902</c:v>
                </c:pt>
                <c:pt idx="191">
                  <c:v>130.02173200021394</c:v>
                </c:pt>
                <c:pt idx="192">
                  <c:v>131.30514983187334</c:v>
                </c:pt>
                <c:pt idx="193">
                  <c:v>132.59366328668654</c:v>
                </c:pt>
                <c:pt idx="194">
                  <c:v>133.88725295218046</c:v>
                </c:pt>
                <c:pt idx="195">
                  <c:v>135.18589939986992</c:v>
                </c:pt>
                <c:pt idx="196">
                  <c:v>136.48958318552445</c:v>
                </c:pt>
                <c:pt idx="197">
                  <c:v>137.79828484943494</c:v>
                </c:pt>
                <c:pt idx="198">
                  <c:v>139.11198491667957</c:v>
                </c:pt>
                <c:pt idx="199">
                  <c:v>140.43066389738965</c:v>
                </c:pt>
                <c:pt idx="200">
                  <c:v>141.75430228701472</c:v>
                </c:pt>
                <c:pt idx="201">
                  <c:v>143.08288056658739</c:v>
                </c:pt>
                <c:pt idx="202">
                  <c:v>144.4163792029876</c:v>
                </c:pt>
                <c:pt idx="203">
                  <c:v>145.75477864920646</c:v>
                </c:pt>
                <c:pt idx="204">
                  <c:v>147.09805934460957</c:v>
                </c:pt>
                <c:pt idx="205">
                  <c:v>148.44620171519983</c:v>
                </c:pt>
                <c:pt idx="206">
                  <c:v>149.79918617387975</c:v>
                </c:pt>
                <c:pt idx="207">
                  <c:v>151.15699312071314</c:v>
                </c:pt>
                <c:pt idx="208">
                  <c:v>152.51960294318641</c:v>
                </c:pt>
                <c:pt idx="209">
                  <c:v>153.8869960164692</c:v>
                </c:pt>
                <c:pt idx="210">
                  <c:v>155.25915270367437</c:v>
                </c:pt>
                <c:pt idx="211">
                  <c:v>156.63605335611771</c:v>
                </c:pt>
                <c:pt idx="212">
                  <c:v>158.0176783135766</c:v>
                </c:pt>
                <c:pt idx="213">
                  <c:v>159.40400790454851</c:v>
                </c:pt>
                <c:pt idx="214">
                  <c:v>160.79502244650854</c:v>
                </c:pt>
                <c:pt idx="215">
                  <c:v>162.19070224616658</c:v>
                </c:pt>
                <c:pt idx="216">
                  <c:v>163.59102759972367</c:v>
                </c:pt>
                <c:pt idx="217">
                  <c:v>164.99597879312779</c:v>
                </c:pt>
                <c:pt idx="218">
                  <c:v>166.40553610232888</c:v>
                </c:pt>
                <c:pt idx="219">
                  <c:v>167.8196797935334</c:v>
                </c:pt>
                <c:pt idx="220">
                  <c:v>169.23839012345795</c:v>
                </c:pt>
                <c:pt idx="221">
                  <c:v>170.6616473395824</c:v>
                </c:pt>
                <c:pt idx="222">
                  <c:v>172.08943168040216</c:v>
                </c:pt>
                <c:pt idx="223">
                  <c:v>173.52172337567987</c:v>
                </c:pt>
                <c:pt idx="224">
                  <c:v>174.95850264669625</c:v>
                </c:pt>
                <c:pt idx="225">
                  <c:v>176.3997497065003</c:v>
                </c:pt>
                <c:pt idx="226">
                  <c:v>177.8454447601587</c:v>
                </c:pt>
                <c:pt idx="227">
                  <c:v>179.2955680050045</c:v>
                </c:pt>
                <c:pt idx="228">
                  <c:v>180.75009963088493</c:v>
                </c:pt>
                <c:pt idx="229">
                  <c:v>182.20901982040863</c:v>
                </c:pt>
                <c:pt idx="230">
                  <c:v>183.6723087491919</c:v>
                </c:pt>
                <c:pt idx="231">
                  <c:v>185.13994658610432</c:v>
                </c:pt>
                <c:pt idx="232">
                  <c:v>186.61191349351341</c:v>
                </c:pt>
                <c:pt idx="233">
                  <c:v>188.08818962752864</c:v>
                </c:pt>
                <c:pt idx="234">
                  <c:v>189.56875513824446</c:v>
                </c:pt>
                <c:pt idx="235">
                  <c:v>191.05359016998258</c:v>
                </c:pt>
                <c:pt idx="236">
                  <c:v>192.5426748615335</c:v>
                </c:pt>
                <c:pt idx="237">
                  <c:v>194.03598934639697</c:v>
                </c:pt>
                <c:pt idx="238">
                  <c:v>195.53351375302185</c:v>
                </c:pt>
                <c:pt idx="239">
                  <c:v>197.03522820504486</c:v>
                </c:pt>
                <c:pt idx="240">
                  <c:v>198.54111282152866</c:v>
                </c:pt>
                <c:pt idx="241">
                  <c:v>200.05114771719892</c:v>
                </c:pt>
                <c:pt idx="242">
                  <c:v>201.5653130026806</c:v>
                </c:pt>
                <c:pt idx="243">
                  <c:v>203.08358878473322</c:v>
                </c:pt>
                <c:pt idx="244">
                  <c:v>204.60595516648539</c:v>
                </c:pt>
                <c:pt idx="245">
                  <c:v>206.13239224766815</c:v>
                </c:pt>
                <c:pt idx="246">
                  <c:v>207.66288012484779</c:v>
                </c:pt>
                <c:pt idx="247">
                  <c:v>209.19739889165731</c:v>
                </c:pt>
                <c:pt idx="248">
                  <c:v>210.73592863902732</c:v>
                </c:pt>
                <c:pt idx="249">
                  <c:v>212.27844945541574</c:v>
                </c:pt>
                <c:pt idx="250">
                  <c:v>213.82494142703666</c:v>
                </c:pt>
                <c:pt idx="251">
                  <c:v>215.37538297758087</c:v>
                </c:pt>
                <c:pt idx="252">
                  <c:v>216.92974920816016</c:v>
                </c:pt>
                <c:pt idx="253">
                  <c:v>218.48801355941092</c:v>
                </c:pt>
                <c:pt idx="254">
                  <c:v>220.05014947342033</c:v>
                </c:pt>
                <c:pt idx="255">
                  <c:v>221.61613039404745</c:v>
                </c:pt>
                <c:pt idx="256">
                  <c:v>223.18592976724236</c:v>
                </c:pt>
                <c:pt idx="257">
                  <c:v>224.75952104136377</c:v>
                </c:pt>
                <c:pt idx="258">
                  <c:v>226.33687766749455</c:v>
                </c:pt>
                <c:pt idx="259">
                  <c:v>227.9179730997557</c:v>
                </c:pt>
                <c:pt idx="260">
                  <c:v>229.50278079561838</c:v>
                </c:pt>
                <c:pt idx="261">
                  <c:v>231.09127421621412</c:v>
                </c:pt>
                <c:pt idx="262">
                  <c:v>232.68342682664326</c:v>
                </c:pt>
                <c:pt idx="263">
                  <c:v>234.27921209628161</c:v>
                </c:pt>
                <c:pt idx="264">
                  <c:v>235.87860349908507</c:v>
                </c:pt>
                <c:pt idx="265">
                  <c:v>237.48157451389264</c:v>
                </c:pt>
                <c:pt idx="266">
                  <c:v>239.08809862472737</c:v>
                </c:pt>
                <c:pt idx="267">
                  <c:v>240.69814932109557</c:v>
                </c:pt>
                <c:pt idx="268">
                  <c:v>242.31170009828421</c:v>
                </c:pt>
                <c:pt idx="269">
                  <c:v>243.92872445765616</c:v>
                </c:pt>
                <c:pt idx="270">
                  <c:v>245.54919590694396</c:v>
                </c:pt>
                <c:pt idx="271">
                  <c:v>247.1730879605413</c:v>
                </c:pt>
                <c:pt idx="272">
                  <c:v>248.80037413979289</c:v>
                </c:pt>
                <c:pt idx="273">
                  <c:v>250.43102797328234</c:v>
                </c:pt>
                <c:pt idx="274">
                  <c:v>252.06502299711804</c:v>
                </c:pt>
                <c:pt idx="275">
                  <c:v>253.70233275521727</c:v>
                </c:pt>
                <c:pt idx="276">
                  <c:v>255.34293079958832</c:v>
                </c:pt>
                <c:pt idx="277">
                  <c:v>256.98679069061069</c:v>
                </c:pt>
                <c:pt idx="278">
                  <c:v>258.63388599731343</c:v>
                </c:pt>
                <c:pt idx="279">
                  <c:v>260.28419029765138</c:v>
                </c:pt>
                <c:pt idx="280">
                  <c:v>261.93767717877972</c:v>
                </c:pt>
                <c:pt idx="281">
                  <c:v>263.59432023732637</c:v>
                </c:pt>
                <c:pt idx="282">
                  <c:v>265.25409307966254</c:v>
                </c:pt>
                <c:pt idx="283">
                  <c:v>266.91696932217133</c:v>
                </c:pt>
                <c:pt idx="284">
                  <c:v>268.58292259151432</c:v>
                </c:pt>
                <c:pt idx="285">
                  <c:v>270.25192652489631</c:v>
                </c:pt>
                <c:pt idx="286">
                  <c:v>271.92395477032801</c:v>
                </c:pt>
                <c:pt idx="287">
                  <c:v>273.59898098688683</c:v>
                </c:pt>
                <c:pt idx="288">
                  <c:v>275.27697884497559</c:v>
                </c:pt>
                <c:pt idx="289">
                  <c:v>276.95792202657935</c:v>
                </c:pt>
                <c:pt idx="290">
                  <c:v>278.64178422552044</c:v>
                </c:pt>
                <c:pt idx="291">
                  <c:v>280.32853914771118</c:v>
                </c:pt>
                <c:pt idx="292">
                  <c:v>282.01816051140474</c:v>
                </c:pt>
                <c:pt idx="293">
                  <c:v>283.71062204744419</c:v>
                </c:pt>
                <c:pt idx="294">
                  <c:v>285.40589749950936</c:v>
                </c:pt>
                <c:pt idx="295">
                  <c:v>287.10396062436195</c:v>
                </c:pt>
                <c:pt idx="296">
                  <c:v>288.80478519208827</c:v>
                </c:pt>
                <c:pt idx="297">
                  <c:v>290.50834498634043</c:v>
                </c:pt>
                <c:pt idx="298">
                  <c:v>292.21459562740074</c:v>
                </c:pt>
                <c:pt idx="299">
                  <c:v>293.92345640434559</c:v>
                </c:pt>
                <c:pt idx="300">
                  <c:v>295.63482847891555</c:v>
                </c:pt>
                <c:pt idx="301">
                  <c:v>297.34861308113682</c:v>
                </c:pt>
                <c:pt idx="302">
                  <c:v>299.06471151124941</c:v>
                </c:pt>
                <c:pt idx="303">
                  <c:v>300.7830251416097</c:v>
                </c:pt>
                <c:pt idx="304">
                  <c:v>302.50345541856706</c:v>
                </c:pt>
                <c:pt idx="305">
                  <c:v>304.22590386431477</c:v>
                </c:pt>
                <c:pt idx="306">
                  <c:v>305.95027207871522</c:v>
                </c:pt>
                <c:pt idx="307">
                  <c:v>307.67646174109876</c:v>
                </c:pt>
                <c:pt idx="308">
                  <c:v>309.40437461203737</c:v>
                </c:pt>
                <c:pt idx="309">
                  <c:v>311.13391253509172</c:v>
                </c:pt>
                <c:pt idx="310">
                  <c:v>312.86497743853306</c:v>
                </c:pt>
                <c:pt idx="311">
                  <c:v>314.59747133703848</c:v>
                </c:pt>
                <c:pt idx="312">
                  <c:v>316.33129633336114</c:v>
                </c:pt>
                <c:pt idx="313">
                  <c:v>318.06635461997382</c:v>
                </c:pt>
                <c:pt idx="314">
                  <c:v>319.80254848068722</c:v>
                </c:pt>
                <c:pt idx="315">
                  <c:v>321.53978029224214</c:v>
                </c:pt>
                <c:pt idx="316">
                  <c:v>323.277952525876</c:v>
                </c:pt>
                <c:pt idx="317">
                  <c:v>325.01696774886341</c:v>
                </c:pt>
                <c:pt idx="318">
                  <c:v>326.75672862603125</c:v>
                </c:pt>
                <c:pt idx="319">
                  <c:v>328.49713792124788</c:v>
                </c:pt>
                <c:pt idx="320">
                  <c:v>330.23809849888659</c:v>
                </c:pt>
                <c:pt idx="321">
                  <c:v>331.97952054574768</c:v>
                </c:pt>
                <c:pt idx="322">
                  <c:v>333.72132878576565</c:v>
                </c:pt>
                <c:pt idx="323">
                  <c:v>335.46345524492074</c:v>
                </c:pt>
                <c:pt idx="324">
                  <c:v>337.20583202296518</c:v>
                </c:pt>
                <c:pt idx="325">
                  <c:v>338.94839129406768</c:v>
                </c:pt>
                <c:pt idx="326">
                  <c:v>340.6910653074454</c:v>
                </c:pt>
                <c:pt idx="327">
                  <c:v>342.43378638798373</c:v>
                </c:pt>
                <c:pt idx="328">
                  <c:v>344.17648693684345</c:v>
                </c:pt>
                <c:pt idx="329">
                  <c:v>345.91909943205548</c:v>
                </c:pt>
                <c:pt idx="330">
                  <c:v>347.66155642910371</c:v>
                </c:pt>
                <c:pt idx="331">
                  <c:v>349.40379056149516</c:v>
                </c:pt>
                <c:pt idx="332">
                  <c:v>351.14573454131818</c:v>
                </c:pt>
                <c:pt idx="333">
                  <c:v>352.88732115978831</c:v>
                </c:pt>
                <c:pt idx="334">
                  <c:v>354.62848328778222</c:v>
                </c:pt>
                <c:pt idx="335">
                  <c:v>356.36915387635946</c:v>
                </c:pt>
                <c:pt idx="336">
                  <c:v>358.1092659572721</c:v>
                </c:pt>
                <c:pt idx="337">
                  <c:v>359.84875264346272</c:v>
                </c:pt>
                <c:pt idx="338">
                  <c:v>361.58754712955016</c:v>
                </c:pt>
                <c:pt idx="339">
                  <c:v>363.32558269230356</c:v>
                </c:pt>
                <c:pt idx="340">
                  <c:v>365.06279269110468</c:v>
                </c:pt>
                <c:pt idx="341">
                  <c:v>366.79911056839825</c:v>
                </c:pt>
                <c:pt idx="342">
                  <c:v>368.53446985013079</c:v>
                </c:pt>
                <c:pt idx="343">
                  <c:v>370.26880414617773</c:v>
                </c:pt>
                <c:pt idx="344">
                  <c:v>372.0020471507591</c:v>
                </c:pt>
                <c:pt idx="345">
                  <c:v>373.73413264284341</c:v>
                </c:pt>
                <c:pt idx="346">
                  <c:v>375.46499448654032</c:v>
                </c:pt>
                <c:pt idx="347">
                  <c:v>377.19456663148173</c:v>
                </c:pt>
                <c:pt idx="348">
                  <c:v>378.92278389100528</c:v>
                </c:pt>
                <c:pt idx="349">
                  <c:v>380.64958271927298</c:v>
                </c:pt>
                <c:pt idx="350">
                  <c:v>382.37490043167992</c:v>
                </c:pt>
                <c:pt idx="351">
                  <c:v>384.09867442628308</c:v>
                </c:pt>
                <c:pt idx="352">
                  <c:v>385.82084218408227</c:v>
                </c:pt>
                <c:pt idx="353">
                  <c:v>387.5413412692908</c:v>
                </c:pt>
                <c:pt idx="354">
                  <c:v>389.26010932959645</c:v>
                </c:pt>
                <c:pt idx="355">
                  <c:v>390.97708409641268</c:v>
                </c:pt>
                <c:pt idx="356">
                  <c:v>392.69220338511985</c:v>
                </c:pt>
                <c:pt idx="357">
                  <c:v>394.40540509529683</c:v>
                </c:pt>
                <c:pt idx="358">
                  <c:v>396.11662721094297</c:v>
                </c:pt>
                <c:pt idx="359">
                  <c:v>397.82580780069031</c:v>
                </c:pt>
                <c:pt idx="360">
                  <c:v>399.53290118753068</c:v>
                </c:pt>
                <c:pt idx="361">
                  <c:v>401.23789409457908</c:v>
                </c:pt>
                <c:pt idx="362">
                  <c:v>402.94078942892975</c:v>
                </c:pt>
                <c:pt idx="363">
                  <c:v>404.64159008938776</c:v>
                </c:pt>
                <c:pt idx="364">
                  <c:v>406.34029896649952</c:v>
                </c:pt>
                <c:pt idx="365">
                  <c:v>408.03691894258321</c:v>
                </c:pt>
                <c:pt idx="366">
                  <c:v>409.73145289175909</c:v>
                </c:pt>
                <c:pt idx="367">
                  <c:v>411.42390367997967</c:v>
                </c:pt>
                <c:pt idx="368">
                  <c:v>413.11427416505956</c:v>
                </c:pt>
                <c:pt idx="369">
                  <c:v>414.80256719670552</c:v>
                </c:pt>
                <c:pt idx="370">
                  <c:v>416.48878561654618</c:v>
                </c:pt>
                <c:pt idx="371">
                  <c:v>418.17293225816144</c:v>
                </c:pt>
                <c:pt idx="372">
                  <c:v>419.85500994711202</c:v>
                </c:pt>
                <c:pt idx="373">
                  <c:v>421.53502150096887</c:v>
                </c:pt>
                <c:pt idx="374">
                  <c:v>423.21296972934221</c:v>
                </c:pt>
                <c:pt idx="375">
                  <c:v>424.88885743391057</c:v>
                </c:pt>
                <c:pt idx="376">
                  <c:v>426.56268740844979</c:v>
                </c:pt>
                <c:pt idx="377">
                  <c:v>428.23446243886167</c:v>
                </c:pt>
                <c:pt idx="378">
                  <c:v>429.90418530320267</c:v>
                </c:pt>
                <c:pt idx="379">
                  <c:v>431.57185877171247</c:v>
                </c:pt>
                <c:pt idx="380">
                  <c:v>433.23748560684214</c:v>
                </c:pt>
                <c:pt idx="381">
                  <c:v>434.90106856328259</c:v>
                </c:pt>
                <c:pt idx="382">
                  <c:v>436.56261038799261</c:v>
                </c:pt>
                <c:pt idx="383">
                  <c:v>438.22211382022675</c:v>
                </c:pt>
                <c:pt idx="384">
                  <c:v>439.87958159156329</c:v>
                </c:pt>
                <c:pt idx="385">
                  <c:v>441.53501642593193</c:v>
                </c:pt>
                <c:pt idx="386">
                  <c:v>443.18842103964136</c:v>
                </c:pt>
                <c:pt idx="387">
                  <c:v>444.83979814140667</c:v>
                </c:pt>
                <c:pt idx="388">
                  <c:v>446.48915043237685</c:v>
                </c:pt>
                <c:pt idx="389">
                  <c:v>448.1364806061618</c:v>
                </c:pt>
                <c:pt idx="390">
                  <c:v>449.7817913488596</c:v>
                </c:pt>
                <c:pt idx="391">
                  <c:v>451.42508533908335</c:v>
                </c:pt>
                <c:pt idx="392">
                  <c:v>453.06636524798802</c:v>
                </c:pt>
                <c:pt idx="393">
                  <c:v>454.70563373929724</c:v>
                </c:pt>
                <c:pt idx="394">
                  <c:v>456.34289346932991</c:v>
                </c:pt>
                <c:pt idx="395">
                  <c:v>457.97814708702646</c:v>
                </c:pt>
                <c:pt idx="396">
                  <c:v>459.61139723397554</c:v>
                </c:pt>
                <c:pt idx="397">
                  <c:v>461.24264654443994</c:v>
                </c:pt>
                <c:pt idx="398">
                  <c:v>462.87189764538289</c:v>
                </c:pt>
                <c:pt idx="399">
                  <c:v>464.49915315649395</c:v>
                </c:pt>
                <c:pt idx="400">
                  <c:v>466.12441569021502</c:v>
                </c:pt>
                <c:pt idx="401">
                  <c:v>482.26762909441067</c:v>
                </c:pt>
                <c:pt idx="402">
                  <c:v>498.21322366661008</c:v>
                </c:pt>
                <c:pt idx="403">
                  <c:v>513.96374087047525</c:v>
                </c:pt>
                <c:pt idx="404">
                  <c:v>529.5216531012386</c:v>
                </c:pt>
                <c:pt idx="405">
                  <c:v>544.88936607434357</c:v>
                </c:pt>
                <c:pt idx="406">
                  <c:v>560.06922110912296</c:v>
                </c:pt>
                <c:pt idx="407">
                  <c:v>575.06349731301066</c:v>
                </c:pt>
                <c:pt idx="408">
                  <c:v>589.87441367144777</c:v>
                </c:pt>
                <c:pt idx="409">
                  <c:v>604.5041310483316</c:v>
                </c:pt>
                <c:pt idx="410">
                  <c:v>618.95475410156632</c:v>
                </c:pt>
                <c:pt idx="411">
                  <c:v>633.2283331180048</c:v>
                </c:pt>
                <c:pt idx="412">
                  <c:v>647.32686577181698</c:v>
                </c:pt>
                <c:pt idx="413">
                  <c:v>661.25229881008613</c:v>
                </c:pt>
                <c:pt idx="414">
                  <c:v>675.00652966921575</c:v>
                </c:pt>
                <c:pt idx="415">
                  <c:v>688.59140802552099</c:v>
                </c:pt>
                <c:pt idx="416">
                  <c:v>702.00873728319118</c:v>
                </c:pt>
                <c:pt idx="417">
                  <c:v>715.26027600262648</c:v>
                </c:pt>
                <c:pt idx="418">
                  <c:v>728.34773927198694</c:v>
                </c:pt>
                <c:pt idx="419">
                  <c:v>741.27280002463226</c:v>
                </c:pt>
                <c:pt idx="420">
                  <c:v>754.0370903049851</c:v>
                </c:pt>
                <c:pt idx="421">
                  <c:v>766.64220248521178</c:v>
                </c:pt>
                <c:pt idx="422">
                  <c:v>779.08969043498473</c:v>
                </c:pt>
                <c:pt idx="423">
                  <c:v>791.38107064646954</c:v>
                </c:pt>
                <c:pt idx="424">
                  <c:v>803.51782331656466</c:v>
                </c:pt>
                <c:pt idx="425">
                  <c:v>815.50139338831616</c:v>
                </c:pt>
                <c:pt idx="426">
                  <c:v>827.3331915533272</c:v>
                </c:pt>
                <c:pt idx="427">
                  <c:v>839.01459521688798</c:v>
                </c:pt>
                <c:pt idx="428">
                  <c:v>850.54694942746346</c:v>
                </c:pt>
                <c:pt idx="429">
                  <c:v>861.93156777209072</c:v>
                </c:pt>
                <c:pt idx="430">
                  <c:v>873.16973323916022</c:v>
                </c:pt>
                <c:pt idx="431">
                  <c:v>884.26269904997946</c:v>
                </c:pt>
                <c:pt idx="432">
                  <c:v>895.21168946044918</c:v>
                </c:pt>
                <c:pt idx="433">
                  <c:v>906.01790053411366</c:v>
                </c:pt>
                <c:pt idx="434">
                  <c:v>916.68250088778677</c:v>
                </c:pt>
                <c:pt idx="435">
                  <c:v>927.20663241089471</c:v>
                </c:pt>
                <c:pt idx="436">
                  <c:v>937.59141095962218</c:v>
                </c:pt>
                <c:pt idx="437">
                  <c:v>947.83792702689436</c:v>
                </c:pt>
                <c:pt idx="438">
                  <c:v>957.94724638918046</c:v>
                </c:pt>
                <c:pt idx="439">
                  <c:v>967.92041073105418</c:v>
                </c:pt>
                <c:pt idx="440">
                  <c:v>977.7584382484049</c:v>
                </c:pt>
                <c:pt idx="441">
                  <c:v>987.46232423115055</c:v>
                </c:pt>
                <c:pt idx="442">
                  <c:v>997.03304162626307</c:v>
                </c:pt>
                <c:pt idx="443">
                  <c:v>1006.4715415818803</c:v>
                </c:pt>
                <c:pt idx="444">
                  <c:v>1015.7787539732424</c:v>
                </c:pt>
                <c:pt idx="445">
                  <c:v>1024.9555879111581</c:v>
                </c:pt>
                <c:pt idx="446">
                  <c:v>1034.0029322336723</c:v>
                </c:pt>
                <c:pt idx="447">
                  <c:v>1042.9216559815782</c:v>
                </c:pt>
                <c:pt idx="448">
                  <c:v>1051.7126088583896</c:v>
                </c:pt>
                <c:pt idx="449">
                  <c:v>1060.3766216753556</c:v>
                </c:pt>
                <c:pt idx="450">
                  <c:v>1068.9145067820843</c:v>
                </c:pt>
                <c:pt idx="451">
                  <c:v>1077.327058483309</c:v>
                </c:pt>
                <c:pt idx="452">
                  <c:v>1085.6150534423095</c:v>
                </c:pt>
                <c:pt idx="453">
                  <c:v>1093.7792510714855</c:v>
                </c:pt>
                <c:pt idx="454">
                  <c:v>1101.8203939105454</c:v>
                </c:pt>
                <c:pt idx="455">
                  <c:v>1109.7392079927683</c:v>
                </c:pt>
                <c:pt idx="456">
                  <c:v>1117.5364031997685</c:v>
                </c:pt>
                <c:pt idx="457">
                  <c:v>1125.2126736051773</c:v>
                </c:pt>
                <c:pt idx="458">
                  <c:v>1132.7686978076408</c:v>
                </c:pt>
                <c:pt idx="459">
                  <c:v>1140.2051392535166</c:v>
                </c:pt>
                <c:pt idx="460">
                  <c:v>1147.522646549633</c:v>
                </c:pt>
                <c:pt idx="461">
                  <c:v>1154.7218537664683</c:v>
                </c:pt>
                <c:pt idx="462">
                  <c:v>1161.803380732084</c:v>
                </c:pt>
                <c:pt idx="463">
                  <c:v>1168.7678333171432</c:v>
                </c:pt>
                <c:pt idx="464">
                  <c:v>1175.6158037113244</c:v>
                </c:pt>
                <c:pt idx="465">
                  <c:v>1182.3478706914366</c:v>
                </c:pt>
                <c:pt idx="466">
                  <c:v>1188.9645998815265</c:v>
                </c:pt>
                <c:pt idx="467">
                  <c:v>1195.4665440052604</c:v>
                </c:pt>
                <c:pt idx="468">
                  <c:v>1201.8542431308522</c:v>
                </c:pt>
                <c:pt idx="469">
                  <c:v>1208.1282249088044</c:v>
                </c:pt>
                <c:pt idx="470">
                  <c:v>1214.289004802715</c:v>
                </c:pt>
                <c:pt idx="471">
                  <c:v>1220.3370863133994</c:v>
                </c:pt>
                <c:pt idx="472">
                  <c:v>1226.2729611965688</c:v>
                </c:pt>
                <c:pt idx="473">
                  <c:v>1232.097109674299</c:v>
                </c:pt>
                <c:pt idx="474">
                  <c:v>1237.8100006405195</c:v>
                </c:pt>
                <c:pt idx="475">
                  <c:v>1243.4120918607452</c:v>
                </c:pt>
                <c:pt idx="476">
                  <c:v>1248.9038301662704</c:v>
                </c:pt>
                <c:pt idx="477">
                  <c:v>1254.2856516430397</c:v>
                </c:pt>
                <c:pt idx="478">
                  <c:v>1259.557981815409</c:v>
                </c:pt>
                <c:pt idx="479">
                  <c:v>1264.7212358250022</c:v>
                </c:pt>
                <c:pt idx="480">
                  <c:v>1269.7758186048732</c:v>
                </c:pt>
                <c:pt idx="481">
                  <c:v>1274.722125049178</c:v>
                </c:pt>
                <c:pt idx="482">
                  <c:v>1279.5605401785608</c:v>
                </c:pt>
                <c:pt idx="483">
                  <c:v>1284.2914393014594</c:v>
                </c:pt>
                <c:pt idx="484">
                  <c:v>1288.9151881715366</c:v>
                </c:pt>
                <c:pt idx="485">
                  <c:v>1293.4321431414439</c:v>
                </c:pt>
                <c:pt idx="486">
                  <c:v>1297.8426513131305</c:v>
                </c:pt>
                <c:pt idx="487">
                  <c:v>1302.1470506849078</c:v>
                </c:pt>
                <c:pt idx="488">
                  <c:v>1306.345670295492</c:v>
                </c:pt>
                <c:pt idx="489">
                  <c:v>1310.4388303652486</c:v>
                </c:pt>
                <c:pt idx="490">
                  <c:v>1314.4268424348691</c:v>
                </c:pt>
                <c:pt idx="491">
                  <c:v>1318.3100095017223</c:v>
                </c:pt>
                <c:pt idx="492">
                  <c:v>1322.0886261541293</c:v>
                </c:pt>
                <c:pt idx="493">
                  <c:v>1325.7629787038215</c:v>
                </c:pt>
                <c:pt idx="494">
                  <c:v>1329.3333453168586</c:v>
                </c:pt>
                <c:pt idx="495">
                  <c:v>1332.7999961432915</c:v>
                </c:pt>
                <c:pt idx="496">
                  <c:v>1336.1631934458751</c:v>
                </c:pt>
                <c:pt idx="497">
                  <c:v>1339.423191728152</c:v>
                </c:pt>
                <c:pt idx="498">
                  <c:v>1342.5802378622491</c:v>
                </c:pt>
                <c:pt idx="499">
                  <c:v>1345.6345712167463</c:v>
                </c:pt>
                <c:pt idx="500">
                  <c:v>1348.5864237850069</c:v>
                </c:pt>
                <c:pt idx="501">
                  <c:v>1351.4360203143751</c:v>
                </c:pt>
                <c:pt idx="502">
                  <c:v>1354.1835784366808</c:v>
                </c:pt>
                <c:pt idx="503">
                  <c:v>1356.8293088005134</c:v>
                </c:pt>
                <c:pt idx="504">
                  <c:v>1359.3734152057607</c:v>
                </c:pt>
                <c:pt idx="505">
                  <c:v>1361.8160947409333</c:v>
                </c:pt>
                <c:pt idx="506">
                  <c:v>1364.1575379238325</c:v>
                </c:pt>
                <c:pt idx="507">
                  <c:v>1366.3979288461414</c:v>
                </c:pt>
                <c:pt idx="508">
                  <c:v>1368.5374453225545</c:v>
                </c:pt>
                <c:pt idx="509">
                  <c:v>1370.576259045082</c:v>
                </c:pt>
                <c:pt idx="510">
                  <c:v>1372.5145357431929</c:v>
                </c:pt>
                <c:pt idx="511">
                  <c:v>1374.3524353504743</c:v>
                </c:pt>
                <c:pt idx="512">
                  <c:v>1376.0901121784964</c:v>
                </c:pt>
                <c:pt idx="513">
                  <c:v>1377.7277150985763</c:v>
                </c:pt>
                <c:pt idx="514">
                  <c:v>1379.2653877321204</c:v>
                </c:pt>
                <c:pt idx="515">
                  <c:v>1380.7032686502066</c:v>
                </c:pt>
                <c:pt idx="516">
                  <c:v>1382.0414915830236</c:v>
                </c:pt>
                <c:pt idx="517">
                  <c:v>1383.2801856397311</c:v>
                </c:pt>
                <c:pt idx="518">
                  <c:v>1384.419475539225</c:v>
                </c:pt>
                <c:pt idx="519">
                  <c:v>1385.4594818521884</c:v>
                </c:pt>
                <c:pt idx="520">
                  <c:v>1386.4003212546877</c:v>
                </c:pt>
                <c:pt idx="521">
                  <c:v>1387.2421067934235</c:v>
                </c:pt>
                <c:pt idx="522">
                  <c:v>1387.9849481625736</c:v>
                </c:pt>
                <c:pt idx="523">
                  <c:v>1388.6289519919696</c:v>
                </c:pt>
                <c:pt idx="524">
                  <c:v>1389.1742221461436</c:v>
                </c:pt>
                <c:pt idx="525">
                  <c:v>1389.6208600335501</c:v>
                </c:pt>
                <c:pt idx="526">
                  <c:v>1389.9689649250452</c:v>
                </c:pt>
                <c:pt idx="527">
                  <c:v>1390.2186342804728</c:v>
                </c:pt>
                <c:pt idx="528">
                  <c:v>1390.3699640819921</c:v>
                </c:pt>
                <c:pt idx="529">
                  <c:v>1390.4230491725832</c:v>
                </c:pt>
                <c:pt idx="530">
                  <c:v>1390.377983597999</c:v>
                </c:pt>
                <c:pt idx="531">
                  <c:v>1390.234860950301</c:v>
                </c:pt>
                <c:pt idx="532">
                  <c:v>1389.9937747110268</c:v>
                </c:pt>
                <c:pt idx="533">
                  <c:v>1389.6548185920028</c:v>
                </c:pt>
                <c:pt idx="534">
                  <c:v>1389.2180868718222</c:v>
                </c:pt>
                <c:pt idx="535">
                  <c:v>1388.6836747260729</c:v>
                </c:pt>
                <c:pt idx="536">
                  <c:v>1388.0516785495095</c:v>
                </c:pt>
                <c:pt idx="537">
                  <c:v>1387.3221962685086</c:v>
                </c:pt>
                <c:pt idx="538">
                  <c:v>1386.4953276423366</c:v>
                </c:pt>
                <c:pt idx="539">
                  <c:v>1385.5711745519613</c:v>
                </c:pt>
                <c:pt idx="540">
                  <c:v>1384.5498412753682</c:v>
                </c:pt>
                <c:pt idx="541">
                  <c:v>1383.431434748569</c:v>
                </c:pt>
                <c:pt idx="542">
                  <c:v>1382.216064811724</c:v>
                </c:pt>
                <c:pt idx="543">
                  <c:v>1380.9038444400121</c:v>
                </c:pt>
                <c:pt idx="544">
                  <c:v>1379.4948899590952</c:v>
                </c:pt>
                <c:pt idx="545">
                  <c:v>1377.9893212451982</c:v>
                </c:pt>
                <c:pt idx="546">
                  <c:v>1376.3872619099966</c:v>
                </c:pt>
                <c:pt idx="547">
                  <c:v>1374.6888394706323</c:v>
                </c:pt>
                <c:pt idx="548">
                  <c:v>1372.894185505296</c:v>
                </c:pt>
                <c:pt idx="549">
                  <c:v>1371.0034357949</c:v>
                </c:pt>
                <c:pt idx="550">
                  <c:v>1369.0167304514337</c:v>
                </c:pt>
                <c:pt idx="551">
                  <c:v>1366.9342140336373</c:v>
                </c:pt>
                <c:pt idx="552">
                  <c:v>1364.7560356506622</c:v>
                </c:pt>
                <c:pt idx="553">
                  <c:v>1362.4823490543934</c:v>
                </c:pt>
                <c:pt idx="554">
                  <c:v>1360.1133127211176</c:v>
                </c:pt>
                <c:pt idx="555">
                  <c:v>1357.6490899232031</c:v>
                </c:pt>
                <c:pt idx="556">
                  <c:v>1355.0898487914467</c:v>
                </c:pt>
                <c:pt idx="557">
                  <c:v>1352.4357623687149</c:v>
                </c:pt>
                <c:pt idx="558">
                  <c:v>1349.6870086554788</c:v>
                </c:pt>
                <c:pt idx="559">
                  <c:v>1346.8437706478139</c:v>
                </c:pt>
                <c:pt idx="560">
                  <c:v>1343.9062363683984</c:v>
                </c:pt>
                <c:pt idx="561">
                  <c:v>1340.8745988910157</c:v>
                </c:pt>
                <c:pt idx="562">
                  <c:v>1337.7490563590279</c:v>
                </c:pt>
                <c:pt idx="563">
                  <c:v>1334.5298119982567</c:v>
                </c:pt>
                <c:pt idx="564">
                  <c:v>1331.2170741246766</c:v>
                </c:pt>
                <c:pt idx="565">
                  <c:v>1327.8110561472938</c:v>
                </c:pt>
                <c:pt idx="566">
                  <c:v>1324.3119765665542</c:v>
                </c:pt>
                <c:pt idx="567">
                  <c:v>1320.7200589686001</c:v>
                </c:pt>
                <c:pt idx="568">
                  <c:v>1317.0355320156652</c:v>
                </c:pt>
                <c:pt idx="569">
                  <c:v>1313.2586294328767</c:v>
                </c:pt>
                <c:pt idx="570">
                  <c:v>1309.3895899917118</c:v>
                </c:pt>
                <c:pt idx="571">
                  <c:v>1305.4286574903344</c:v>
                </c:pt>
                <c:pt idx="572">
                  <c:v>1301.376080731018</c:v>
                </c:pt>
                <c:pt idx="573">
                  <c:v>1297.2321134948468</c:v>
                </c:pt>
                <c:pt idx="574">
                  <c:v>1292.9970145138705</c:v>
                </c:pt>
                <c:pt idx="575">
                  <c:v>1288.6710474408726</c:v>
                </c:pt>
                <c:pt idx="576">
                  <c:v>1284.2544808169002</c:v>
                </c:pt>
                <c:pt idx="577">
                  <c:v>1279.7475880366935</c:v>
                </c:pt>
                <c:pt idx="578">
                  <c:v>1275.1506473121383</c:v>
                </c:pt>
                <c:pt idx="579">
                  <c:v>1270.4639416338596</c:v>
                </c:pt>
                <c:pt idx="580">
                  <c:v>1265.6877587310619</c:v>
                </c:pt>
                <c:pt idx="581">
                  <c:v>1260.8223910297183</c:v>
                </c:pt>
                <c:pt idx="582">
                  <c:v>1255.8681356091984</c:v>
                </c:pt>
                <c:pt idx="583">
                  <c:v>1250.8252941574206</c:v>
                </c:pt>
                <c:pt idx="584">
                  <c:v>1245.6941729246118</c:v>
                </c:pt>
                <c:pt idx="585">
                  <c:v>1240.4750826757468</c:v>
                </c:pt>
                <c:pt idx="586">
                  <c:v>1235.1683386417365</c:v>
                </c:pt>
                <c:pt idx="587">
                  <c:v>1229.774260469434</c:v>
                </c:pt>
                <c:pt idx="588">
                  <c:v>1224.2931721705161</c:v>
                </c:pt>
                <c:pt idx="589">
                  <c:v>1218.7254020693015</c:v>
                </c:pt>
                <c:pt idx="590">
                  <c:v>1213.0712827495588</c:v>
                </c:pt>
                <c:pt idx="591">
                  <c:v>1207.3311510003568</c:v>
                </c:pt>
                <c:pt idx="592">
                  <c:v>1201.5053477610068</c:v>
                </c:pt>
                <c:pt idx="593">
                  <c:v>1195.5942180651418</c:v>
                </c:pt>
                <c:pt idx="594">
                  <c:v>1189.5981109839809</c:v>
                </c:pt>
                <c:pt idx="595">
                  <c:v>1183.5173795688168</c:v>
                </c:pt>
                <c:pt idx="596">
                  <c:v>1177.3523807927718</c:v>
                </c:pt>
                <c:pt idx="597">
                  <c:v>1171.1034754918589</c:v>
                </c:pt>
                <c:pt idx="598">
                  <c:v>1164.7710283053855</c:v>
                </c:pt>
                <c:pt idx="599">
                  <c:v>1158.3554076157377</c:v>
                </c:pt>
                <c:pt idx="600">
                  <c:v>1151.8569854875784</c:v>
                </c:pt>
                <c:pt idx="601">
                  <c:v>1145.2761376064941</c:v>
                </c:pt>
                <c:pt idx="602">
                  <c:v>1138.6132432171232</c:v>
                </c:pt>
                <c:pt idx="603">
                  <c:v>1131.8686850607962</c:v>
                </c:pt>
                <c:pt idx="604">
                  <c:v>1125.042849312721</c:v>
                </c:pt>
                <c:pt idx="605">
                  <c:v>1118.1361255187408</c:v>
                </c:pt>
                <c:pt idx="606">
                  <c:v>1111.148906531695</c:v>
                </c:pt>
                <c:pt idx="607">
                  <c:v>1104.0815884474132</c:v>
                </c:pt>
                <c:pt idx="608">
                  <c:v>1096.9345705403655</c:v>
                </c:pt>
                <c:pt idx="609">
                  <c:v>1089.708255199002</c:v>
                </c:pt>
                <c:pt idx="610">
                  <c:v>1082.4030478608031</c:v>
                </c:pt>
                <c:pt idx="611">
                  <c:v>1075.01935694707</c:v>
                </c:pt>
                <c:pt idx="612">
                  <c:v>1067.5575937974784</c:v>
                </c:pt>
                <c:pt idx="613">
                  <c:v>1060.018172604422</c:v>
                </c:pt>
                <c:pt idx="614">
                  <c:v>1052.4015103471704</c:v>
                </c:pt>
                <c:pt idx="615">
                  <c:v>1044.7080267258625</c:v>
                </c:pt>
                <c:pt idx="616">
                  <c:v>1036.938144095363</c:v>
                </c:pt>
                <c:pt idx="617">
                  <c:v>1029.0922873990025</c:v>
                </c:pt>
                <c:pt idx="618">
                  <c:v>1021.170884102224</c:v>
                </c:pt>
                <c:pt idx="619">
                  <c:v>1013.174364126159</c:v>
                </c:pt>
                <c:pt idx="620">
                  <c:v>1005.1031597811551</c:v>
                </c:pt>
                <c:pt idx="621">
                  <c:v>996.95770570027526</c:v>
                </c:pt>
                <c:pt idx="622">
                  <c:v>988.73843877279148</c:v>
                </c:pt>
                <c:pt idx="623">
                  <c:v>980.44579807769298</c:v>
                </c:pt>
                <c:pt idx="624">
                  <c:v>972.08022481722924</c:v>
                </c:pt>
                <c:pt idx="625">
                  <c:v>963.64216225050768</c:v>
                </c:pt>
                <c:pt idx="626">
                  <c:v>955.13205562716678</c:v>
                </c:pt>
                <c:pt idx="627">
                  <c:v>946.55035212114331</c:v>
                </c:pt>
                <c:pt idx="628">
                  <c:v>937.89750076455232</c:v>
                </c:pt>
                <c:pt idx="629">
                  <c:v>929.17395238169945</c:v>
                </c:pt>
                <c:pt idx="630">
                  <c:v>920.38015952324383</c:v>
                </c:pt>
                <c:pt idx="631">
                  <c:v>911.51657640052917</c:v>
                </c:pt>
                <c:pt idx="632">
                  <c:v>902.58365882010105</c:v>
                </c:pt>
                <c:pt idx="633">
                  <c:v>893.58186411842803</c:v>
                </c:pt>
                <c:pt idx="634">
                  <c:v>884.51165109684314</c:v>
                </c:pt>
                <c:pt idx="635">
                  <c:v>875.3734799567236</c:v>
                </c:pt>
                <c:pt idx="636">
                  <c:v>866.16781223492353</c:v>
                </c:pt>
                <c:pt idx="637">
                  <c:v>856.89511073947767</c:v>
                </c:pt>
                <c:pt idx="638">
                  <c:v>847.55583948559013</c:v>
                </c:pt>
                <c:pt idx="639">
                  <c:v>838.15046363192528</c:v>
                </c:pt>
                <c:pt idx="640">
                  <c:v>828.67944941721453</c:v>
                </c:pt>
                <c:pt idx="641">
                  <c:v>819.14326409719513</c:v>
                </c:pt>
                <c:pt idx="642">
                  <c:v>809.54237588189403</c:v>
                </c:pt>
                <c:pt idx="643">
                  <c:v>799.87725387327259</c:v>
                </c:pt>
                <c:pt idx="644">
                  <c:v>790.14836800324474</c:v>
                </c:pt>
                <c:pt idx="645">
                  <c:v>780.35618897208258</c:v>
                </c:pt>
                <c:pt idx="646">
                  <c:v>770.50118818722319</c:v>
                </c:pt>
                <c:pt idx="647">
                  <c:v>760.58383770248827</c:v>
                </c:pt>
                <c:pt idx="648">
                  <c:v>750.60461015773069</c:v>
                </c:pt>
                <c:pt idx="649">
                  <c:v>740.56397871891875</c:v>
                </c:pt>
                <c:pt idx="650">
                  <c:v>730.46241701867143</c:v>
                </c:pt>
                <c:pt idx="651">
                  <c:v>720.30039909725474</c:v>
                </c:pt>
                <c:pt idx="652">
                  <c:v>710.07839934405229</c:v>
                </c:pt>
                <c:pt idx="653">
                  <c:v>699.79689243951896</c:v>
                </c:pt>
                <c:pt idx="654">
                  <c:v>689.45635329763013</c:v>
                </c:pt>
                <c:pt idx="655">
                  <c:v>679.05725700883556</c:v>
                </c:pt>
                <c:pt idx="656">
                  <c:v>668.6000787835286</c:v>
                </c:pt>
                <c:pt idx="657">
                  <c:v>658.08529389603962</c:v>
                </c:pt>
                <c:pt idx="658">
                  <c:v>647.51337762916421</c:v>
                </c:pt>
                <c:pt idx="659">
                  <c:v>636.88480521923395</c:v>
                </c:pt>
                <c:pt idx="660">
                  <c:v>626.20005180173894</c:v>
                </c:pt>
                <c:pt idx="661">
                  <c:v>615.45959235751104</c:v>
                </c:pt>
                <c:pt idx="662">
                  <c:v>604.6639016594745</c:v>
                </c:pt>
                <c:pt idx="663">
                  <c:v>593.81345421997321</c:v>
                </c:pt>
                <c:pt idx="664">
                  <c:v>582.90872423868143</c:v>
                </c:pt>
                <c:pt idx="665">
                  <c:v>571.95018555110425</c:v>
                </c:pt>
                <c:pt idx="666">
                  <c:v>560.93831157767636</c:v>
                </c:pt>
                <c:pt idx="667">
                  <c:v>549.87357527346433</c:v>
                </c:pt>
                <c:pt idx="668">
                  <c:v>538.75644907847845</c:v>
                </c:pt>
                <c:pt idx="669">
                  <c:v>527.58740486860154</c:v>
                </c:pt>
                <c:pt idx="670">
                  <c:v>516.36691390713838</c:v>
                </c:pt>
                <c:pt idx="671">
                  <c:v>505.09544679699235</c:v>
                </c:pt>
                <c:pt idx="672">
                  <c:v>493.77347343347412</c:v>
                </c:pt>
                <c:pt idx="673">
                  <c:v>482.40146295774645</c:v>
                </c:pt>
                <c:pt idx="674">
                  <c:v>470.97988371091014</c:v>
                </c:pt>
                <c:pt idx="675">
                  <c:v>459.50920318873517</c:v>
                </c:pt>
                <c:pt idx="676">
                  <c:v>447.98988799704034</c:v>
                </c:pt>
                <c:pt idx="677">
                  <c:v>436.42240380772569</c:v>
                </c:pt>
                <c:pt idx="678">
                  <c:v>424.80721531546044</c:v>
                </c:pt>
                <c:pt idx="679">
                  <c:v>413.14478619502961</c:v>
                </c:pt>
                <c:pt idx="680">
                  <c:v>401.4355790593421</c:v>
                </c:pt>
                <c:pt idx="681">
                  <c:v>389.68005541810243</c:v>
                </c:pt>
                <c:pt idx="682">
                  <c:v>377.87867563714849</c:v>
                </c:pt>
                <c:pt idx="683">
                  <c:v>366.03189889845743</c:v>
                </c:pt>
                <c:pt idx="684">
                  <c:v>354.14018316082058</c:v>
                </c:pt>
                <c:pt idx="685">
                  <c:v>342.20398512118987</c:v>
                </c:pt>
                <c:pt idx="686">
                  <c:v>330.22376017669575</c:v>
                </c:pt>
                <c:pt idx="687">
                  <c:v>318.1999623873383</c:v>
                </c:pt>
                <c:pt idx="688">
                  <c:v>306.13304443935198</c:v>
                </c:pt>
                <c:pt idx="689">
                  <c:v>294.02345760924391</c:v>
                </c:pt>
                <c:pt idx="690">
                  <c:v>281.87165172850666</c:v>
                </c:pt>
                <c:pt idx="691">
                  <c:v>269.67807514900488</c:v>
                </c:pt>
                <c:pt idx="692">
                  <c:v>257.44317470903559</c:v>
                </c:pt>
                <c:pt idx="693">
                  <c:v>245.16739570006141</c:v>
                </c:pt>
                <c:pt idx="694">
                  <c:v>232.85118183411663</c:v>
                </c:pt>
                <c:pt idx="695">
                  <c:v>220.49497521188422</c:v>
                </c:pt>
                <c:pt idx="696">
                  <c:v>208.0992162914433</c:v>
                </c:pt>
                <c:pt idx="697">
                  <c:v>195.66434385768514</c:v>
                </c:pt>
                <c:pt idx="698">
                  <c:v>183.19079499239663</c:v>
                </c:pt>
                <c:pt idx="699">
                  <c:v>170.67900504500875</c:v>
                </c:pt>
                <c:pt idx="700">
                  <c:v>158.12940760400866</c:v>
                </c:pt>
                <c:pt idx="701">
                  <c:v>145.54243446901273</c:v>
                </c:pt>
                <c:pt idx="702">
                  <c:v>132.91851562349831</c:v>
                </c:pt>
                <c:pt idx="703">
                  <c:v>120.25807920819173</c:v>
                </c:pt>
                <c:pt idx="704">
                  <c:v>107.56155149510964</c:v>
                </c:pt>
                <c:pt idx="705">
                  <c:v>94.829356862250748</c:v>
                </c:pt>
                <c:pt idx="706">
                  <c:v>82.061917768934947</c:v>
                </c:pt>
                <c:pt idx="707">
                  <c:v>69.259654731786497</c:v>
                </c:pt>
                <c:pt idx="708">
                  <c:v>56.422986301357888</c:v>
                </c:pt>
                <c:pt idx="709">
                  <c:v>43.552329039390642</c:v>
                </c:pt>
                <c:pt idx="710">
                  <c:v>30.648097496709511</c:v>
                </c:pt>
                <c:pt idx="711">
                  <c:v>17.710704191746018</c:v>
                </c:pt>
                <c:pt idx="712">
                  <c:v>4.7405595896873951</c:v>
                </c:pt>
                <c:pt idx="713">
                  <c:v>-8.261927917753324</c:v>
                </c:pt>
                <c:pt idx="714">
                  <c:v>-8.2749464907429484</c:v>
                </c:pt>
                <c:pt idx="715">
                  <c:v>-8.2879650954663546</c:v>
                </c:pt>
                <c:pt idx="716">
                  <c:v>-8.3009837319231412</c:v>
                </c:pt>
                <c:pt idx="717">
                  <c:v>-8.3140024001129049</c:v>
                </c:pt>
                <c:pt idx="718">
                  <c:v>-8.3270211000352443</c:v>
                </c:pt>
                <c:pt idx="719">
                  <c:v>-8.3400398316897579</c:v>
                </c:pt>
                <c:pt idx="720">
                  <c:v>-8.3530585950760425</c:v>
                </c:pt>
                <c:pt idx="721">
                  <c:v>-8.3660773901936967</c:v>
                </c:pt>
                <c:pt idx="722">
                  <c:v>-8.3790962170423171</c:v>
                </c:pt>
                <c:pt idx="723">
                  <c:v>-8.3921150756215024</c:v>
                </c:pt>
                <c:pt idx="724">
                  <c:v>-8.405133965930851</c:v>
                </c:pt>
                <c:pt idx="725">
                  <c:v>-8.4181528879699599</c:v>
                </c:pt>
                <c:pt idx="726">
                  <c:v>-8.4311718417384274</c:v>
                </c:pt>
                <c:pt idx="727">
                  <c:v>-8.4441908272358521</c:v>
                </c:pt>
                <c:pt idx="728">
                  <c:v>-8.4572098444618309</c:v>
                </c:pt>
                <c:pt idx="729">
                  <c:v>-8.4702288934159622</c:v>
                </c:pt>
                <c:pt idx="730">
                  <c:v>-8.4832479740978428</c:v>
                </c:pt>
                <c:pt idx="731">
                  <c:v>-8.4962670865070713</c:v>
                </c:pt>
                <c:pt idx="732">
                  <c:v>-8.5092862306432462</c:v>
                </c:pt>
                <c:pt idx="733">
                  <c:v>-8.5223054065059642</c:v>
                </c:pt>
                <c:pt idx="734">
                  <c:v>-8.535324614094824</c:v>
                </c:pt>
                <c:pt idx="735">
                  <c:v>-8.548343853409424</c:v>
                </c:pt>
                <c:pt idx="736">
                  <c:v>-8.5613631244493611</c:v>
                </c:pt>
                <c:pt idx="737">
                  <c:v>-8.5743824272142337</c:v>
                </c:pt>
                <c:pt idx="738">
                  <c:v>-8.5874017617036387</c:v>
                </c:pt>
                <c:pt idx="739">
                  <c:v>-8.6004211279171745</c:v>
                </c:pt>
                <c:pt idx="740">
                  <c:v>-8.6134405258544398</c:v>
                </c:pt>
                <c:pt idx="741">
                  <c:v>-8.6264599555150312</c:v>
                </c:pt>
                <c:pt idx="742">
                  <c:v>-8.6394794168985491</c:v>
                </c:pt>
                <c:pt idx="743">
                  <c:v>-8.6524989100045886</c:v>
                </c:pt>
                <c:pt idx="744">
                  <c:v>-8.6655184348327499</c:v>
                </c:pt>
                <c:pt idx="745">
                  <c:v>-8.6785379913826297</c:v>
                </c:pt>
                <c:pt idx="746">
                  <c:v>-8.6915575796538249</c:v>
                </c:pt>
                <c:pt idx="747">
                  <c:v>-8.704577199645934</c:v>
                </c:pt>
                <c:pt idx="748">
                  <c:v>-8.7175968513585556</c:v>
                </c:pt>
                <c:pt idx="749">
                  <c:v>-8.7306165347912881</c:v>
                </c:pt>
                <c:pt idx="750">
                  <c:v>-8.7436362499437283</c:v>
                </c:pt>
                <c:pt idx="751">
                  <c:v>-8.7566559968154749</c:v>
                </c:pt>
                <c:pt idx="752">
                  <c:v>-8.7696757754061263</c:v>
                </c:pt>
                <c:pt idx="753">
                  <c:v>-8.7826955857152793</c:v>
                </c:pt>
                <c:pt idx="754">
                  <c:v>-8.7957154277425325</c:v>
                </c:pt>
                <c:pt idx="755">
                  <c:v>-8.8087353014874825</c:v>
                </c:pt>
                <c:pt idx="756">
                  <c:v>-8.821755206949728</c:v>
                </c:pt>
                <c:pt idx="757">
                  <c:v>-8.8347751441288676</c:v>
                </c:pt>
                <c:pt idx="758">
                  <c:v>-8.8477951130244996</c:v>
                </c:pt>
                <c:pt idx="759">
                  <c:v>-8.860815113636221</c:v>
                </c:pt>
                <c:pt idx="760">
                  <c:v>-8.8738351459636284</c:v>
                </c:pt>
                <c:pt idx="761">
                  <c:v>-8.8868552100063223</c:v>
                </c:pt>
                <c:pt idx="762">
                  <c:v>-8.8998753057638993</c:v>
                </c:pt>
                <c:pt idx="763">
                  <c:v>-8.912895433235958</c:v>
                </c:pt>
                <c:pt idx="764">
                  <c:v>-8.9259155924220952</c:v>
                </c:pt>
                <c:pt idx="765">
                  <c:v>-8.9389357833219094</c:v>
                </c:pt>
                <c:pt idx="766">
                  <c:v>-8.9519560059349992</c:v>
                </c:pt>
                <c:pt idx="767">
                  <c:v>-8.9649762602609631</c:v>
                </c:pt>
                <c:pt idx="768">
                  <c:v>-8.9779965462993978</c:v>
                </c:pt>
                <c:pt idx="769">
                  <c:v>-8.991016864049902</c:v>
                </c:pt>
                <c:pt idx="770">
                  <c:v>-9.0040372135120723</c:v>
                </c:pt>
                <c:pt idx="771">
                  <c:v>-9.0170575946855074</c:v>
                </c:pt>
                <c:pt idx="772">
                  <c:v>-9.0300780075698057</c:v>
                </c:pt>
                <c:pt idx="773">
                  <c:v>-9.0430984521645659</c:v>
                </c:pt>
                <c:pt idx="774">
                  <c:v>-9.0561189284693846</c:v>
                </c:pt>
                <c:pt idx="775">
                  <c:v>-9.0691394364838605</c:v>
                </c:pt>
                <c:pt idx="776">
                  <c:v>-9.082159976207592</c:v>
                </c:pt>
                <c:pt idx="777">
                  <c:v>-9.0951805476401759</c:v>
                </c:pt>
                <c:pt idx="778">
                  <c:v>-9.1082011507812108</c:v>
                </c:pt>
                <c:pt idx="779">
                  <c:v>-9.1212217856302935</c:v>
                </c:pt>
                <c:pt idx="780">
                  <c:v>-9.1342424521870242</c:v>
                </c:pt>
                <c:pt idx="781">
                  <c:v>-9.1472631504509998</c:v>
                </c:pt>
                <c:pt idx="782">
                  <c:v>-9.160283880421817</c:v>
                </c:pt>
                <c:pt idx="783">
                  <c:v>-9.173304642099076</c:v>
                </c:pt>
                <c:pt idx="784">
                  <c:v>-9.1863254354823738</c:v>
                </c:pt>
                <c:pt idx="785">
                  <c:v>-9.1993462605713088</c:v>
                </c:pt>
                <c:pt idx="786">
                  <c:v>-9.2123671173654778</c:v>
                </c:pt>
                <c:pt idx="787">
                  <c:v>-9.2253880058644793</c:v>
                </c:pt>
                <c:pt idx="788">
                  <c:v>-9.2384089260679119</c:v>
                </c:pt>
                <c:pt idx="789">
                  <c:v>-9.2514298779753741</c:v>
                </c:pt>
                <c:pt idx="790">
                  <c:v>-9.2644508615864627</c:v>
                </c:pt>
                <c:pt idx="791">
                  <c:v>-9.2774718769007762</c:v>
                </c:pt>
                <c:pt idx="792">
                  <c:v>-9.2904929239179133</c:v>
                </c:pt>
                <c:pt idx="793">
                  <c:v>-9.3035140026374705</c:v>
                </c:pt>
                <c:pt idx="794">
                  <c:v>-9.3165351130590466</c:v>
                </c:pt>
                <c:pt idx="795">
                  <c:v>-9.32955625518224</c:v>
                </c:pt>
                <c:pt idx="796">
                  <c:v>-9.3425774290066474</c:v>
                </c:pt>
                <c:pt idx="797">
                  <c:v>-9.3555986345318676</c:v>
                </c:pt>
                <c:pt idx="798">
                  <c:v>-9.3686198717574989</c:v>
                </c:pt>
                <c:pt idx="799">
                  <c:v>-9.3816411406831399</c:v>
                </c:pt>
                <c:pt idx="800">
                  <c:v>-9.3946624413083875</c:v>
                </c:pt>
                <c:pt idx="801">
                  <c:v>-9.40768377363284</c:v>
                </c:pt>
                <c:pt idx="802">
                  <c:v>-9.4207051376560962</c:v>
                </c:pt>
                <c:pt idx="803">
                  <c:v>-9.4337265333777527</c:v>
                </c:pt>
                <c:pt idx="804">
                  <c:v>-9.4467479607974099</c:v>
                </c:pt>
                <c:pt idx="805">
                  <c:v>-9.4597694199146627</c:v>
                </c:pt>
                <c:pt idx="806">
                  <c:v>-9.4727909107291115</c:v>
                </c:pt>
                <c:pt idx="807">
                  <c:v>-9.4858124332403531</c:v>
                </c:pt>
                <c:pt idx="808">
                  <c:v>-9.4988339874479859</c:v>
                </c:pt>
                <c:pt idx="809">
                  <c:v>-9.5118555733516086</c:v>
                </c:pt>
                <c:pt idx="810">
                  <c:v>-9.5248771909508196</c:v>
                </c:pt>
                <c:pt idx="811">
                  <c:v>-9.5378988402452158</c:v>
                </c:pt>
                <c:pt idx="812">
                  <c:v>-9.5509205212343957</c:v>
                </c:pt>
                <c:pt idx="813">
                  <c:v>-9.5639422339179561</c:v>
                </c:pt>
                <c:pt idx="814">
                  <c:v>-9.5769639782954972</c:v>
                </c:pt>
                <c:pt idx="815">
                  <c:v>-9.5899857543666158</c:v>
                </c:pt>
                <c:pt idx="816">
                  <c:v>-9.6030075621309106</c:v>
                </c:pt>
                <c:pt idx="817">
                  <c:v>-9.6160294015879781</c:v>
                </c:pt>
                <c:pt idx="818">
                  <c:v>-9.6290512727374189</c:v>
                </c:pt>
                <c:pt idx="819">
                  <c:v>-9.6420731755788296</c:v>
                </c:pt>
                <c:pt idx="820">
                  <c:v>-9.6550951101118088</c:v>
                </c:pt>
                <c:pt idx="821">
                  <c:v>-9.6681170763359532</c:v>
                </c:pt>
                <c:pt idx="822">
                  <c:v>-9.6811390742508614</c:v>
                </c:pt>
                <c:pt idx="823">
                  <c:v>-9.6941611038561319</c:v>
                </c:pt>
                <c:pt idx="824">
                  <c:v>-9.7071831651513634</c:v>
                </c:pt>
                <c:pt idx="825">
                  <c:v>-9.7202052581361524</c:v>
                </c:pt>
                <c:pt idx="826">
                  <c:v>-9.7332273828100995</c:v>
                </c:pt>
                <c:pt idx="827">
                  <c:v>-9.7462495391728012</c:v>
                </c:pt>
                <c:pt idx="828">
                  <c:v>-9.7592717272238545</c:v>
                </c:pt>
                <c:pt idx="829">
                  <c:v>-9.7722939469628596</c:v>
                </c:pt>
                <c:pt idx="830">
                  <c:v>-9.7853161983894132</c:v>
                </c:pt>
                <c:pt idx="831">
                  <c:v>-9.798338481503114</c:v>
                </c:pt>
                <c:pt idx="832">
                  <c:v>-9.8113607963035605</c:v>
                </c:pt>
                <c:pt idx="833">
                  <c:v>-9.8243831427903494</c:v>
                </c:pt>
                <c:pt idx="834">
                  <c:v>-9.8374055209630793</c:v>
                </c:pt>
                <c:pt idx="835">
                  <c:v>-9.8504279308213487</c:v>
                </c:pt>
                <c:pt idx="836">
                  <c:v>-9.8634503723647562</c:v>
                </c:pt>
                <c:pt idx="837">
                  <c:v>-9.8764728455928985</c:v>
                </c:pt>
                <c:pt idx="838">
                  <c:v>-9.8894953505053742</c:v>
                </c:pt>
                <c:pt idx="839">
                  <c:v>-9.9025178871017818</c:v>
                </c:pt>
                <c:pt idx="840">
                  <c:v>-9.9155404553817199</c:v>
                </c:pt>
                <c:pt idx="841">
                  <c:v>-9.928563055344787</c:v>
                </c:pt>
                <c:pt idx="842">
                  <c:v>-9.9415856869905799</c:v>
                </c:pt>
                <c:pt idx="843">
                  <c:v>-9.9546083503186971</c:v>
                </c:pt>
                <c:pt idx="844">
                  <c:v>-9.9676310453287371</c:v>
                </c:pt>
                <c:pt idx="845">
                  <c:v>-9.9806537720202968</c:v>
                </c:pt>
                <c:pt idx="846">
                  <c:v>-9.9936765303929747</c:v>
                </c:pt>
                <c:pt idx="847">
                  <c:v>-10.006699320446371</c:v>
                </c:pt>
                <c:pt idx="848">
                  <c:v>-10.019722142180081</c:v>
                </c:pt>
                <c:pt idx="849">
                  <c:v>-10.032744995593704</c:v>
                </c:pt>
                <c:pt idx="850">
                  <c:v>-10.045767880686839</c:v>
                </c:pt>
                <c:pt idx="851">
                  <c:v>-10.058790797459082</c:v>
                </c:pt>
                <c:pt idx="852">
                  <c:v>-10.071813745910033</c:v>
                </c:pt>
                <c:pt idx="853">
                  <c:v>-10.08483672603929</c:v>
                </c:pt>
                <c:pt idx="854">
                  <c:v>-10.09785973784645</c:v>
                </c:pt>
                <c:pt idx="855">
                  <c:v>-10.110882781331114</c:v>
                </c:pt>
                <c:pt idx="856">
                  <c:v>-10.123905856492877</c:v>
                </c:pt>
                <c:pt idx="857">
                  <c:v>-10.136928963331339</c:v>
                </c:pt>
                <c:pt idx="858">
                  <c:v>-10.149952101846097</c:v>
                </c:pt>
                <c:pt idx="859">
                  <c:v>-10.162975272036748</c:v>
                </c:pt>
                <c:pt idx="860">
                  <c:v>-10.175998473902894</c:v>
                </c:pt>
                <c:pt idx="861">
                  <c:v>-10.189021707444128</c:v>
                </c:pt>
                <c:pt idx="862">
                  <c:v>-10.202044972660053</c:v>
                </c:pt>
                <c:pt idx="863">
                  <c:v>-10.215068269550265</c:v>
                </c:pt>
                <c:pt idx="864">
                  <c:v>-10.228091598114363</c:v>
                </c:pt>
                <c:pt idx="865">
                  <c:v>-10.241114958351943</c:v>
                </c:pt>
                <c:pt idx="866">
                  <c:v>-10.254138350262606</c:v>
                </c:pt>
                <c:pt idx="867">
                  <c:v>-10.267161773845947</c:v>
                </c:pt>
                <c:pt idx="868">
                  <c:v>-10.280185229101567</c:v>
                </c:pt>
                <c:pt idx="869">
                  <c:v>-10.293208716029064</c:v>
                </c:pt>
                <c:pt idx="870">
                  <c:v>-10.306232234628034</c:v>
                </c:pt>
                <c:pt idx="871">
                  <c:v>-10.319255784898077</c:v>
                </c:pt>
                <c:pt idx="872">
                  <c:v>-10.332279366838792</c:v>
                </c:pt>
                <c:pt idx="873">
                  <c:v>-10.345302980449775</c:v>
                </c:pt>
                <c:pt idx="874">
                  <c:v>-10.358326625730625</c:v>
                </c:pt>
                <c:pt idx="875">
                  <c:v>-10.371350302680939</c:v>
                </c:pt>
                <c:pt idx="876">
                  <c:v>-10.384374011300318</c:v>
                </c:pt>
                <c:pt idx="877">
                  <c:v>-10.397397751588359</c:v>
                </c:pt>
                <c:pt idx="878">
                  <c:v>-10.41042152354466</c:v>
                </c:pt>
                <c:pt idx="879">
                  <c:v>-10.423445327168817</c:v>
                </c:pt>
                <c:pt idx="880">
                  <c:v>-10.436469162460432</c:v>
                </c:pt>
                <c:pt idx="881">
                  <c:v>-10.4494930294191</c:v>
                </c:pt>
                <c:pt idx="882">
                  <c:v>-10.462516928044423</c:v>
                </c:pt>
                <c:pt idx="883">
                  <c:v>-10.475540858335995</c:v>
                </c:pt>
                <c:pt idx="884">
                  <c:v>-10.488564820293416</c:v>
                </c:pt>
                <c:pt idx="885">
                  <c:v>-10.501588813916284</c:v>
                </c:pt>
                <c:pt idx="886">
                  <c:v>-10.514612839204197</c:v>
                </c:pt>
                <c:pt idx="887">
                  <c:v>-10.527636896156755</c:v>
                </c:pt>
                <c:pt idx="888">
                  <c:v>-10.540660984773556</c:v>
                </c:pt>
                <c:pt idx="889">
                  <c:v>-10.553685105054196</c:v>
                </c:pt>
                <c:pt idx="890">
                  <c:v>-10.566709256998275</c:v>
                </c:pt>
                <c:pt idx="891">
                  <c:v>-10.57973344060539</c:v>
                </c:pt>
                <c:pt idx="892">
                  <c:v>-10.59275765587514</c:v>
                </c:pt>
                <c:pt idx="893">
                  <c:v>-10.605781902807122</c:v>
                </c:pt>
                <c:pt idx="894">
                  <c:v>-10.618806181400936</c:v>
                </c:pt>
                <c:pt idx="895">
                  <c:v>-10.63183049165618</c:v>
                </c:pt>
                <c:pt idx="896">
                  <c:v>-10.644854833572451</c:v>
                </c:pt>
                <c:pt idx="897">
                  <c:v>-10.657879207149348</c:v>
                </c:pt>
                <c:pt idx="898">
                  <c:v>-10.67090361238647</c:v>
                </c:pt>
                <c:pt idx="899">
                  <c:v>-10.683928049283413</c:v>
                </c:pt>
                <c:pt idx="900">
                  <c:v>-10.696952517839778</c:v>
                </c:pt>
                <c:pt idx="901">
                  <c:v>-10.709977018055161</c:v>
                </c:pt>
                <c:pt idx="902">
                  <c:v>-10.723001549929162</c:v>
                </c:pt>
                <c:pt idx="903">
                  <c:v>-10.736026113461378</c:v>
                </c:pt>
                <c:pt idx="904">
                  <c:v>-10.749050708651408</c:v>
                </c:pt>
                <c:pt idx="905">
                  <c:v>-10.762075335498849</c:v>
                </c:pt>
                <c:pt idx="906">
                  <c:v>-10.775099994003302</c:v>
                </c:pt>
                <c:pt idx="907">
                  <c:v>-10.788124684164362</c:v>
                </c:pt>
                <c:pt idx="908">
                  <c:v>-10.801149405981629</c:v>
                </c:pt>
                <c:pt idx="909">
                  <c:v>-10.814174159454701</c:v>
                </c:pt>
                <c:pt idx="910">
                  <c:v>-10.827198944583175</c:v>
                </c:pt>
                <c:pt idx="911">
                  <c:v>-10.840223761366651</c:v>
                </c:pt>
                <c:pt idx="912">
                  <c:v>-10.853248609804726</c:v>
                </c:pt>
                <c:pt idx="913">
                  <c:v>-10.866273489897001</c:v>
                </c:pt>
                <c:pt idx="914">
                  <c:v>-10.879298401643071</c:v>
                </c:pt>
                <c:pt idx="915">
                  <c:v>-10.892323345042536</c:v>
                </c:pt>
                <c:pt idx="916">
                  <c:v>-10.905348320094994</c:v>
                </c:pt>
                <c:pt idx="917">
                  <c:v>-10.918373326800042</c:v>
                </c:pt>
                <c:pt idx="918">
                  <c:v>-10.93139836515728</c:v>
                </c:pt>
                <c:pt idx="919">
                  <c:v>-10.944423435166305</c:v>
                </c:pt>
                <c:pt idx="920">
                  <c:v>-10.957448536826716</c:v>
                </c:pt>
                <c:pt idx="921">
                  <c:v>-10.970473670138112</c:v>
                </c:pt>
                <c:pt idx="922">
                  <c:v>-10.98349883510009</c:v>
                </c:pt>
                <c:pt idx="923">
                  <c:v>-10.996524031712248</c:v>
                </c:pt>
                <c:pt idx="924">
                  <c:v>-11.009549259974186</c:v>
                </c:pt>
                <c:pt idx="925">
                  <c:v>-11.022574519885501</c:v>
                </c:pt>
                <c:pt idx="926">
                  <c:v>-11.035599811445792</c:v>
                </c:pt>
                <c:pt idx="927">
                  <c:v>-11.048625134654657</c:v>
                </c:pt>
                <c:pt idx="928">
                  <c:v>-11.061650489511694</c:v>
                </c:pt>
                <c:pt idx="929">
                  <c:v>-11.074675876016501</c:v>
                </c:pt>
                <c:pt idx="930">
                  <c:v>-11.087701294168678</c:v>
                </c:pt>
                <c:pt idx="931">
                  <c:v>-11.100726743967822</c:v>
                </c:pt>
                <c:pt idx="932">
                  <c:v>-11.113752225413531</c:v>
                </c:pt>
                <c:pt idx="933">
                  <c:v>-11.126777738505405</c:v>
                </c:pt>
                <c:pt idx="934">
                  <c:v>-11.13980328324304</c:v>
                </c:pt>
                <c:pt idx="935">
                  <c:v>-11.152828859626036</c:v>
                </c:pt>
                <c:pt idx="936">
                  <c:v>-11.16585446765399</c:v>
                </c:pt>
                <c:pt idx="937">
                  <c:v>-11.178880107326501</c:v>
                </c:pt>
                <c:pt idx="938">
                  <c:v>-11.191905778643168</c:v>
                </c:pt>
                <c:pt idx="939">
                  <c:v>-11.204931481603587</c:v>
                </c:pt>
                <c:pt idx="940">
                  <c:v>-11.21795721620736</c:v>
                </c:pt>
                <c:pt idx="941">
                  <c:v>-11.230982982454082</c:v>
                </c:pt>
                <c:pt idx="942">
                  <c:v>-11.244008780343353</c:v>
                </c:pt>
                <c:pt idx="943">
                  <c:v>-11.257034609874772</c:v>
                </c:pt>
                <c:pt idx="944">
                  <c:v>-11.270060471047936</c:v>
                </c:pt>
                <c:pt idx="945">
                  <c:v>-11.283086363862443</c:v>
                </c:pt>
                <c:pt idx="946">
                  <c:v>-11.296112288317893</c:v>
                </c:pt>
                <c:pt idx="947">
                  <c:v>-11.309138244413882</c:v>
                </c:pt>
                <c:pt idx="948">
                  <c:v>-11.32216423215001</c:v>
                </c:pt>
                <c:pt idx="949">
                  <c:v>-11.335190251525876</c:v>
                </c:pt>
                <c:pt idx="950">
                  <c:v>-11.348216302541077</c:v>
                </c:pt>
                <c:pt idx="951">
                  <c:v>-11.361242385195212</c:v>
                </c:pt>
                <c:pt idx="952">
                  <c:v>-11.374268499487878</c:v>
                </c:pt>
                <c:pt idx="953">
                  <c:v>-11.387294645418674</c:v>
                </c:pt>
                <c:pt idx="954">
                  <c:v>-11.400320822987199</c:v>
                </c:pt>
                <c:pt idx="955">
                  <c:v>-11.413347032193052</c:v>
                </c:pt>
                <c:pt idx="956">
                  <c:v>-11.42637327303583</c:v>
                </c:pt>
                <c:pt idx="957">
                  <c:v>-11.439399545515133</c:v>
                </c:pt>
                <c:pt idx="958">
                  <c:v>-11.452425849630558</c:v>
                </c:pt>
                <c:pt idx="959">
                  <c:v>-11.465452185381704</c:v>
                </c:pt>
                <c:pt idx="960">
                  <c:v>-11.478478552768168</c:v>
                </c:pt>
                <c:pt idx="961">
                  <c:v>-11.491504951789549</c:v>
                </c:pt>
                <c:pt idx="962">
                  <c:v>-11.504531382445446</c:v>
                </c:pt>
                <c:pt idx="963">
                  <c:v>-11.517557844735457</c:v>
                </c:pt>
                <c:pt idx="964">
                  <c:v>-11.53058433865918</c:v>
                </c:pt>
                <c:pt idx="965">
                  <c:v>-11.543610864216214</c:v>
                </c:pt>
                <c:pt idx="966">
                  <c:v>-11.556637421406158</c:v>
                </c:pt>
                <c:pt idx="967">
                  <c:v>-11.56966401022861</c:v>
                </c:pt>
                <c:pt idx="968">
                  <c:v>-11.582690630683167</c:v>
                </c:pt>
                <c:pt idx="969">
                  <c:v>-11.59571728276943</c:v>
                </c:pt>
                <c:pt idx="970">
                  <c:v>-11.608743966486994</c:v>
                </c:pt>
                <c:pt idx="971">
                  <c:v>-11.621770681835459</c:v>
                </c:pt>
                <c:pt idx="972">
                  <c:v>-11.634797428814425</c:v>
                </c:pt>
                <c:pt idx="973">
                  <c:v>-11.647824207423488</c:v>
                </c:pt>
                <c:pt idx="974">
                  <c:v>-11.660851017662248</c:v>
                </c:pt>
                <c:pt idx="975">
                  <c:v>-11.673877859530302</c:v>
                </c:pt>
                <c:pt idx="976">
                  <c:v>-11.68690473302725</c:v>
                </c:pt>
                <c:pt idx="977">
                  <c:v>-11.699931638152687</c:v>
                </c:pt>
                <c:pt idx="978">
                  <c:v>-11.712958574906216</c:v>
                </c:pt>
                <c:pt idx="979">
                  <c:v>-11.725985543287432</c:v>
                </c:pt>
                <c:pt idx="980">
                  <c:v>-11.739012543295937</c:v>
                </c:pt>
                <c:pt idx="981">
                  <c:v>-11.752039574931326</c:v>
                </c:pt>
                <c:pt idx="982">
                  <c:v>-11.765066638193197</c:v>
                </c:pt>
                <c:pt idx="983">
                  <c:v>-11.778093733081151</c:v>
                </c:pt>
                <c:pt idx="984">
                  <c:v>-11.791120859594786</c:v>
                </c:pt>
                <c:pt idx="985">
                  <c:v>-11.804148017733699</c:v>
                </c:pt>
                <c:pt idx="986">
                  <c:v>-11.81717520749749</c:v>
                </c:pt>
                <c:pt idx="987">
                  <c:v>-11.830202428885757</c:v>
                </c:pt>
                <c:pt idx="988">
                  <c:v>-11.843229681898098</c:v>
                </c:pt>
                <c:pt idx="989">
                  <c:v>-11.856256966534112</c:v>
                </c:pt>
                <c:pt idx="990">
                  <c:v>-11.869284282793396</c:v>
                </c:pt>
                <c:pt idx="991">
                  <c:v>-11.882311630675549</c:v>
                </c:pt>
                <c:pt idx="992">
                  <c:v>-11.895339010180169</c:v>
                </c:pt>
                <c:pt idx="993">
                  <c:v>-11.908366421306857</c:v>
                </c:pt>
                <c:pt idx="994">
                  <c:v>-11.92139386405521</c:v>
                </c:pt>
                <c:pt idx="995">
                  <c:v>-11.934421338424825</c:v>
                </c:pt>
                <c:pt idx="996">
                  <c:v>-11.947448844415302</c:v>
                </c:pt>
                <c:pt idx="997">
                  <c:v>-11.960476382026238</c:v>
                </c:pt>
                <c:pt idx="998">
                  <c:v>-11.973503951257234</c:v>
                </c:pt>
                <c:pt idx="999">
                  <c:v>-11.986531552107886</c:v>
                </c:pt>
                <c:pt idx="1000">
                  <c:v>-11.999559184577793</c:v>
                </c:pt>
              </c:numCache>
            </c:numRef>
          </c:yVal>
          <c:smooth val="1"/>
          <c:extLst>
            <c:ext xmlns:c16="http://schemas.microsoft.com/office/drawing/2014/chart" uri="{C3380CC4-5D6E-409C-BE32-E72D297353CC}">
              <c16:uniqueId val="{00000002-1F49-47DF-B4D1-65FFA35A5CB2}"/>
            </c:ext>
          </c:extLst>
        </c:ser>
        <c:ser>
          <c:idx val="4"/>
          <c:order val="3"/>
          <c:tx>
            <c:strRef>
              <c:f>Trajecto!$B$109</c:f>
              <c:strCache>
                <c:ptCount val="1"/>
              </c:strCache>
            </c:strRef>
          </c:tx>
          <c:spPr>
            <a:ln w="25400">
              <a:solidFill>
                <a:srgbClr val="FF6600"/>
              </a:solidFill>
              <a:prstDash val="solid"/>
            </a:ln>
          </c:spPr>
          <c:marker>
            <c:symbol val="none"/>
          </c:marker>
          <c:dLbls>
            <c:dLbl>
              <c:idx val="1"/>
              <c:spPr>
                <a:noFill/>
                <a:ln w="25400">
                  <a:noFill/>
                </a:ln>
              </c:spPr>
              <c:txPr>
                <a:bodyPr/>
                <a:lstStyle/>
                <a:p>
                  <a:pPr>
                    <a:defRPr sz="700" b="1" i="0" u="none" strike="noStrike" baseline="0">
                      <a:solidFill>
                        <a:srgbClr val="FF66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F49-47DF-B4D1-65FFA35A5CB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Trajecto!$B$140:$B$146</c:f>
              <c:numCache>
                <c:formatCode>0</c:formatCode>
                <c:ptCount val="7"/>
                <c:pt idx="0">
                  <c:v>0</c:v>
                </c:pt>
                <c:pt idx="1">
                  <c:v>0</c:v>
                </c:pt>
                <c:pt idx="2">
                  <c:v>0</c:v>
                </c:pt>
                <c:pt idx="3">
                  <c:v>0</c:v>
                </c:pt>
                <c:pt idx="4">
                  <c:v>0</c:v>
                </c:pt>
                <c:pt idx="5">
                  <c:v>0</c:v>
                </c:pt>
                <c:pt idx="6">
                  <c:v>0</c:v>
                </c:pt>
              </c:numCache>
            </c:numRef>
          </c:xVal>
          <c:yVal>
            <c:numRef>
              <c:f>Trajecto!$C$138:$C$144</c:f>
              <c:numCache>
                <c:formatCode>0</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4-1F49-47DF-B4D1-65FFA35A5CB2}"/>
            </c:ext>
          </c:extLst>
        </c:ser>
        <c:ser>
          <c:idx val="5"/>
          <c:order val="4"/>
          <c:tx>
            <c:strRef>
              <c:f>Trajecto!$B$106</c:f>
              <c:strCache>
                <c:ptCount val="1"/>
                <c:pt idx="0">
                  <c:v>Phase ascendante</c:v>
                </c:pt>
              </c:strCache>
            </c:strRef>
          </c:tx>
          <c:spPr>
            <a:ln w="25400">
              <a:solidFill>
                <a:srgbClr val="000080"/>
              </a:solidFill>
              <a:prstDash val="solid"/>
            </a:ln>
          </c:spPr>
          <c:marker>
            <c:symbol val="none"/>
          </c:marker>
          <c:xVal>
            <c:numRef>
              <c:f>Calculs!$J$4:$J$1004</c:f>
              <c:numCache>
                <c:formatCode>0.00</c:formatCode>
                <c:ptCount val="1001"/>
                <c:pt idx="0">
                  <c:v>0</c:v>
                </c:pt>
                <c:pt idx="1">
                  <c:v>0</c:v>
                </c:pt>
                <c:pt idx="2">
                  <c:v>1.6320904504900539E-4</c:v>
                </c:pt>
                <c:pt idx="3">
                  <c:v>8.1766045198087677E-4</c:v>
                </c:pt>
                <c:pt idx="4">
                  <c:v>2.2931354789787728E-3</c:v>
                </c:pt>
                <c:pt idx="5">
                  <c:v>4.9197268202197178E-3</c:v>
                </c:pt>
                <c:pt idx="6">
                  <c:v>8.944426512602079E-3</c:v>
                </c:pt>
                <c:pt idx="7">
                  <c:v>1.4447519687411856E-2</c:v>
                </c:pt>
                <c:pt idx="8">
                  <c:v>2.142585719678726E-2</c:v>
                </c:pt>
                <c:pt idx="9">
                  <c:v>2.9876276412292374E-2</c:v>
                </c:pt>
                <c:pt idx="10">
                  <c:v>3.97956012727574E-2</c:v>
                </c:pt>
                <c:pt idx="11">
                  <c:v>5.1180642332538211E-2</c:v>
                </c:pt>
                <c:pt idx="12">
                  <c:v>6.4028196810191923E-2</c:v>
                </c:pt>
                <c:pt idx="13">
                  <c:v>7.8335048637565158E-2</c:v>
                </c:pt>
                <c:pt idx="14">
                  <c:v>9.4097968509291585E-2</c:v>
                </c:pt>
                <c:pt idx="15">
                  <c:v>0.11131371393269533</c:v>
                </c:pt>
                <c:pt idx="16">
                  <c:v>0.1299790292780969</c:v>
                </c:pt>
                <c:pt idx="17">
                  <c:v>0.15009064582951803</c:v>
                </c:pt>
                <c:pt idx="18">
                  <c:v>0.17164528183578215</c:v>
                </c:pt>
                <c:pt idx="19">
                  <c:v>0.19463964256200672</c:v>
                </c:pt>
                <c:pt idx="20">
                  <c:v>0.21907042034148405</c:v>
                </c:pt>
                <c:pt idx="21">
                  <c:v>0.24493429462794705</c:v>
                </c:pt>
                <c:pt idx="22">
                  <c:v>0.27222793204821616</c:v>
                </c:pt>
                <c:pt idx="23">
                  <c:v>0.30094798645522391</c:v>
                </c:pt>
                <c:pt idx="24">
                  <c:v>0.33109109898141365</c:v>
                </c:pt>
                <c:pt idx="25">
                  <c:v>0.36265389809250836</c:v>
                </c:pt>
                <c:pt idx="26">
                  <c:v>0.39563299964164617</c:v>
                </c:pt>
                <c:pt idx="27">
                  <c:v>0.43002500692387874</c:v>
                </c:pt>
                <c:pt idx="28">
                  <c:v>0.46582651073102899</c:v>
                </c:pt>
                <c:pt idx="29">
                  <c:v>0.50303408940690364</c:v>
                </c:pt>
                <c:pt idx="30">
                  <c:v>0.54164430890285808</c:v>
                </c:pt>
                <c:pt idx="31">
                  <c:v>0.58165372283370831</c:v>
                </c:pt>
                <c:pt idx="32">
                  <c:v>0.62305887253398706</c:v>
                </c:pt>
                <c:pt idx="33">
                  <c:v>0.66585628711453981</c:v>
                </c:pt>
                <c:pt idx="34">
                  <c:v>0.71004248351945742</c:v>
                </c:pt>
                <c:pt idx="35">
                  <c:v>0.75569788473039057</c:v>
                </c:pt>
                <c:pt idx="36">
                  <c:v>0.80290566680716557</c:v>
                </c:pt>
                <c:pt idx="37">
                  <c:v>0.85166779734229703</c:v>
                </c:pt>
                <c:pt idx="38">
                  <c:v>0.90198610860638107</c:v>
                </c:pt>
                <c:pt idx="39">
                  <c:v>0.95386226517082828</c:v>
                </c:pt>
                <c:pt idx="40">
                  <c:v>1.0072977717225271</c:v>
                </c:pt>
                <c:pt idx="41">
                  <c:v>1.0622939802730664</c:v>
                </c:pt>
                <c:pt idx="42">
                  <c:v>1.118852096824746</c:v>
                </c:pt>
                <c:pt idx="43">
                  <c:v>1.1769731875477671</c:v>
                </c:pt>
                <c:pt idx="44">
                  <c:v>1.2366581845163116</c:v>
                </c:pt>
                <c:pt idx="45">
                  <c:v>1.2979078910455011</c:v>
                </c:pt>
                <c:pt idx="46">
                  <c:v>1.3607229866663231</c:v>
                </c:pt>
                <c:pt idx="47">
                  <c:v>1.4251040317713708</c:v>
                </c:pt>
                <c:pt idx="48">
                  <c:v>1.4910514719605836</c:v>
                </c:pt>
                <c:pt idx="49">
                  <c:v>1.5585656421129916</c:v>
                </c:pt>
                <c:pt idx="50">
                  <c:v>1.6276467702076913</c:v>
                </c:pt>
                <c:pt idx="51">
                  <c:v>1.6982954416130198</c:v>
                </c:pt>
                <c:pt idx="52">
                  <c:v>1.7705130672189946</c:v>
                </c:pt>
                <c:pt idx="53">
                  <c:v>1.8443014312376822</c:v>
                </c:pt>
                <c:pt idx="54">
                  <c:v>1.919662234606951</c:v>
                </c:pt>
                <c:pt idx="55">
                  <c:v>1.9965970975148022</c:v>
                </c:pt>
                <c:pt idx="56">
                  <c:v>2.0751075617886836</c:v>
                </c:pt>
                <c:pt idx="57">
                  <c:v>2.1551950931594859</c:v>
                </c:pt>
                <c:pt idx="58">
                  <c:v>2.2368610834090594</c:v>
                </c:pt>
                <c:pt idx="59">
                  <c:v>2.3201068524093267</c:v>
                </c:pt>
                <c:pt idx="60">
                  <c:v>2.4049336500603684</c:v>
                </c:pt>
                <c:pt idx="61">
                  <c:v>2.4913426581342488</c:v>
                </c:pt>
                <c:pt idx="62">
                  <c:v>2.5793349920307804</c:v>
                </c:pt>
                <c:pt idx="63">
                  <c:v>2.6689117024509335</c:v>
                </c:pt>
                <c:pt idx="64">
                  <c:v>2.7600737769931292</c:v>
                </c:pt>
                <c:pt idx="65">
                  <c:v>2.8528221416772559</c:v>
                </c:pt>
                <c:pt idx="66">
                  <c:v>2.9471576624008642</c:v>
                </c:pt>
                <c:pt idx="67">
                  <c:v>3.0430811463316609</c:v>
                </c:pt>
                <c:pt idx="68">
                  <c:v>3.1405933432401163</c:v>
                </c:pt>
                <c:pt idx="69">
                  <c:v>3.2396949467757108</c:v>
                </c:pt>
                <c:pt idx="70">
                  <c:v>3.3403865956900995</c:v>
                </c:pt>
                <c:pt idx="71">
                  <c:v>3.4426688750102272</c:v>
                </c:pt>
                <c:pt idx="72">
                  <c:v>3.5465423171642234</c:v>
                </c:pt>
                <c:pt idx="73">
                  <c:v>3.652007403062703</c:v>
                </c:pt>
                <c:pt idx="74">
                  <c:v>3.7590645631379203</c:v>
                </c:pt>
                <c:pt idx="75">
                  <c:v>3.8677141783430584</c:v>
                </c:pt>
                <c:pt idx="76">
                  <c:v>3.9779565811137836</c:v>
                </c:pt>
                <c:pt idx="77">
                  <c:v>4.0897920562940531</c:v>
                </c:pt>
                <c:pt idx="78">
                  <c:v>4.2032208420280357</c:v>
                </c:pt>
                <c:pt idx="79">
                  <c:v>4.3182431306198898</c:v>
                </c:pt>
                <c:pt idx="80">
                  <c:v>4.4348590693630241</c:v>
                </c:pt>
                <c:pt idx="81">
                  <c:v>4.5530687613403735</c:v>
                </c:pt>
                <c:pt idx="82">
                  <c:v>4.6728722661971211</c:v>
                </c:pt>
                <c:pt idx="83">
                  <c:v>4.7942696008872163</c:v>
                </c:pt>
                <c:pt idx="84">
                  <c:v>4.9172607403949531</c:v>
                </c:pt>
                <c:pt idx="85">
                  <c:v>5.0418456184327978</c:v>
                </c:pt>
                <c:pt idx="86">
                  <c:v>5.1680241281165893</c:v>
                </c:pt>
                <c:pt idx="87">
                  <c:v>5.2957961226191665</c:v>
                </c:pt>
                <c:pt idx="88">
                  <c:v>5.4251614158034158</c:v>
                </c:pt>
                <c:pt idx="89">
                  <c:v>5.5561197828356779</c:v>
                </c:pt>
                <c:pt idx="90">
                  <c:v>5.6886709607804002</c:v>
                </c:pt>
                <c:pt idx="91">
                  <c:v>5.8228146491768751</c:v>
                </c:pt>
                <c:pt idx="92">
                  <c:v>5.9585505105988421</c:v>
                </c:pt>
                <c:pt idx="93">
                  <c:v>6.0958781711977199</c:v>
                </c:pt>
                <c:pt idx="94">
                  <c:v>6.2347972212301599</c:v>
                </c:pt>
                <c:pt idx="95">
                  <c:v>6.3753072155705981</c:v>
                </c:pt>
                <c:pt idx="96">
                  <c:v>6.5174076742094442</c:v>
                </c:pt>
                <c:pt idx="97">
                  <c:v>6.6610980827374986</c:v>
                </c:pt>
                <c:pt idx="98">
                  <c:v>6.8063778928171805</c:v>
                </c:pt>
                <c:pt idx="99">
                  <c:v>6.9532465226410984</c:v>
                </c:pt>
                <c:pt idx="100">
                  <c:v>7.1017033573784847</c:v>
                </c:pt>
                <c:pt idx="101">
                  <c:v>7.2517475180869333</c:v>
                </c:pt>
                <c:pt idx="102">
                  <c:v>7.4033776294840141</c:v>
                </c:pt>
                <c:pt idx="103">
                  <c:v>7.5565920504220481</c:v>
                </c:pt>
                <c:pt idx="104">
                  <c:v>7.7113891055085935</c:v>
                </c:pt>
                <c:pt idx="105">
                  <c:v>7.86776708555265</c:v>
                </c:pt>
                <c:pt idx="106">
                  <c:v>8.025724248000099</c:v>
                </c:pt>
                <c:pt idx="107">
                  <c:v>8.1852588173587932</c:v>
                </c:pt>
                <c:pt idx="108">
                  <c:v>8.3463689856137115</c:v>
                </c:pt>
                <c:pt idx="109">
                  <c:v>8.5090529126325301</c:v>
                </c:pt>
                <c:pt idx="110">
                  <c:v>8.6733087265619968</c:v>
                </c:pt>
                <c:pt idx="111">
                  <c:v>8.839134524215428</c:v>
                </c:pt>
                <c:pt idx="112">
                  <c:v>9.0065283714516777</c:v>
                </c:pt>
                <c:pt idx="113">
                  <c:v>9.1754883035458707</c:v>
                </c:pt>
                <c:pt idx="114">
                  <c:v>9.3460123255522181</c:v>
                </c:pt>
                <c:pt idx="115">
                  <c:v>9.5180984126591781</c:v>
                </c:pt>
                <c:pt idx="116">
                  <c:v>9.6917445105372568</c:v>
                </c:pt>
                <c:pt idx="117">
                  <c:v>9.8669485356796933</c:v>
                </c:pt>
                <c:pt idx="118">
                  <c:v>10.04370837573628</c:v>
                </c:pt>
                <c:pt idx="119">
                  <c:v>10.222021889840565</c:v>
                </c:pt>
                <c:pt idx="120">
                  <c:v>10.401886908930654</c:v>
                </c:pt>
                <c:pt idx="121">
                  <c:v>10.583301236063827</c:v>
                </c:pt>
                <c:pt idx="122">
                  <c:v>10.766262646725195</c:v>
                </c:pt>
                <c:pt idx="123">
                  <c:v>10.950768889130579</c:v>
                </c:pt>
                <c:pt idx="124">
                  <c:v>11.136817684523809</c:v>
                </c:pt>
                <c:pt idx="125">
                  <c:v>11.324406727468627</c:v>
                </c:pt>
                <c:pt idx="126">
                  <c:v>11.513533686135373</c:v>
                </c:pt>
                <c:pt idx="127">
                  <c:v>11.704196202582608</c:v>
                </c:pt>
                <c:pt idx="128">
                  <c:v>11.896391893033856</c:v>
                </c:pt>
                <c:pt idx="129">
                  <c:v>12.090118348149609</c:v>
                </c:pt>
                <c:pt idx="130">
                  <c:v>12.28537313329474</c:v>
                </c:pt>
                <c:pt idx="131">
                  <c:v>12.482153788801476</c:v>
                </c:pt>
                <c:pt idx="132">
                  <c:v>12.680457830228059</c:v>
                </c:pt>
                <c:pt idx="133">
                  <c:v>12.880282748613245</c:v>
                </c:pt>
                <c:pt idx="134">
                  <c:v>13.081626010726739</c:v>
                </c:pt>
                <c:pt idx="135">
                  <c:v>13.284485059315712</c:v>
                </c:pt>
                <c:pt idx="136">
                  <c:v>13.488857313347513</c:v>
                </c:pt>
                <c:pt idx="137">
                  <c:v>13.694740168248673</c:v>
                </c:pt>
                <c:pt idx="138">
                  <c:v>13.902130996140331</c:v>
                </c:pt>
                <c:pt idx="139">
                  <c:v>14.111027146070171</c:v>
                </c:pt>
                <c:pt idx="140">
                  <c:v>14.321425944240978</c:v>
                </c:pt>
                <c:pt idx="141">
                  <c:v>14.533324694235906</c:v>
                </c:pt>
                <c:pt idx="142">
                  <c:v>14.74672067724055</c:v>
                </c:pt>
                <c:pt idx="143">
                  <c:v>14.961611152261916</c:v>
                </c:pt>
                <c:pt idx="144">
                  <c:v>15.177993356344377</c:v>
                </c:pt>
                <c:pt idx="145">
                  <c:v>15.395864504782685</c:v>
                </c:pt>
                <c:pt idx="146">
                  <c:v>15.615221791332132</c:v>
                </c:pt>
                <c:pt idx="147">
                  <c:v>15.836062388415939</c:v>
                </c:pt>
                <c:pt idx="148">
                  <c:v>16.058383447329934</c:v>
                </c:pt>
                <c:pt idx="149">
                  <c:v>16.282182098444601</c:v>
                </c:pt>
                <c:pt idx="150">
                  <c:v>16.507455451404571</c:v>
                </c:pt>
                <c:pt idx="151">
                  <c:v>16.734200678273599</c:v>
                </c:pt>
                <c:pt idx="152">
                  <c:v>16.962415096952657</c:v>
                </c:pt>
                <c:pt idx="153">
                  <c:v>17.192096088762646</c:v>
                </c:pt>
                <c:pt idx="154">
                  <c:v>17.423241015743422</c:v>
                </c:pt>
                <c:pt idx="155">
                  <c:v>17.65584722082983</c:v>
                </c:pt>
                <c:pt idx="156">
                  <c:v>17.88991202802567</c:v>
                </c:pt>
                <c:pt idx="157">
                  <c:v>18.125432742575665</c:v>
                </c:pt>
                <c:pt idx="158">
                  <c:v>18.362406651135487</c:v>
                </c:pt>
                <c:pt idx="159">
                  <c:v>18.600831021939875</c:v>
                </c:pt>
                <c:pt idx="160">
                  <c:v>18.840703104968892</c:v>
                </c:pt>
                <c:pt idx="161">
                  <c:v>19.082020132112362</c:v>
                </c:pt>
                <c:pt idx="162">
                  <c:v>19.324779317332553</c:v>
                </c:pt>
                <c:pt idx="163">
                  <c:v>19.568977856825118</c:v>
                </c:pt>
                <c:pt idx="164">
                  <c:v>19.814612929178352</c:v>
                </c:pt>
                <c:pt idx="165">
                  <c:v>20.061681695530787</c:v>
                </c:pt>
                <c:pt idx="166">
                  <c:v>20.310181299727184</c:v>
                </c:pt>
                <c:pt idx="167">
                  <c:v>20.560108868472945</c:v>
                </c:pt>
                <c:pt idx="168">
                  <c:v>20.811461511486982</c:v>
                </c:pt>
                <c:pt idx="169">
                  <c:v>21.06423632165307</c:v>
                </c:pt>
                <c:pt idx="170">
                  <c:v>21.318430375169736</c:v>
                </c:pt>
                <c:pt idx="171">
                  <c:v>21.574040731698695</c:v>
                </c:pt>
                <c:pt idx="172">
                  <c:v>21.831064434511873</c:v>
                </c:pt>
                <c:pt idx="173">
                  <c:v>22.089498510637053</c:v>
                </c:pt>
                <c:pt idx="174">
                  <c:v>22.349339971002156</c:v>
                </c:pt>
                <c:pt idx="175">
                  <c:v>22.610585810578208</c:v>
                </c:pt>
                <c:pt idx="176">
                  <c:v>22.873233008520987</c:v>
                </c:pt>
                <c:pt idx="177">
                  <c:v>23.137278528311427</c:v>
                </c:pt>
                <c:pt idx="178">
                  <c:v>23.402719317894736</c:v>
                </c:pt>
                <c:pt idx="179">
                  <c:v>23.669552309818325</c:v>
                </c:pt>
                <c:pt idx="180">
                  <c:v>23.937774421368516</c:v>
                </c:pt>
                <c:pt idx="181">
                  <c:v>24.207382554706076</c:v>
                </c:pt>
                <c:pt idx="182">
                  <c:v>24.478373597000608</c:v>
                </c:pt>
                <c:pt idx="183">
                  <c:v>24.750744420563798</c:v>
                </c:pt>
                <c:pt idx="184">
                  <c:v>25.02449188298155</c:v>
                </c:pt>
                <c:pt idx="185">
                  <c:v>25.299612827245049</c:v>
                </c:pt>
                <c:pt idx="186">
                  <c:v>25.576104081880722</c:v>
                </c:pt>
                <c:pt idx="187">
                  <c:v>25.853962461079171</c:v>
                </c:pt>
                <c:pt idx="188">
                  <c:v>26.133184764823067</c:v>
                </c:pt>
                <c:pt idx="189">
                  <c:v>26.413767779014027</c:v>
                </c:pt>
                <c:pt idx="190">
                  <c:v>26.695708275598484</c:v>
                </c:pt>
                <c:pt idx="191">
                  <c:v>26.979003012692601</c:v>
                </c:pt>
                <c:pt idx="192">
                  <c:v>27.263648734706198</c:v>
                </c:pt>
                <c:pt idx="193">
                  <c:v>27.549642172465735</c:v>
                </c:pt>
                <c:pt idx="194">
                  <c:v>27.836980043336371</c:v>
                </c:pt>
                <c:pt idx="195">
                  <c:v>28.125659051343106</c:v>
                </c:pt>
                <c:pt idx="196">
                  <c:v>28.415675887291002</c:v>
                </c:pt>
                <c:pt idx="197">
                  <c:v>28.707027228884538</c:v>
                </c:pt>
                <c:pt idx="198">
                  <c:v>28.999709740846082</c:v>
                </c:pt>
                <c:pt idx="199">
                  <c:v>29.293720075033491</c:v>
                </c:pt>
                <c:pt idx="200">
                  <c:v>29.589054870556875</c:v>
                </c:pt>
                <c:pt idx="201">
                  <c:v>29.885710753894532</c:v>
                </c:pt>
                <c:pt idx="202">
                  <c:v>30.183684339008032</c:v>
                </c:pt>
                <c:pt idx="203">
                  <c:v>30.482972227456525</c:v>
                </c:pt>
                <c:pt idx="204">
                  <c:v>30.783571008510215</c:v>
                </c:pt>
                <c:pt idx="205">
                  <c:v>31.085477259263072</c:v>
                </c:pt>
                <c:pt idx="206">
                  <c:v>31.388687544744752</c:v>
                </c:pt>
                <c:pt idx="207">
                  <c:v>31.693198418031745</c:v>
                </c:pt>
                <c:pt idx="208">
                  <c:v>31.999006420357787</c:v>
                </c:pt>
                <c:pt idx="209">
                  <c:v>32.306108081223499</c:v>
                </c:pt>
                <c:pt idx="210">
                  <c:v>32.614499918505309</c:v>
                </c:pt>
                <c:pt idx="211">
                  <c:v>32.924178438563629</c:v>
                </c:pt>
                <c:pt idx="212">
                  <c:v>33.235140136350338</c:v>
                </c:pt>
                <c:pt idx="213">
                  <c:v>33.547381495515523</c:v>
                </c:pt>
                <c:pt idx="214">
                  <c:v>33.86089898851354</c:v>
                </c:pt>
                <c:pt idx="215">
                  <c:v>34.17568907670838</c:v>
                </c:pt>
                <c:pt idx="216">
                  <c:v>34.491748210478349</c:v>
                </c:pt>
                <c:pt idx="217">
                  <c:v>34.809072829320066</c:v>
                </c:pt>
                <c:pt idx="218">
                  <c:v>35.127659361951793</c:v>
                </c:pt>
                <c:pt idx="219">
                  <c:v>35.447504226416108</c:v>
                </c:pt>
                <c:pt idx="220">
                  <c:v>35.768603830181924</c:v>
                </c:pt>
                <c:pt idx="221">
                  <c:v>36.090954570245856</c:v>
                </c:pt>
                <c:pt idx="222">
                  <c:v>36.414552833232953</c:v>
                </c:pt>
                <c:pt idx="223">
                  <c:v>36.739394995496795</c:v>
                </c:pt>
                <c:pt idx="224">
                  <c:v>37.065477423218951</c:v>
                </c:pt>
                <c:pt idx="225">
                  <c:v>37.392796472507833</c:v>
                </c:pt>
                <c:pt idx="226">
                  <c:v>37.721348489496933</c:v>
                </c:pt>
                <c:pt idx="227">
                  <c:v>38.051129810442447</c:v>
                </c:pt>
                <c:pt idx="228">
                  <c:v>38.382136761820284</c:v>
                </c:pt>
                <c:pt idx="229">
                  <c:v>38.714365660422516</c:v>
                </c:pt>
                <c:pt idx="230">
                  <c:v>39.047812813453177</c:v>
                </c:pt>
                <c:pt idx="231">
                  <c:v>39.382474518623539</c:v>
                </c:pt>
                <c:pt idx="232">
                  <c:v>39.718347064246757</c:v>
                </c:pt>
                <c:pt idx="233">
                  <c:v>40.05542672933197</c:v>
                </c:pt>
                <c:pt idx="234">
                  <c:v>40.393709783677814</c:v>
                </c:pt>
                <c:pt idx="235">
                  <c:v>40.733192487965376</c:v>
                </c:pt>
                <c:pt idx="236">
                  <c:v>41.073871093850585</c:v>
                </c:pt>
                <c:pt idx="237">
                  <c:v>41.415741844056043</c:v>
                </c:pt>
                <c:pt idx="238">
                  <c:v>41.758800972462303</c:v>
                </c:pt>
                <c:pt idx="239">
                  <c:v>42.103044704198609</c:v>
                </c:pt>
                <c:pt idx="240">
                  <c:v>42.44846925573308</c:v>
                </c:pt>
                <c:pt idx="241">
                  <c:v>42.79507083496236</c:v>
                </c:pt>
                <c:pt idx="242">
                  <c:v>43.142845641300717</c:v>
                </c:pt>
                <c:pt idx="243">
                  <c:v>43.491789865768638</c:v>
                </c:pt>
                <c:pt idx="244">
                  <c:v>43.841899691080876</c:v>
                </c:pt>
                <c:pt idx="245">
                  <c:v>44.193171291733975</c:v>
                </c:pt>
                <c:pt idx="246">
                  <c:v>44.545600834093271</c:v>
                </c:pt>
                <c:pt idx="247">
                  <c:v>44.899184476479391</c:v>
                </c:pt>
                <c:pt idx="248">
                  <c:v>45.253918369254215</c:v>
                </c:pt>
                <c:pt idx="249">
                  <c:v>45.609798654906335</c:v>
                </c:pt>
                <c:pt idx="250">
                  <c:v>45.966821468136025</c:v>
                </c:pt>
                <c:pt idx="251">
                  <c:v>46.32498255247404</c:v>
                </c:pt>
                <c:pt idx="252">
                  <c:v>46.684276876225709</c:v>
                </c:pt>
                <c:pt idx="253">
                  <c:v>47.04469901537216</c:v>
                </c:pt>
                <c:pt idx="254">
                  <c:v>47.406243537161266</c:v>
                </c:pt>
                <c:pt idx="255">
                  <c:v>47.768905000221999</c:v>
                </c:pt>
                <c:pt idx="256">
                  <c:v>48.132677954677952</c:v>
                </c:pt>
                <c:pt idx="257">
                  <c:v>48.49755694226009</c:v>
                </c:pt>
                <c:pt idx="258">
                  <c:v>48.863536496418689</c:v>
                </c:pt>
                <c:pt idx="259">
                  <c:v>49.230611142434519</c:v>
                </c:pt>
                <c:pt idx="260">
                  <c:v>49.598775397529195</c:v>
                </c:pt>
                <c:pt idx="261">
                  <c:v>49.968023770974774</c:v>
                </c:pt>
                <c:pt idx="262">
                  <c:v>50.338350764202588</c:v>
                </c:pt>
                <c:pt idx="263">
                  <c:v>50.709750870911257</c:v>
                </c:pt>
                <c:pt idx="264">
                  <c:v>51.08221857717399</c:v>
                </c:pt>
                <c:pt idx="265">
                  <c:v>51.455748361545076</c:v>
                </c:pt>
                <c:pt idx="266">
                  <c:v>51.830334695165618</c:v>
                </c:pt>
                <c:pt idx="267">
                  <c:v>52.205972041868534</c:v>
                </c:pt>
                <c:pt idx="268">
                  <c:v>52.582654858282766</c:v>
                </c:pt>
                <c:pt idx="269">
                  <c:v>52.960377593936762</c:v>
                </c:pt>
                <c:pt idx="270">
                  <c:v>53.339134691361188</c:v>
                </c:pt>
                <c:pt idx="271">
                  <c:v>53.718920586190912</c:v>
                </c:pt>
                <c:pt idx="272">
                  <c:v>54.099729707266235</c:v>
                </c:pt>
                <c:pt idx="273">
                  <c:v>54.481556476733367</c:v>
                </c:pt>
                <c:pt idx="274">
                  <c:v>54.864395310144197</c:v>
                </c:pt>
                <c:pt idx="275">
                  <c:v>55.248240616555286</c:v>
                </c:pt>
                <c:pt idx="276">
                  <c:v>55.633086798626174</c:v>
                </c:pt>
                <c:pt idx="277">
                  <c:v>56.018928252716911</c:v>
                </c:pt>
                <c:pt idx="278">
                  <c:v>56.405759368984896</c:v>
                </c:pt>
                <c:pt idx="279">
                  <c:v>56.793574531480978</c:v>
                </c:pt>
                <c:pt idx="280">
                  <c:v>57.182368118244824</c:v>
                </c:pt>
                <c:pt idx="281">
                  <c:v>57.572134501399589</c:v>
                </c:pt>
                <c:pt idx="282">
                  <c:v>57.962868047245856</c:v>
                </c:pt>
                <c:pt idx="283">
                  <c:v>58.354563116354853</c:v>
                </c:pt>
                <c:pt idx="284">
                  <c:v>58.747214063660984</c:v>
                </c:pt>
                <c:pt idx="285">
                  <c:v>59.140815238553628</c:v>
                </c:pt>
                <c:pt idx="286">
                  <c:v>59.535360984968229</c:v>
                </c:pt>
                <c:pt idx="287">
                  <c:v>59.930845641476694</c:v>
                </c:pt>
                <c:pt idx="288">
                  <c:v>60.327263541377093</c:v>
                </c:pt>
                <c:pt idx="289">
                  <c:v>60.724609012782629</c:v>
                </c:pt>
                <c:pt idx="290">
                  <c:v>61.12287637870994</c:v>
                </c:pt>
                <c:pt idx="291">
                  <c:v>61.522059957166682</c:v>
                </c:pt>
                <c:pt idx="292">
                  <c:v>61.922154061238452</c:v>
                </c:pt>
                <c:pt idx="293">
                  <c:v>62.323152999174958</c:v>
                </c:pt>
                <c:pt idx="294">
                  <c:v>62.725051074475559</c:v>
                </c:pt>
                <c:pt idx="295">
                  <c:v>63.127842585974101</c:v>
                </c:pt>
                <c:pt idx="296">
                  <c:v>63.531521827923036</c:v>
                </c:pt>
                <c:pt idx="297">
                  <c:v>63.936083090076906</c:v>
                </c:pt>
                <c:pt idx="298">
                  <c:v>64.341516339820359</c:v>
                </c:pt>
                <c:pt idx="299">
                  <c:v>64.747802899022219</c:v>
                </c:pt>
                <c:pt idx="300">
                  <c:v>65.154919758471422</c:v>
                </c:pt>
                <c:pt idx="301">
                  <c:v>65.562843897822646</c:v>
                </c:pt>
                <c:pt idx="302">
                  <c:v>65.971552286146107</c:v>
                </c:pt>
                <c:pt idx="303">
                  <c:v>66.381021882468929</c:v>
                </c:pt>
                <c:pt idx="304">
                  <c:v>66.791229636307932</c:v>
                </c:pt>
                <c:pt idx="305">
                  <c:v>67.202152488193974</c:v>
                </c:pt>
                <c:pt idx="306">
                  <c:v>67.613767370187773</c:v>
                </c:pt>
                <c:pt idx="307">
                  <c:v>68.026051206387294</c:v>
                </c:pt>
                <c:pt idx="308">
                  <c:v>68.438980913426676</c:v>
                </c:pt>
                <c:pt idx="309">
                  <c:v>68.85253340096672</c:v>
                </c:pt>
                <c:pt idx="310">
                  <c:v>69.266685572176939</c:v>
                </c:pt>
                <c:pt idx="311">
                  <c:v>69.681414324209243</c:v>
                </c:pt>
                <c:pt idx="312">
                  <c:v>70.096696548663118</c:v>
                </c:pt>
                <c:pt idx="313">
                  <c:v>70.512509132042524</c:v>
                </c:pt>
                <c:pt idx="314">
                  <c:v>70.928828956204384</c:v>
                </c:pt>
                <c:pt idx="315">
                  <c:v>71.345632898798641</c:v>
                </c:pt>
                <c:pt idx="316">
                  <c:v>71.762897833700052</c:v>
                </c:pt>
                <c:pt idx="317">
                  <c:v>72.180600631431574</c:v>
                </c:pt>
                <c:pt idx="318">
                  <c:v>72.598718159579434</c:v>
                </c:pt>
                <c:pt idx="319">
                  <c:v>73.017227283199901</c:v>
                </c:pt>
                <c:pt idx="320">
                  <c:v>73.436104865217672</c:v>
                </c:pt>
                <c:pt idx="321">
                  <c:v>73.855329504563855</c:v>
                </c:pt>
                <c:pt idx="322">
                  <c:v>74.274883275510206</c:v>
                </c:pt>
                <c:pt idx="323">
                  <c:v>74.694749990354993</c:v>
                </c:pt>
                <c:pt idx="324">
                  <c:v>75.114913460807088</c:v>
                </c:pt>
                <c:pt idx="325">
                  <c:v>75.535357498167016</c:v>
                </c:pt>
                <c:pt idx="326">
                  <c:v>75.95606591350402</c:v>
                </c:pt>
                <c:pt idx="327">
                  <c:v>76.377022517829033</c:v>
                </c:pt>
                <c:pt idx="328">
                  <c:v>76.798211122263538</c:v>
                </c:pt>
                <c:pt idx="329">
                  <c:v>77.219615538204465</c:v>
                </c:pt>
                <c:pt idx="330">
                  <c:v>77.641219577484989</c:v>
                </c:pt>
                <c:pt idx="331">
                  <c:v>78.063007052531276</c:v>
                </c:pt>
                <c:pt idx="332">
                  <c:v>78.484961776515263</c:v>
                </c:pt>
                <c:pt idx="333">
                  <c:v>78.907067563503318</c:v>
                </c:pt>
                <c:pt idx="334">
                  <c:v>79.329308228600937</c:v>
                </c:pt>
                <c:pt idx="335">
                  <c:v>79.751667588093454</c:v>
                </c:pt>
                <c:pt idx="336">
                  <c:v>80.174129459582616</c:v>
                </c:pt>
                <c:pt idx="337">
                  <c:v>80.596677662119319</c:v>
                </c:pt>
                <c:pt idx="338">
                  <c:v>81.019296016332177</c:v>
                </c:pt>
                <c:pt idx="339">
                  <c:v>81.441968344552208</c:v>
                </c:pt>
                <c:pt idx="340">
                  <c:v>81.864678470933498</c:v>
                </c:pt>
                <c:pt idx="341">
                  <c:v>82.287410221569871</c:v>
                </c:pt>
                <c:pt idx="342">
                  <c:v>82.710147424607527</c:v>
                </c:pt>
                <c:pt idx="343">
                  <c:v>83.132873910353808</c:v>
                </c:pt>
                <c:pt idx="344">
                  <c:v>83.555573511381894</c:v>
                </c:pt>
                <c:pt idx="345">
                  <c:v>83.978230062631553</c:v>
                </c:pt>
                <c:pt idx="346">
                  <c:v>84.400827401505936</c:v>
                </c:pt>
                <c:pt idx="347">
                  <c:v>84.823349367964411</c:v>
                </c:pt>
                <c:pt idx="348">
                  <c:v>85.245779994679538</c:v>
                </c:pt>
                <c:pt idx="349">
                  <c:v>85.668103697256356</c:v>
                </c:pt>
                <c:pt idx="350">
                  <c:v>86.090305084157677</c:v>
                </c:pt>
                <c:pt idx="351">
                  <c:v>86.512368766553777</c:v>
                </c:pt>
                <c:pt idx="352">
                  <c:v>86.934279358385012</c:v>
                </c:pt>
                <c:pt idx="353">
                  <c:v>87.356021476420793</c:v>
                </c:pt>
                <c:pt idx="354">
                  <c:v>87.777579740314991</c:v>
                </c:pt>
                <c:pt idx="355">
                  <c:v>88.198938772657769</c:v>
                </c:pt>
                <c:pt idx="356">
                  <c:v>88.620083199023824</c:v>
                </c:pt>
                <c:pt idx="357">
                  <c:v>89.040997648017068</c:v>
                </c:pt>
                <c:pt idx="358">
                  <c:v>89.461666751311682</c:v>
                </c:pt>
                <c:pt idx="359">
                  <c:v>89.882075143689633</c:v>
                </c:pt>
                <c:pt idx="360">
                  <c:v>90.302211441446616</c:v>
                </c:pt>
                <c:pt idx="361">
                  <c:v>90.722072221761906</c:v>
                </c:pt>
                <c:pt idx="362">
                  <c:v>91.141658041993864</c:v>
                </c:pt>
                <c:pt idx="363">
                  <c:v>91.560969457996634</c:v>
                </c:pt>
                <c:pt idx="364">
                  <c:v>91.980007024125797</c:v>
                </c:pt>
                <c:pt idx="365">
                  <c:v>92.398771293243982</c:v>
                </c:pt>
                <c:pt idx="366">
                  <c:v>92.817262816726455</c:v>
                </c:pt>
                <c:pt idx="367">
                  <c:v>93.235482144466673</c:v>
                </c:pt>
                <c:pt idx="368">
                  <c:v>93.653429824881812</c:v>
                </c:pt>
                <c:pt idx="369">
                  <c:v>94.071106404918297</c:v>
                </c:pt>
                <c:pt idx="370">
                  <c:v>94.488512430057284</c:v>
                </c:pt>
                <c:pt idx="371">
                  <c:v>94.905648444320079</c:v>
                </c:pt>
                <c:pt idx="372">
                  <c:v>95.322514990273618</c:v>
                </c:pt>
                <c:pt idx="373">
                  <c:v>95.739112609035843</c:v>
                </c:pt>
                <c:pt idx="374">
                  <c:v>96.155441840281114</c:v>
                </c:pt>
                <c:pt idx="375">
                  <c:v>96.571503222245525</c:v>
                </c:pt>
                <c:pt idx="376">
                  <c:v>96.987297291732276</c:v>
                </c:pt>
                <c:pt idx="377">
                  <c:v>97.402824584116956</c:v>
                </c:pt>
                <c:pt idx="378">
                  <c:v>97.818085633352837</c:v>
                </c:pt>
                <c:pt idx="379">
                  <c:v>98.233080971976108</c:v>
                </c:pt>
                <c:pt idx="380">
                  <c:v>98.647811131111155</c:v>
                </c:pt>
                <c:pt idx="381">
                  <c:v>99.06227664047573</c:v>
                </c:pt>
                <c:pt idx="382">
                  <c:v>99.476478028386168</c:v>
                </c:pt>
                <c:pt idx="383">
                  <c:v>99.890415821762502</c:v>
                </c:pt>
                <c:pt idx="384">
                  <c:v>100.30409054613366</c:v>
                </c:pt>
                <c:pt idx="385">
                  <c:v>100.71750272564255</c:v>
                </c:pt>
                <c:pt idx="386">
                  <c:v>101.13065288305111</c:v>
                </c:pt>
                <c:pt idx="387">
                  <c:v>101.54354153974549</c:v>
                </c:pt>
                <c:pt idx="388">
                  <c:v>101.95616921574097</c:v>
                </c:pt>
                <c:pt idx="389">
                  <c:v>102.36853642968705</c:v>
                </c:pt>
                <c:pt idx="390">
                  <c:v>102.78064369887245</c:v>
                </c:pt>
                <c:pt idx="391">
                  <c:v>103.19249153923006</c:v>
                </c:pt>
                <c:pt idx="392">
                  <c:v>103.60408046534189</c:v>
                </c:pt>
                <c:pt idx="393">
                  <c:v>104.01541099044404</c:v>
                </c:pt>
                <c:pt idx="394">
                  <c:v>104.42648362643155</c:v>
                </c:pt>
                <c:pt idx="395">
                  <c:v>104.83729888386334</c:v>
                </c:pt>
                <c:pt idx="396">
                  <c:v>105.24785727196705</c:v>
                </c:pt>
                <c:pt idx="397">
                  <c:v>105.65815929864387</c:v>
                </c:pt>
                <c:pt idx="398">
                  <c:v>106.06820547047336</c:v>
                </c:pt>
                <c:pt idx="399">
                  <c:v>106.47799629271827</c:v>
                </c:pt>
                <c:pt idx="400">
                  <c:v>106.88753226932933</c:v>
                </c:pt>
                <c:pt idx="401">
                  <c:v>110.96891446576083</c:v>
                </c:pt>
                <c:pt idx="402">
                  <c:v>115.0251364924391</c:v>
                </c:pt>
                <c:pt idx="403">
                  <c:v>119.05669004260277</c:v>
                </c:pt>
                <c:pt idx="404">
                  <c:v>123.06405430276698</c:v>
                </c:pt>
                <c:pt idx="405">
                  <c:v>127.04769639435445</c:v>
                </c:pt>
                <c:pt idx="406">
                  <c:v>131.00807179598777</c:v>
                </c:pt>
                <c:pt idx="407">
                  <c:v>134.94562474745544</c:v>
                </c:pt>
                <c:pt idx="408">
                  <c:v>138.86078863630254</c:v>
                </c:pt>
                <c:pt idx="409">
                  <c:v>142.75398636793949</c:v>
                </c:pt>
                <c:pt idx="410">
                  <c:v>146.62563072010866</c:v>
                </c:pt>
                <c:pt idx="411">
                  <c:v>150.47612468249883</c:v>
                </c:pt>
                <c:pt idx="412">
                  <c:v>154.30586178225116</c:v>
                </c:pt>
                <c:pt idx="413">
                  <c:v>158.1152263960563</c:v>
                </c:pt>
                <c:pt idx="414">
                  <c:v>161.90459404950258</c:v>
                </c:pt>
                <c:pt idx="415">
                  <c:v>165.67433170429655</c:v>
                </c:pt>
                <c:pt idx="416">
                  <c:v>169.42479803394221</c:v>
                </c:pt>
                <c:pt idx="417">
                  <c:v>173.15634368843183</c:v>
                </c:pt>
                <c:pt idx="418">
                  <c:v>176.86931154847045</c:v>
                </c:pt>
                <c:pt idx="419">
                  <c:v>180.56403696972691</c:v>
                </c:pt>
                <c:pt idx="420">
                  <c:v>184.24084801757715</c:v>
                </c:pt>
                <c:pt idx="421">
                  <c:v>187.90006569277992</c:v>
                </c:pt>
                <c:pt idx="422">
                  <c:v>191.54200414850095</c:v>
                </c:pt>
                <c:pt idx="423">
                  <c:v>195.16697089907953</c:v>
                </c:pt>
                <c:pt idx="424">
                  <c:v>198.77526702090972</c:v>
                </c:pt>
                <c:pt idx="425">
                  <c:v>202.36718734578906</c:v>
                </c:pt>
                <c:pt idx="426">
                  <c:v>205.94302064706883</c:v>
                </c:pt>
                <c:pt idx="427">
                  <c:v>209.50304981892199</c:v>
                </c:pt>
                <c:pt idx="428">
                  <c:v>213.04755204902906</c:v>
                </c:pt>
                <c:pt idx="429">
                  <c:v>216.57679898496588</c:v>
                </c:pt>
                <c:pt idx="430">
                  <c:v>220.09105689456291</c:v>
                </c:pt>
                <c:pt idx="431">
                  <c:v>223.59058682049215</c:v>
                </c:pt>
                <c:pt idx="432">
                  <c:v>227.07564472932364</c:v>
                </c:pt>
                <c:pt idx="433">
                  <c:v>230.54648165528263</c:v>
                </c:pt>
                <c:pt idx="434">
                  <c:v>234.00334383892545</c:v>
                </c:pt>
                <c:pt idx="435">
                  <c:v>237.44647286094201</c:v>
                </c:pt>
                <c:pt idx="436">
                  <c:v>240.87610577128211</c:v>
                </c:pt>
                <c:pt idx="437">
                  <c:v>244.29247521379278</c:v>
                </c:pt>
                <c:pt idx="438">
                  <c:v>247.69580954654461</c:v>
                </c:pt>
                <c:pt idx="439">
                  <c:v>251.08633295801638</c:v>
                </c:pt>
                <c:pt idx="440">
                  <c:v>254.46426557929846</c:v>
                </c:pt>
                <c:pt idx="441">
                  <c:v>257.82982359246779</c:v>
                </c:pt>
                <c:pt idx="442">
                  <c:v>261.18321933527966</c:v>
                </c:pt>
                <c:pt idx="443">
                  <c:v>264.52466140231417</c:v>
                </c:pt>
                <c:pt idx="444">
                  <c:v>267.85435474270827</c:v>
                </c:pt>
                <c:pt idx="445">
                  <c:v>271.17250075459839</c:v>
                </c:pt>
                <c:pt idx="446">
                  <c:v>274.47929737639157</c:v>
                </c:pt>
                <c:pt idx="447">
                  <c:v>277.77493917497759</c:v>
                </c:pt>
                <c:pt idx="448">
                  <c:v>281.05961743098879</c:v>
                </c:pt>
                <c:pt idx="449">
                  <c:v>284.33352022120908</c:v>
                </c:pt>
                <c:pt idx="450">
                  <c:v>287.5968324982278</c:v>
                </c:pt>
                <c:pt idx="451">
                  <c:v>290.84973616742991</c:v>
                </c:pt>
                <c:pt idx="452">
                  <c:v>294.09241016140857</c:v>
                </c:pt>
                <c:pt idx="453">
                  <c:v>297.32503051188166</c:v>
                </c:pt>
                <c:pt idx="454">
                  <c:v>300.54777041918993</c:v>
                </c:pt>
                <c:pt idx="455">
                  <c:v>303.7608003194494</c:v>
                </c:pt>
                <c:pt idx="456">
                  <c:v>306.96428794942665</c:v>
                </c:pt>
                <c:pt idx="457">
                  <c:v>310.15839840920222</c:v>
                </c:pt>
                <c:pt idx="458">
                  <c:v>313.34329422268269</c:v>
                </c:pt>
                <c:pt idx="459">
                  <c:v>316.5191353960185</c:v>
                </c:pt>
                <c:pt idx="460">
                  <c:v>319.68607947398107</c:v>
                </c:pt>
                <c:pt idx="461">
                  <c:v>322.84428159434879</c:v>
                </c:pt>
                <c:pt idx="462">
                  <c:v>325.99389454034804</c:v>
                </c:pt>
                <c:pt idx="463">
                  <c:v>329.13506879119183</c:v>
                </c:pt>
                <c:pt idx="464">
                  <c:v>332.26795257075577</c:v>
                </c:pt>
                <c:pt idx="465">
                  <c:v>335.39269189442621</c:v>
                </c:pt>
                <c:pt idx="466">
                  <c:v>338.50943061415381</c:v>
                </c:pt>
                <c:pt idx="467">
                  <c:v>341.6183104617412</c:v>
                </c:pt>
                <c:pt idx="468">
                  <c:v>344.71947109038996</c:v>
                </c:pt>
                <c:pt idx="469">
                  <c:v>347.8130501145298</c:v>
                </c:pt>
                <c:pt idx="470">
                  <c:v>350.89918314794818</c:v>
                </c:pt>
                <c:pt idx="471">
                  <c:v>353.97800384023611</c:v>
                </c:pt>
                <c:pt idx="472">
                  <c:v>357.04964391156159</c:v>
                </c:pt>
                <c:pt idx="473">
                  <c:v>360.11423318577926</c:v>
                </c:pt>
                <c:pt idx="474">
                  <c:v>363.1718996218811</c:v>
                </c:pt>
                <c:pt idx="475">
                  <c:v>366.22276934378863</c:v>
                </c:pt>
                <c:pt idx="476">
                  <c:v>369.26696666848477</c:v>
                </c:pt>
                <c:pt idx="477">
                  <c:v>372.3046141324777</c:v>
                </c:pt>
                <c:pt idx="478">
                  <c:v>375.33583251658706</c:v>
                </c:pt>
                <c:pt idx="479">
                  <c:v>378.3607408690375</c:v>
                </c:pt>
                <c:pt idx="480">
                  <c:v>381.37945652684039</c:v>
                </c:pt>
                <c:pt idx="481">
                  <c:v>384.3920951354412</c:v>
                </c:pt>
                <c:pt idx="482">
                  <c:v>387.39877066660432</c:v>
                </c:pt>
                <c:pt idx="483">
                  <c:v>390.39959543450334</c:v>
                </c:pt>
                <c:pt idx="484">
                  <c:v>393.39468010997996</c:v>
                </c:pt>
                <c:pt idx="485">
                  <c:v>396.38413373292906</c:v>
                </c:pt>
                <c:pt idx="486">
                  <c:v>399.36806372276402</c:v>
                </c:pt>
                <c:pt idx="487">
                  <c:v>402.34657588690942</c:v>
                </c:pt>
                <c:pt idx="488">
                  <c:v>405.31977442726463</c:v>
                </c:pt>
                <c:pt idx="489">
                  <c:v>408.28776194457544</c:v>
                </c:pt>
                <c:pt idx="490">
                  <c:v>411.25063944064647</c:v>
                </c:pt>
                <c:pt idx="491">
                  <c:v>414.20850631832081</c:v>
                </c:pt>
                <c:pt idx="492">
                  <c:v>417.16146037914922</c:v>
                </c:pt>
                <c:pt idx="493">
                  <c:v>420.10959781866563</c:v>
                </c:pt>
                <c:pt idx="494">
                  <c:v>423.05301321918074</c:v>
                </c:pt>
                <c:pt idx="495">
                  <c:v>425.99179954000181</c:v>
                </c:pt>
                <c:pt idx="496">
                  <c:v>428.92604810498221</c:v>
                </c:pt>
                <c:pt idx="497">
                  <c:v>431.85584858730175</c:v>
                </c:pt>
                <c:pt idx="498">
                  <c:v>434.78128899137624</c:v>
                </c:pt>
                <c:pt idx="499">
                  <c:v>437.70245563179384</c:v>
                </c:pt>
                <c:pt idx="500">
                  <c:v>440.61943310917627</c:v>
                </c:pt>
                <c:pt idx="501">
                  <c:v>443.53230428286543</c:v>
                </c:pt>
                <c:pt idx="502">
                  <c:v>446.44115024033988</c:v>
                </c:pt>
                <c:pt idx="503">
                  <c:v>449.34605026327353</c:v>
                </c:pt>
                <c:pt idx="504">
                  <c:v>452.2470817901588</c:v>
                </c:pt>
                <c:pt idx="505">
                  <c:v>455.14432037543048</c:v>
                </c:pt>
                <c:pt idx="506">
                  <c:v>458.03783964504476</c:v>
                </c:pt>
                <c:pt idx="507">
                  <c:v>460.92771124849179</c:v>
                </c:pt>
                <c:pt idx="508">
                  <c:v>463.81400480724807</c:v>
                </c:pt>
                <c:pt idx="509">
                  <c:v>466.69678785970979</c:v>
                </c:pt>
                <c:pt idx="510">
                  <c:v>469.57612580269097</c:v>
                </c:pt>
                <c:pt idx="511">
                  <c:v>472.45208182961812</c:v>
                </c:pt>
                <c:pt idx="512">
                  <c:v>475.32471686560979</c:v>
                </c:pt>
                <c:pt idx="513">
                  <c:v>478.19408949969392</c:v>
                </c:pt>
                <c:pt idx="514">
                  <c:v>481.0602559144873</c:v>
                </c:pt>
                <c:pt idx="515">
                  <c:v>483.92326981374049</c:v>
                </c:pt>
                <c:pt idx="516">
                  <c:v>486.78318234823593</c:v>
                </c:pt>
                <c:pt idx="517">
                  <c:v>489.64004204061661</c:v>
                </c:pt>
                <c:pt idx="518">
                  <c:v>492.49389470981453</c:v>
                </c:pt>
                <c:pt idx="519">
                  <c:v>495.34478339583933</c:v>
                </c:pt>
                <c:pt idx="520">
                  <c:v>498.19274828577528</c:v>
                </c:pt>
                <c:pt idx="521">
                  <c:v>501.03782664191442</c:v>
                </c:pt>
                <c:pt idx="522">
                  <c:v>503.88005273302224</c:v>
                </c:pt>
                <c:pt idx="523">
                  <c:v>506.7194577697818</c:v>
                </c:pt>
                <c:pt idx="524">
                  <c:v>509.5560698454928</c:v>
                </c:pt>
                <c:pt idx="525">
                  <c:v>512.38991388310433</c:v>
                </c:pt>
                <c:pt idx="526">
                  <c:v>515.22101158963437</c:v>
                </c:pt>
                <c:pt idx="527">
                  <c:v>518.0493814189706</c:v>
                </c:pt>
                <c:pt idx="528">
                  <c:v>520.87503854395595</c:v>
                </c:pt>
                <c:pt idx="529">
                  <c:v>523.69799483853797</c:v>
                </c:pt>
                <c:pt idx="530">
                  <c:v>526.51825887060943</c:v>
                </c:pt>
                <c:pt idx="531">
                  <c:v>529.33583590598869</c:v>
                </c:pt>
                <c:pt idx="532">
                  <c:v>532.15072792379169</c:v>
                </c:pt>
                <c:pt idx="533">
                  <c:v>534.96293364324151</c:v>
                </c:pt>
                <c:pt idx="534">
                  <c:v>537.77244856175173</c:v>
                </c:pt>
                <c:pt idx="535">
                  <c:v>540.57926500391545</c:v>
                </c:pt>
                <c:pt idx="536">
                  <c:v>543.38337218084632</c:v>
                </c:pt>
                <c:pt idx="537">
                  <c:v>546.18475625914903</c:v>
                </c:pt>
                <c:pt idx="538">
                  <c:v>548.98340043865949</c:v>
                </c:pt>
                <c:pt idx="539">
                  <c:v>551.77928503798705</c:v>
                </c:pt>
                <c:pt idx="540">
                  <c:v>554.57238758681797</c:v>
                </c:pt>
                <c:pt idx="541">
                  <c:v>557.36268292389559</c:v>
                </c:pt>
                <c:pt idx="542">
                  <c:v>560.15014329958819</c:v>
                </c:pt>
                <c:pt idx="543">
                  <c:v>562.93473848196834</c:v>
                </c:pt>
                <c:pt idx="544">
                  <c:v>565.71643586537698</c:v>
                </c:pt>
                <c:pt idx="545">
                  <c:v>568.49520058050291</c:v>
                </c:pt>
                <c:pt idx="546">
                  <c:v>571.27099560508941</c:v>
                </c:pt>
                <c:pt idx="547">
                  <c:v>574.04378187446616</c:v>
                </c:pt>
                <c:pt idx="548">
                  <c:v>576.81351839119725</c:v>
                </c:pt>
                <c:pt idx="549">
                  <c:v>579.58016233323247</c:v>
                </c:pt>
                <c:pt idx="550">
                  <c:v>582.34366916004171</c:v>
                </c:pt>
                <c:pt idx="551">
                  <c:v>585.10399271630286</c:v>
                </c:pt>
                <c:pt idx="552">
                  <c:v>587.86108533279753</c:v>
                </c:pt>
                <c:pt idx="553">
                  <c:v>590.61489792424663</c:v>
                </c:pt>
                <c:pt idx="554">
                  <c:v>593.36538008388675</c:v>
                </c:pt>
                <c:pt idx="555">
                  <c:v>596.11248017465141</c:v>
                </c:pt>
                <c:pt idx="556">
                  <c:v>598.85614541687232</c:v>
                </c:pt>
                <c:pt idx="557">
                  <c:v>601.59632197246435</c:v>
                </c:pt>
                <c:pt idx="558">
                  <c:v>604.3329550255952</c:v>
                </c:pt>
                <c:pt idx="559">
                  <c:v>607.0659888598725</c:v>
                </c:pt>
                <c:pt idx="560">
                  <c:v>609.79536693210821</c:v>
                </c:pt>
                <c:pt idx="561">
                  <c:v>612.52103194273968</c:v>
                </c:pt>
                <c:pt idx="562">
                  <c:v>615.24292590300331</c:v>
                </c:pt>
                <c:pt idx="563">
                  <c:v>617.96099019896826</c:v>
                </c:pt>
                <c:pt idx="564">
                  <c:v>620.67516565254618</c:v>
                </c:pt>
                <c:pt idx="565">
                  <c:v>623.38539257959883</c:v>
                </c:pt>
                <c:pt idx="566">
                  <c:v>626.09161084526806</c:v>
                </c:pt>
                <c:pt idx="567">
                  <c:v>628.79375991665324</c:v>
                </c:pt>
                <c:pt idx="568">
                  <c:v>631.49177891296222</c:v>
                </c:pt>
                <c:pt idx="569">
                  <c:v>634.1856066532589</c:v>
                </c:pt>
                <c:pt idx="570">
                  <c:v>636.87518170192766</c:v>
                </c:pt>
                <c:pt idx="571">
                  <c:v>639.56044241197185</c:v>
                </c:pt>
                <c:pt idx="572">
                  <c:v>642.24132696625998</c:v>
                </c:pt>
                <c:pt idx="573">
                  <c:v>644.91777341682678</c:v>
                </c:pt>
                <c:pt idx="574">
                  <c:v>647.58971972233428</c:v>
                </c:pt>
                <c:pt idx="575">
                  <c:v>650.25710378379017</c:v>
                </c:pt>
                <c:pt idx="576">
                  <c:v>652.91986347861882</c:v>
                </c:pt>
                <c:pt idx="577">
                  <c:v>655.57793669317311</c:v>
                </c:pt>
                <c:pt idx="578">
                  <c:v>658.23126135377072</c:v>
                </c:pt>
                <c:pt idx="579">
                  <c:v>660.87977545633521</c:v>
                </c:pt>
                <c:pt idx="580">
                  <c:v>663.52341709471614</c:v>
                </c:pt>
                <c:pt idx="581">
                  <c:v>666.16212448775821</c:v>
                </c:pt>
                <c:pt idx="582">
                  <c:v>668.79583600518595</c:v>
                </c:pt>
                <c:pt idx="583">
                  <c:v>671.42449019236597</c:v>
                </c:pt>
                <c:pt idx="584">
                  <c:v>674.0480257940045</c:v>
                </c:pt>
                <c:pt idx="585">
                  <c:v>676.66638177683546</c:v>
                </c:pt>
                <c:pt idx="586">
                  <c:v>679.27949735134905</c:v>
                </c:pt>
                <c:pt idx="587">
                  <c:v>681.88731199261031</c:v>
                </c:pt>
                <c:pt idx="588">
                  <c:v>684.48976546021049</c:v>
                </c:pt>
                <c:pt idx="589">
                  <c:v>687.086797817395</c:v>
                </c:pt>
                <c:pt idx="590">
                  <c:v>689.6783494494058</c:v>
                </c:pt>
                <c:pt idx="591">
                  <c:v>692.26436108107555</c:v>
                </c:pt>
                <c:pt idx="592">
                  <c:v>694.84477379370821</c:v>
                </c:pt>
                <c:pt idx="593">
                  <c:v>697.41952904127743</c:v>
                </c:pt>
                <c:pt idx="594">
                  <c:v>699.98856866597339</c:v>
                </c:pt>
                <c:pt idx="595">
                  <c:v>702.5518349131263</c:v>
                </c:pt>
                <c:pt idx="596">
                  <c:v>705.10927044553273</c:v>
                </c:pt>
                <c:pt idx="597">
                  <c:v>707.66081835720968</c:v>
                </c:pt>
                <c:pt idx="598">
                  <c:v>710.20642218659941</c:v>
                </c:pt>
                <c:pt idx="599">
                  <c:v>712.74602592924725</c:v>
                </c:pt>
                <c:pt idx="600">
                  <c:v>715.27957404997187</c:v>
                </c:pt>
                <c:pt idx="601">
                  <c:v>717.80701149454853</c:v>
                </c:pt>
                <c:pt idx="602">
                  <c:v>720.3282837009217</c:v>
                </c:pt>
                <c:pt idx="603">
                  <c:v>722.8433366099656</c:v>
                </c:pt>
                <c:pt idx="604">
                  <c:v>725.352116675807</c:v>
                </c:pt>
                <c:pt idx="605">
                  <c:v>727.85457087572672</c:v>
                </c:pt>
                <c:pt idx="606">
                  <c:v>730.35064671965256</c:v>
                </c:pt>
                <c:pt idx="607">
                  <c:v>732.84029225925838</c:v>
                </c:pt>
                <c:pt idx="608">
                  <c:v>735.32345609668016</c:v>
                </c:pt>
                <c:pt idx="609">
                  <c:v>737.80008739286291</c:v>
                </c:pt>
                <c:pt idx="610">
                  <c:v>740.27013587554745</c:v>
                </c:pt>
                <c:pt idx="611">
                  <c:v>742.73355184690979</c:v>
                </c:pt>
                <c:pt idx="612">
                  <c:v>745.19028619086112</c:v>
                </c:pt>
                <c:pt idx="613">
                  <c:v>747.64029038001968</c:v>
                </c:pt>
                <c:pt idx="614">
                  <c:v>750.08351648236237</c:v>
                </c:pt>
                <c:pt idx="615">
                  <c:v>752.5199171675647</c:v>
                </c:pt>
                <c:pt idx="616">
                  <c:v>754.94944571303847</c:v>
                </c:pt>
                <c:pt idx="617">
                  <c:v>757.3720560096732</c:v>
                </c:pt>
                <c:pt idx="618">
                  <c:v>759.78770256728967</c:v>
                </c:pt>
                <c:pt idx="619">
                  <c:v>762.19634051981291</c:v>
                </c:pt>
                <c:pt idx="620">
                  <c:v>764.59792563017061</c:v>
                </c:pt>
                <c:pt idx="621">
                  <c:v>766.99241429492395</c:v>
                </c:pt>
                <c:pt idx="622">
                  <c:v>769.37976354863679</c:v>
                </c:pt>
                <c:pt idx="623">
                  <c:v>771.7599310679891</c:v>
                </c:pt>
                <c:pt idx="624">
                  <c:v>774.13287517564072</c:v>
                </c:pt>
                <c:pt idx="625">
                  <c:v>776.49855484385046</c:v>
                </c:pt>
                <c:pt idx="626">
                  <c:v>778.856929697856</c:v>
                </c:pt>
                <c:pt idx="627">
                  <c:v>781.20796001902011</c:v>
                </c:pt>
                <c:pt idx="628">
                  <c:v>783.55160674774686</c:v>
                </c:pt>
                <c:pt idx="629">
                  <c:v>785.88783148617449</c:v>
                </c:pt>
                <c:pt idx="630">
                  <c:v>788.21659650064737</c:v>
                </c:pt>
                <c:pt idx="631">
                  <c:v>790.53786472397371</c:v>
                </c:pt>
                <c:pt idx="632">
                  <c:v>792.85159975747115</c:v>
                </c:pt>
                <c:pt idx="633">
                  <c:v>795.15776587280641</c:v>
                </c:pt>
                <c:pt idx="634">
                  <c:v>797.45632801363172</c:v>
                </c:pt>
                <c:pt idx="635">
                  <c:v>799.74725179702273</c:v>
                </c:pt>
                <c:pt idx="636">
                  <c:v>802.03050351472132</c:v>
                </c:pt>
                <c:pt idx="637">
                  <c:v>804.30605013418779</c:v>
                </c:pt>
                <c:pt idx="638">
                  <c:v>806.57385929946531</c:v>
                </c:pt>
                <c:pt idx="639">
                  <c:v>808.83389933186061</c:v>
                </c:pt>
                <c:pt idx="640">
                  <c:v>811.08613923044504</c:v>
                </c:pt>
                <c:pt idx="641">
                  <c:v>813.33054867237831</c:v>
                </c:pt>
                <c:pt idx="642">
                  <c:v>815.56709801305942</c:v>
                </c:pt>
                <c:pt idx="643">
                  <c:v>817.79575828610757</c:v>
                </c:pt>
                <c:pt idx="644">
                  <c:v>820.01650120317618</c:v>
                </c:pt>
                <c:pt idx="645">
                  <c:v>822.22929915360419</c:v>
                </c:pt>
                <c:pt idx="646">
                  <c:v>824.43412520390655</c:v>
                </c:pt>
                <c:pt idx="647">
                  <c:v>826.63095309710809</c:v>
                </c:pt>
                <c:pt idx="648">
                  <c:v>828.81975725192353</c:v>
                </c:pt>
                <c:pt idx="649">
                  <c:v>831.00051276178647</c:v>
                </c:pt>
                <c:pt idx="650">
                  <c:v>833.17319539373045</c:v>
                </c:pt>
                <c:pt idx="651">
                  <c:v>835.33778158712562</c:v>
                </c:pt>
                <c:pt idx="652">
                  <c:v>837.49424845227315</c:v>
                </c:pt>
                <c:pt idx="653">
                  <c:v>839.64257376886098</c:v>
                </c:pt>
                <c:pt idx="654">
                  <c:v>841.78273598428336</c:v>
                </c:pt>
                <c:pt idx="655">
                  <c:v>843.91471421182689</c:v>
                </c:pt>
                <c:pt idx="656">
                  <c:v>846.03848822872669</c:v>
                </c:pt>
                <c:pt idx="657">
                  <c:v>848.15403847409493</c:v>
                </c:pt>
                <c:pt idx="658">
                  <c:v>850.26134604672393</c:v>
                </c:pt>
                <c:pt idx="659">
                  <c:v>852.36039270276785</c:v>
                </c:pt>
                <c:pt idx="660">
                  <c:v>854.45116085330505</c:v>
                </c:pt>
                <c:pt idx="661">
                  <c:v>856.53363356178295</c:v>
                </c:pt>
                <c:pt idx="662">
                  <c:v>858.60779454135002</c:v>
                </c:pt>
                <c:pt idx="663">
                  <c:v>860.67362815207571</c:v>
                </c:pt>
                <c:pt idx="664">
                  <c:v>862.73111939806176</c:v>
                </c:pt>
                <c:pt idx="665">
                  <c:v>864.78025392444783</c:v>
                </c:pt>
                <c:pt idx="666">
                  <c:v>866.82101801431281</c:v>
                </c:pt>
                <c:pt idx="667">
                  <c:v>868.85339858547616</c:v>
                </c:pt>
                <c:pt idx="668">
                  <c:v>870.87738318719994</c:v>
                </c:pt>
                <c:pt idx="669">
                  <c:v>872.89295999679564</c:v>
                </c:pt>
                <c:pt idx="670">
                  <c:v>874.90011781613703</c:v>
                </c:pt>
                <c:pt idx="671">
                  <c:v>876.89884606808243</c:v>
                </c:pt>
                <c:pt idx="672">
                  <c:v>878.8891347928087</c:v>
                </c:pt>
                <c:pt idx="673">
                  <c:v>880.87097464405872</c:v>
                </c:pt>
                <c:pt idx="674">
                  <c:v>882.8443568853055</c:v>
                </c:pt>
                <c:pt idx="675">
                  <c:v>884.80927338583524</c:v>
                </c:pt>
                <c:pt idx="676">
                  <c:v>886.76571661675132</c:v>
                </c:pt>
                <c:pt idx="677">
                  <c:v>888.71367964690205</c:v>
                </c:pt>
                <c:pt idx="678">
                  <c:v>890.65315613873406</c:v>
                </c:pt>
                <c:pt idx="679">
                  <c:v>892.58414034407417</c:v>
                </c:pt>
                <c:pt idx="680">
                  <c:v>894.50662709984147</c:v>
                </c:pt>
                <c:pt idx="681">
                  <c:v>896.4206118236923</c:v>
                </c:pt>
                <c:pt idx="682">
                  <c:v>898.32609050960002</c:v>
                </c:pt>
                <c:pt idx="683">
                  <c:v>900.22305972337256</c:v>
                </c:pt>
                <c:pt idx="684">
                  <c:v>902.11151659810901</c:v>
                </c:pt>
                <c:pt idx="685">
                  <c:v>903.99145882959772</c:v>
                </c:pt>
                <c:pt idx="686">
                  <c:v>905.86288467165866</c:v>
                </c:pt>
                <c:pt idx="687">
                  <c:v>907.72579293143167</c:v>
                </c:pt>
                <c:pt idx="688">
                  <c:v>909.58018296461228</c:v>
                </c:pt>
                <c:pt idx="689">
                  <c:v>911.42605467063856</c:v>
                </c:pt>
                <c:pt idx="690">
                  <c:v>913.26340848782945</c:v>
                </c:pt>
                <c:pt idx="691">
                  <c:v>915.0922453884782</c:v>
                </c:pt>
                <c:pt idx="692">
                  <c:v>916.91256687390148</c:v>
                </c:pt>
                <c:pt idx="693">
                  <c:v>918.72437496944713</c:v>
                </c:pt>
                <c:pt idx="694">
                  <c:v>920.5276722194626</c:v>
                </c:pt>
                <c:pt idx="695">
                  <c:v>922.32246168222525</c:v>
                </c:pt>
                <c:pt idx="696">
                  <c:v>924.10874692483708</c:v>
                </c:pt>
                <c:pt idx="697">
                  <c:v>925.88653201808609</c:v>
                </c:pt>
                <c:pt idx="698">
                  <c:v>927.6558215312748</c:v>
                </c:pt>
                <c:pt idx="699">
                  <c:v>929.41662052701975</c:v>
                </c:pt>
                <c:pt idx="700">
                  <c:v>931.16893455602212</c:v>
                </c:pt>
                <c:pt idx="701">
                  <c:v>932.91276965181214</c:v>
                </c:pt>
                <c:pt idx="702">
                  <c:v>934.64813232546919</c:v>
                </c:pt>
                <c:pt idx="703">
                  <c:v>936.37502956031881</c:v>
                </c:pt>
                <c:pt idx="704">
                  <c:v>938.0934688066086</c:v>
                </c:pt>
                <c:pt idx="705">
                  <c:v>939.80345797616508</c:v>
                </c:pt>
                <c:pt idx="706">
                  <c:v>941.50500543703242</c:v>
                </c:pt>
                <c:pt idx="707">
                  <c:v>943.198120008096</c:v>
                </c:pt>
                <c:pt idx="708">
                  <c:v>944.88281095369064</c:v>
                </c:pt>
                <c:pt idx="709">
                  <c:v>946.559087978197</c:v>
                </c:pt>
                <c:pt idx="710">
                  <c:v>948.22696122062621</c:v>
                </c:pt>
                <c:pt idx="711">
                  <c:v>949.88644124919529</c:v>
                </c:pt>
                <c:pt idx="712">
                  <c:v>951.53753905589474</c:v>
                </c:pt>
                <c:pt idx="713">
                  <c:v>953.1802660510491</c:v>
                </c:pt>
                <c:pt idx="714">
                  <c:v>953.1802660510491</c:v>
                </c:pt>
                <c:pt idx="715">
                  <c:v>953.1802660510491</c:v>
                </c:pt>
                <c:pt idx="716">
                  <c:v>953.1802660510491</c:v>
                </c:pt>
                <c:pt idx="717">
                  <c:v>953.1802660510491</c:v>
                </c:pt>
                <c:pt idx="718">
                  <c:v>953.1802660510491</c:v>
                </c:pt>
                <c:pt idx="719">
                  <c:v>953.1802660510491</c:v>
                </c:pt>
                <c:pt idx="720">
                  <c:v>953.1802660510491</c:v>
                </c:pt>
                <c:pt idx="721">
                  <c:v>953.1802660510491</c:v>
                </c:pt>
                <c:pt idx="722">
                  <c:v>953.1802660510491</c:v>
                </c:pt>
                <c:pt idx="723">
                  <c:v>953.1802660510491</c:v>
                </c:pt>
                <c:pt idx="724">
                  <c:v>953.1802660510491</c:v>
                </c:pt>
                <c:pt idx="725">
                  <c:v>953.1802660510491</c:v>
                </c:pt>
                <c:pt idx="726">
                  <c:v>953.1802660510491</c:v>
                </c:pt>
                <c:pt idx="727">
                  <c:v>953.1802660510491</c:v>
                </c:pt>
                <c:pt idx="728">
                  <c:v>953.1802660510491</c:v>
                </c:pt>
                <c:pt idx="729">
                  <c:v>953.1802660510491</c:v>
                </c:pt>
                <c:pt idx="730">
                  <c:v>953.1802660510491</c:v>
                </c:pt>
                <c:pt idx="731">
                  <c:v>953.1802660510491</c:v>
                </c:pt>
                <c:pt idx="732">
                  <c:v>953.1802660510491</c:v>
                </c:pt>
                <c:pt idx="733">
                  <c:v>953.1802660510491</c:v>
                </c:pt>
                <c:pt idx="734">
                  <c:v>953.1802660510491</c:v>
                </c:pt>
                <c:pt idx="735">
                  <c:v>953.1802660510491</c:v>
                </c:pt>
                <c:pt idx="736">
                  <c:v>953.1802660510491</c:v>
                </c:pt>
                <c:pt idx="737">
                  <c:v>953.1802660510491</c:v>
                </c:pt>
                <c:pt idx="738">
                  <c:v>953.1802660510491</c:v>
                </c:pt>
                <c:pt idx="739">
                  <c:v>953.1802660510491</c:v>
                </c:pt>
                <c:pt idx="740">
                  <c:v>953.1802660510491</c:v>
                </c:pt>
                <c:pt idx="741">
                  <c:v>953.1802660510491</c:v>
                </c:pt>
                <c:pt idx="742">
                  <c:v>953.1802660510491</c:v>
                </c:pt>
                <c:pt idx="743">
                  <c:v>953.1802660510491</c:v>
                </c:pt>
                <c:pt idx="744">
                  <c:v>953.1802660510491</c:v>
                </c:pt>
                <c:pt idx="745">
                  <c:v>953.1802660510491</c:v>
                </c:pt>
                <c:pt idx="746">
                  <c:v>953.1802660510491</c:v>
                </c:pt>
                <c:pt idx="747">
                  <c:v>953.1802660510491</c:v>
                </c:pt>
                <c:pt idx="748">
                  <c:v>953.1802660510491</c:v>
                </c:pt>
                <c:pt idx="749">
                  <c:v>953.1802660510491</c:v>
                </c:pt>
                <c:pt idx="750">
                  <c:v>953.1802660510491</c:v>
                </c:pt>
                <c:pt idx="751">
                  <c:v>953.1802660510491</c:v>
                </c:pt>
                <c:pt idx="752">
                  <c:v>953.1802660510491</c:v>
                </c:pt>
                <c:pt idx="753">
                  <c:v>953.1802660510491</c:v>
                </c:pt>
                <c:pt idx="754">
                  <c:v>953.1802660510491</c:v>
                </c:pt>
                <c:pt idx="755">
                  <c:v>953.1802660510491</c:v>
                </c:pt>
                <c:pt idx="756">
                  <c:v>953.1802660510491</c:v>
                </c:pt>
                <c:pt idx="757">
                  <c:v>953.1802660510491</c:v>
                </c:pt>
                <c:pt idx="758">
                  <c:v>953.1802660510491</c:v>
                </c:pt>
                <c:pt idx="759">
                  <c:v>953.1802660510491</c:v>
                </c:pt>
                <c:pt idx="760">
                  <c:v>953.1802660510491</c:v>
                </c:pt>
                <c:pt idx="761">
                  <c:v>953.1802660510491</c:v>
                </c:pt>
                <c:pt idx="762">
                  <c:v>953.1802660510491</c:v>
                </c:pt>
                <c:pt idx="763">
                  <c:v>953.1802660510491</c:v>
                </c:pt>
                <c:pt idx="764">
                  <c:v>953.1802660510491</c:v>
                </c:pt>
                <c:pt idx="765">
                  <c:v>953.1802660510491</c:v>
                </c:pt>
                <c:pt idx="766">
                  <c:v>953.1802660510491</c:v>
                </c:pt>
                <c:pt idx="767">
                  <c:v>953.1802660510491</c:v>
                </c:pt>
                <c:pt idx="768">
                  <c:v>953.1802660510491</c:v>
                </c:pt>
                <c:pt idx="769">
                  <c:v>953.1802660510491</c:v>
                </c:pt>
                <c:pt idx="770">
                  <c:v>953.1802660510491</c:v>
                </c:pt>
                <c:pt idx="771">
                  <c:v>953.1802660510491</c:v>
                </c:pt>
                <c:pt idx="772">
                  <c:v>953.1802660510491</c:v>
                </c:pt>
                <c:pt idx="773">
                  <c:v>953.1802660510491</c:v>
                </c:pt>
                <c:pt idx="774">
                  <c:v>953.1802660510491</c:v>
                </c:pt>
                <c:pt idx="775">
                  <c:v>953.1802660510491</c:v>
                </c:pt>
                <c:pt idx="776">
                  <c:v>953.1802660510491</c:v>
                </c:pt>
                <c:pt idx="777">
                  <c:v>953.1802660510491</c:v>
                </c:pt>
                <c:pt idx="778">
                  <c:v>953.1802660510491</c:v>
                </c:pt>
                <c:pt idx="779">
                  <c:v>953.1802660510491</c:v>
                </c:pt>
                <c:pt idx="780">
                  <c:v>953.1802660510491</c:v>
                </c:pt>
                <c:pt idx="781">
                  <c:v>953.1802660510491</c:v>
                </c:pt>
                <c:pt idx="782">
                  <c:v>953.1802660510491</c:v>
                </c:pt>
                <c:pt idx="783">
                  <c:v>953.1802660510491</c:v>
                </c:pt>
                <c:pt idx="784">
                  <c:v>953.1802660510491</c:v>
                </c:pt>
                <c:pt idx="785">
                  <c:v>953.1802660510491</c:v>
                </c:pt>
                <c:pt idx="786">
                  <c:v>953.1802660510491</c:v>
                </c:pt>
                <c:pt idx="787">
                  <c:v>953.1802660510491</c:v>
                </c:pt>
                <c:pt idx="788">
                  <c:v>953.1802660510491</c:v>
                </c:pt>
                <c:pt idx="789">
                  <c:v>953.1802660510491</c:v>
                </c:pt>
                <c:pt idx="790">
                  <c:v>953.1802660510491</c:v>
                </c:pt>
                <c:pt idx="791">
                  <c:v>953.1802660510491</c:v>
                </c:pt>
                <c:pt idx="792">
                  <c:v>953.1802660510491</c:v>
                </c:pt>
                <c:pt idx="793">
                  <c:v>953.1802660510491</c:v>
                </c:pt>
                <c:pt idx="794">
                  <c:v>953.1802660510491</c:v>
                </c:pt>
                <c:pt idx="795">
                  <c:v>953.1802660510491</c:v>
                </c:pt>
                <c:pt idx="796">
                  <c:v>953.1802660510491</c:v>
                </c:pt>
                <c:pt idx="797">
                  <c:v>953.1802660510491</c:v>
                </c:pt>
                <c:pt idx="798">
                  <c:v>953.1802660510491</c:v>
                </c:pt>
                <c:pt idx="799">
                  <c:v>953.1802660510491</c:v>
                </c:pt>
                <c:pt idx="800">
                  <c:v>953.1802660510491</c:v>
                </c:pt>
                <c:pt idx="801">
                  <c:v>953.1802660510491</c:v>
                </c:pt>
                <c:pt idx="802">
                  <c:v>953.1802660510491</c:v>
                </c:pt>
                <c:pt idx="803">
                  <c:v>953.1802660510491</c:v>
                </c:pt>
                <c:pt idx="804">
                  <c:v>953.1802660510491</c:v>
                </c:pt>
                <c:pt idx="805">
                  <c:v>953.1802660510491</c:v>
                </c:pt>
                <c:pt idx="806">
                  <c:v>953.1802660510491</c:v>
                </c:pt>
                <c:pt idx="807">
                  <c:v>953.1802660510491</c:v>
                </c:pt>
                <c:pt idx="808">
                  <c:v>953.1802660510491</c:v>
                </c:pt>
                <c:pt idx="809">
                  <c:v>953.1802660510491</c:v>
                </c:pt>
                <c:pt idx="810">
                  <c:v>953.1802660510491</c:v>
                </c:pt>
                <c:pt idx="811">
                  <c:v>953.1802660510491</c:v>
                </c:pt>
                <c:pt idx="812">
                  <c:v>953.1802660510491</c:v>
                </c:pt>
                <c:pt idx="813">
                  <c:v>953.1802660510491</c:v>
                </c:pt>
                <c:pt idx="814">
                  <c:v>953.1802660510491</c:v>
                </c:pt>
                <c:pt idx="815">
                  <c:v>953.1802660510491</c:v>
                </c:pt>
                <c:pt idx="816">
                  <c:v>953.1802660510491</c:v>
                </c:pt>
                <c:pt idx="817">
                  <c:v>953.1802660510491</c:v>
                </c:pt>
                <c:pt idx="818">
                  <c:v>953.1802660510491</c:v>
                </c:pt>
                <c:pt idx="819">
                  <c:v>953.1802660510491</c:v>
                </c:pt>
                <c:pt idx="820">
                  <c:v>953.1802660510491</c:v>
                </c:pt>
                <c:pt idx="821">
                  <c:v>953.1802660510491</c:v>
                </c:pt>
                <c:pt idx="822">
                  <c:v>953.1802660510491</c:v>
                </c:pt>
                <c:pt idx="823">
                  <c:v>953.1802660510491</c:v>
                </c:pt>
                <c:pt idx="824">
                  <c:v>953.1802660510491</c:v>
                </c:pt>
                <c:pt idx="825">
                  <c:v>953.1802660510491</c:v>
                </c:pt>
                <c:pt idx="826">
                  <c:v>953.1802660510491</c:v>
                </c:pt>
                <c:pt idx="827">
                  <c:v>953.1802660510491</c:v>
                </c:pt>
                <c:pt idx="828">
                  <c:v>953.1802660510491</c:v>
                </c:pt>
                <c:pt idx="829">
                  <c:v>953.1802660510491</c:v>
                </c:pt>
                <c:pt idx="830">
                  <c:v>953.1802660510491</c:v>
                </c:pt>
                <c:pt idx="831">
                  <c:v>953.1802660510491</c:v>
                </c:pt>
                <c:pt idx="832">
                  <c:v>953.1802660510491</c:v>
                </c:pt>
                <c:pt idx="833">
                  <c:v>953.1802660510491</c:v>
                </c:pt>
                <c:pt idx="834">
                  <c:v>953.1802660510491</c:v>
                </c:pt>
                <c:pt idx="835">
                  <c:v>953.1802660510491</c:v>
                </c:pt>
                <c:pt idx="836">
                  <c:v>953.1802660510491</c:v>
                </c:pt>
                <c:pt idx="837">
                  <c:v>953.1802660510491</c:v>
                </c:pt>
                <c:pt idx="838">
                  <c:v>953.1802660510491</c:v>
                </c:pt>
                <c:pt idx="839">
                  <c:v>953.1802660510491</c:v>
                </c:pt>
                <c:pt idx="840">
                  <c:v>953.1802660510491</c:v>
                </c:pt>
                <c:pt idx="841">
                  <c:v>953.1802660510491</c:v>
                </c:pt>
                <c:pt idx="842">
                  <c:v>953.1802660510491</c:v>
                </c:pt>
                <c:pt idx="843">
                  <c:v>953.1802660510491</c:v>
                </c:pt>
                <c:pt idx="844">
                  <c:v>953.1802660510491</c:v>
                </c:pt>
                <c:pt idx="845">
                  <c:v>953.1802660510491</c:v>
                </c:pt>
                <c:pt idx="846">
                  <c:v>953.1802660510491</c:v>
                </c:pt>
                <c:pt idx="847">
                  <c:v>953.1802660510491</c:v>
                </c:pt>
                <c:pt idx="848">
                  <c:v>953.1802660510491</c:v>
                </c:pt>
                <c:pt idx="849">
                  <c:v>953.1802660510491</c:v>
                </c:pt>
                <c:pt idx="850">
                  <c:v>953.1802660510491</c:v>
                </c:pt>
                <c:pt idx="851">
                  <c:v>953.1802660510491</c:v>
                </c:pt>
                <c:pt idx="852">
                  <c:v>953.1802660510491</c:v>
                </c:pt>
                <c:pt idx="853">
                  <c:v>953.1802660510491</c:v>
                </c:pt>
                <c:pt idx="854">
                  <c:v>953.1802660510491</c:v>
                </c:pt>
                <c:pt idx="855">
                  <c:v>953.1802660510491</c:v>
                </c:pt>
                <c:pt idx="856">
                  <c:v>953.1802660510491</c:v>
                </c:pt>
                <c:pt idx="857">
                  <c:v>953.1802660510491</c:v>
                </c:pt>
                <c:pt idx="858">
                  <c:v>953.1802660510491</c:v>
                </c:pt>
                <c:pt idx="859">
                  <c:v>953.1802660510491</c:v>
                </c:pt>
                <c:pt idx="860">
                  <c:v>953.1802660510491</c:v>
                </c:pt>
                <c:pt idx="861">
                  <c:v>953.1802660510491</c:v>
                </c:pt>
                <c:pt idx="862">
                  <c:v>953.1802660510491</c:v>
                </c:pt>
                <c:pt idx="863">
                  <c:v>953.1802660510491</c:v>
                </c:pt>
                <c:pt idx="864">
                  <c:v>953.1802660510491</c:v>
                </c:pt>
                <c:pt idx="865">
                  <c:v>953.1802660510491</c:v>
                </c:pt>
                <c:pt idx="866">
                  <c:v>953.1802660510491</c:v>
                </c:pt>
                <c:pt idx="867">
                  <c:v>953.1802660510491</c:v>
                </c:pt>
                <c:pt idx="868">
                  <c:v>953.1802660510491</c:v>
                </c:pt>
                <c:pt idx="869">
                  <c:v>953.1802660510491</c:v>
                </c:pt>
                <c:pt idx="870">
                  <c:v>953.1802660510491</c:v>
                </c:pt>
                <c:pt idx="871">
                  <c:v>953.1802660510491</c:v>
                </c:pt>
                <c:pt idx="872">
                  <c:v>953.1802660510491</c:v>
                </c:pt>
                <c:pt idx="873">
                  <c:v>953.1802660510491</c:v>
                </c:pt>
                <c:pt idx="874">
                  <c:v>953.1802660510491</c:v>
                </c:pt>
                <c:pt idx="875">
                  <c:v>953.1802660510491</c:v>
                </c:pt>
                <c:pt idx="876">
                  <c:v>953.1802660510491</c:v>
                </c:pt>
                <c:pt idx="877">
                  <c:v>953.1802660510491</c:v>
                </c:pt>
                <c:pt idx="878">
                  <c:v>953.1802660510491</c:v>
                </c:pt>
                <c:pt idx="879">
                  <c:v>953.1802660510491</c:v>
                </c:pt>
                <c:pt idx="880">
                  <c:v>953.1802660510491</c:v>
                </c:pt>
                <c:pt idx="881">
                  <c:v>953.1802660510491</c:v>
                </c:pt>
                <c:pt idx="882">
                  <c:v>953.1802660510491</c:v>
                </c:pt>
                <c:pt idx="883">
                  <c:v>953.1802660510491</c:v>
                </c:pt>
                <c:pt idx="884">
                  <c:v>953.1802660510491</c:v>
                </c:pt>
                <c:pt idx="885">
                  <c:v>953.1802660510491</c:v>
                </c:pt>
                <c:pt idx="886">
                  <c:v>953.1802660510491</c:v>
                </c:pt>
                <c:pt idx="887">
                  <c:v>953.1802660510491</c:v>
                </c:pt>
                <c:pt idx="888">
                  <c:v>953.1802660510491</c:v>
                </c:pt>
                <c:pt idx="889">
                  <c:v>953.1802660510491</c:v>
                </c:pt>
                <c:pt idx="890">
                  <c:v>953.1802660510491</c:v>
                </c:pt>
                <c:pt idx="891">
                  <c:v>953.1802660510491</c:v>
                </c:pt>
                <c:pt idx="892">
                  <c:v>953.1802660510491</c:v>
                </c:pt>
                <c:pt idx="893">
                  <c:v>953.1802660510491</c:v>
                </c:pt>
                <c:pt idx="894">
                  <c:v>953.1802660510491</c:v>
                </c:pt>
                <c:pt idx="895">
                  <c:v>953.1802660510491</c:v>
                </c:pt>
                <c:pt idx="896">
                  <c:v>953.1802660510491</c:v>
                </c:pt>
                <c:pt idx="897">
                  <c:v>953.1802660510491</c:v>
                </c:pt>
                <c:pt idx="898">
                  <c:v>953.1802660510491</c:v>
                </c:pt>
                <c:pt idx="899">
                  <c:v>953.1802660510491</c:v>
                </c:pt>
                <c:pt idx="900">
                  <c:v>953.1802660510491</c:v>
                </c:pt>
                <c:pt idx="901">
                  <c:v>953.1802660510491</c:v>
                </c:pt>
                <c:pt idx="902">
                  <c:v>953.1802660510491</c:v>
                </c:pt>
                <c:pt idx="903">
                  <c:v>953.1802660510491</c:v>
                </c:pt>
                <c:pt idx="904">
                  <c:v>953.1802660510491</c:v>
                </c:pt>
                <c:pt idx="905">
                  <c:v>953.1802660510491</c:v>
                </c:pt>
                <c:pt idx="906">
                  <c:v>953.1802660510491</c:v>
                </c:pt>
                <c:pt idx="907">
                  <c:v>953.1802660510491</c:v>
                </c:pt>
                <c:pt idx="908">
                  <c:v>953.1802660510491</c:v>
                </c:pt>
                <c:pt idx="909">
                  <c:v>953.1802660510491</c:v>
                </c:pt>
                <c:pt idx="910">
                  <c:v>953.1802660510491</c:v>
                </c:pt>
                <c:pt idx="911">
                  <c:v>953.1802660510491</c:v>
                </c:pt>
                <c:pt idx="912">
                  <c:v>953.1802660510491</c:v>
                </c:pt>
                <c:pt idx="913">
                  <c:v>953.1802660510491</c:v>
                </c:pt>
                <c:pt idx="914">
                  <c:v>953.1802660510491</c:v>
                </c:pt>
                <c:pt idx="915">
                  <c:v>953.1802660510491</c:v>
                </c:pt>
                <c:pt idx="916">
                  <c:v>953.1802660510491</c:v>
                </c:pt>
                <c:pt idx="917">
                  <c:v>953.1802660510491</c:v>
                </c:pt>
                <c:pt idx="918">
                  <c:v>953.1802660510491</c:v>
                </c:pt>
                <c:pt idx="919">
                  <c:v>953.1802660510491</c:v>
                </c:pt>
                <c:pt idx="920">
                  <c:v>953.1802660510491</c:v>
                </c:pt>
                <c:pt idx="921">
                  <c:v>953.1802660510491</c:v>
                </c:pt>
                <c:pt idx="922">
                  <c:v>953.1802660510491</c:v>
                </c:pt>
                <c:pt idx="923">
                  <c:v>953.1802660510491</c:v>
                </c:pt>
                <c:pt idx="924">
                  <c:v>953.1802660510491</c:v>
                </c:pt>
                <c:pt idx="925">
                  <c:v>953.1802660510491</c:v>
                </c:pt>
                <c:pt idx="926">
                  <c:v>953.1802660510491</c:v>
                </c:pt>
                <c:pt idx="927">
                  <c:v>953.1802660510491</c:v>
                </c:pt>
                <c:pt idx="928">
                  <c:v>953.1802660510491</c:v>
                </c:pt>
                <c:pt idx="929">
                  <c:v>953.1802660510491</c:v>
                </c:pt>
                <c:pt idx="930">
                  <c:v>953.1802660510491</c:v>
                </c:pt>
                <c:pt idx="931">
                  <c:v>953.1802660510491</c:v>
                </c:pt>
                <c:pt idx="932">
                  <c:v>953.1802660510491</c:v>
                </c:pt>
                <c:pt idx="933">
                  <c:v>953.1802660510491</c:v>
                </c:pt>
                <c:pt idx="934">
                  <c:v>953.1802660510491</c:v>
                </c:pt>
                <c:pt idx="935">
                  <c:v>953.1802660510491</c:v>
                </c:pt>
                <c:pt idx="936">
                  <c:v>953.1802660510491</c:v>
                </c:pt>
                <c:pt idx="937">
                  <c:v>953.1802660510491</c:v>
                </c:pt>
                <c:pt idx="938">
                  <c:v>953.1802660510491</c:v>
                </c:pt>
                <c:pt idx="939">
                  <c:v>953.1802660510491</c:v>
                </c:pt>
                <c:pt idx="940">
                  <c:v>953.1802660510491</c:v>
                </c:pt>
                <c:pt idx="941">
                  <c:v>953.1802660510491</c:v>
                </c:pt>
                <c:pt idx="942">
                  <c:v>953.1802660510491</c:v>
                </c:pt>
                <c:pt idx="943">
                  <c:v>953.1802660510491</c:v>
                </c:pt>
                <c:pt idx="944">
                  <c:v>953.1802660510491</c:v>
                </c:pt>
                <c:pt idx="945">
                  <c:v>953.1802660510491</c:v>
                </c:pt>
                <c:pt idx="946">
                  <c:v>953.1802660510491</c:v>
                </c:pt>
                <c:pt idx="947">
                  <c:v>953.1802660510491</c:v>
                </c:pt>
                <c:pt idx="948">
                  <c:v>953.1802660510491</c:v>
                </c:pt>
                <c:pt idx="949">
                  <c:v>953.1802660510491</c:v>
                </c:pt>
                <c:pt idx="950">
                  <c:v>953.1802660510491</c:v>
                </c:pt>
                <c:pt idx="951">
                  <c:v>953.1802660510491</c:v>
                </c:pt>
                <c:pt idx="952">
                  <c:v>953.1802660510491</c:v>
                </c:pt>
                <c:pt idx="953">
                  <c:v>953.1802660510491</c:v>
                </c:pt>
                <c:pt idx="954">
                  <c:v>953.1802660510491</c:v>
                </c:pt>
                <c:pt idx="955">
                  <c:v>953.1802660510491</c:v>
                </c:pt>
                <c:pt idx="956">
                  <c:v>953.1802660510491</c:v>
                </c:pt>
                <c:pt idx="957">
                  <c:v>953.1802660510491</c:v>
                </c:pt>
                <c:pt idx="958">
                  <c:v>953.1802660510491</c:v>
                </c:pt>
                <c:pt idx="959">
                  <c:v>953.1802660510491</c:v>
                </c:pt>
                <c:pt idx="960">
                  <c:v>953.1802660510491</c:v>
                </c:pt>
                <c:pt idx="961">
                  <c:v>953.1802660510491</c:v>
                </c:pt>
                <c:pt idx="962">
                  <c:v>953.1802660510491</c:v>
                </c:pt>
                <c:pt idx="963">
                  <c:v>953.1802660510491</c:v>
                </c:pt>
                <c:pt idx="964">
                  <c:v>953.1802660510491</c:v>
                </c:pt>
                <c:pt idx="965">
                  <c:v>953.1802660510491</c:v>
                </c:pt>
                <c:pt idx="966">
                  <c:v>953.1802660510491</c:v>
                </c:pt>
                <c:pt idx="967">
                  <c:v>953.1802660510491</c:v>
                </c:pt>
                <c:pt idx="968">
                  <c:v>953.1802660510491</c:v>
                </c:pt>
                <c:pt idx="969">
                  <c:v>953.1802660510491</c:v>
                </c:pt>
                <c:pt idx="970">
                  <c:v>953.1802660510491</c:v>
                </c:pt>
                <c:pt idx="971">
                  <c:v>953.1802660510491</c:v>
                </c:pt>
                <c:pt idx="972">
                  <c:v>953.1802660510491</c:v>
                </c:pt>
                <c:pt idx="973">
                  <c:v>953.1802660510491</c:v>
                </c:pt>
                <c:pt idx="974">
                  <c:v>953.1802660510491</c:v>
                </c:pt>
                <c:pt idx="975">
                  <c:v>953.1802660510491</c:v>
                </c:pt>
                <c:pt idx="976">
                  <c:v>953.1802660510491</c:v>
                </c:pt>
                <c:pt idx="977">
                  <c:v>953.1802660510491</c:v>
                </c:pt>
                <c:pt idx="978">
                  <c:v>953.1802660510491</c:v>
                </c:pt>
                <c:pt idx="979">
                  <c:v>953.1802660510491</c:v>
                </c:pt>
                <c:pt idx="980">
                  <c:v>953.1802660510491</c:v>
                </c:pt>
                <c:pt idx="981">
                  <c:v>953.1802660510491</c:v>
                </c:pt>
                <c:pt idx="982">
                  <c:v>953.1802660510491</c:v>
                </c:pt>
                <c:pt idx="983">
                  <c:v>953.1802660510491</c:v>
                </c:pt>
                <c:pt idx="984">
                  <c:v>953.1802660510491</c:v>
                </c:pt>
                <c:pt idx="985">
                  <c:v>953.1802660510491</c:v>
                </c:pt>
                <c:pt idx="986">
                  <c:v>953.1802660510491</c:v>
                </c:pt>
                <c:pt idx="987">
                  <c:v>953.1802660510491</c:v>
                </c:pt>
                <c:pt idx="988">
                  <c:v>953.1802660510491</c:v>
                </c:pt>
                <c:pt idx="989">
                  <c:v>953.1802660510491</c:v>
                </c:pt>
                <c:pt idx="990">
                  <c:v>953.1802660510491</c:v>
                </c:pt>
                <c:pt idx="991">
                  <c:v>953.1802660510491</c:v>
                </c:pt>
                <c:pt idx="992">
                  <c:v>953.1802660510491</c:v>
                </c:pt>
                <c:pt idx="993">
                  <c:v>953.1802660510491</c:v>
                </c:pt>
                <c:pt idx="994">
                  <c:v>953.1802660510491</c:v>
                </c:pt>
                <c:pt idx="995">
                  <c:v>953.1802660510491</c:v>
                </c:pt>
                <c:pt idx="996">
                  <c:v>953.1802660510491</c:v>
                </c:pt>
                <c:pt idx="997">
                  <c:v>953.1802660510491</c:v>
                </c:pt>
                <c:pt idx="998">
                  <c:v>953.1802660510491</c:v>
                </c:pt>
                <c:pt idx="999">
                  <c:v>953.1802660510491</c:v>
                </c:pt>
                <c:pt idx="1000">
                  <c:v>953.1802660510491</c:v>
                </c:pt>
              </c:numCache>
            </c:numRef>
          </c:xVal>
          <c:yVal>
            <c:numRef>
              <c:f>Calculs!$AE$4:$AE$1004</c:f>
              <c:numCache>
                <c:formatCode>0</c:formatCode>
                <c:ptCount val="1001"/>
                <c:pt idx="0">
                  <c:v>0</c:v>
                </c:pt>
                <c:pt idx="1">
                  <c:v>0</c:v>
                </c:pt>
                <c:pt idx="2">
                  <c:v>9.256745468933812E-4</c:v>
                </c:pt>
                <c:pt idx="3">
                  <c:v>4.6375098159864465E-3</c:v>
                </c:pt>
                <c:pt idx="4">
                  <c:v>1.3005881763920295E-2</c:v>
                </c:pt>
                <c:pt idx="5">
                  <c:v>2.7902932677719018E-2</c:v>
                </c:pt>
                <c:pt idx="6">
                  <c:v>5.0729494037892092E-2</c:v>
                </c:pt>
                <c:pt idx="7">
                  <c:v>8.1940908218334885E-2</c:v>
                </c:pt>
                <c:pt idx="8">
                  <c:v>0.12151931462913008</c:v>
                </c:pt>
                <c:pt idx="9">
                  <c:v>0.16944677622685986</c:v>
                </c:pt>
                <c:pt idx="10">
                  <c:v>0.22570527978592239</c:v>
                </c:pt>
                <c:pt idx="11">
                  <c:v>0.29027673617222649</c:v>
                </c:pt>
                <c:pt idx="12">
                  <c:v>0.36314298061924566</c:v>
                </c:pt>
                <c:pt idx="13">
                  <c:v>0.44428577300641242</c:v>
                </c:pt>
                <c:pt idx="14">
                  <c:v>0.53368679813983388</c:v>
                </c:pt>
                <c:pt idx="15">
                  <c:v>0.63132766603530943</c:v>
                </c:pt>
                <c:pt idx="16">
                  <c:v>0.7371899122036305</c:v>
                </c:pt>
                <c:pt idx="17">
                  <c:v>0.85125499793814385</c:v>
                </c:pt>
                <c:pt idx="18">
                  <c:v>0.973504310604557</c:v>
                </c:pt>
                <c:pt idx="19">
                  <c:v>1.1039191639329675</c:v>
                </c:pt>
                <c:pt idx="20">
                  <c:v>1.2424807983120951</c:v>
                </c:pt>
                <c:pt idx="21">
                  <c:v>1.3891703810856959</c:v>
                </c:pt>
                <c:pt idx="22">
                  <c:v>1.5439690068511398</c:v>
                </c:pt>
                <c:pt idx="23">
                  <c:v>1.7068576977601289</c:v>
                </c:pt>
                <c:pt idx="24">
                  <c:v>1.8778174038215372</c:v>
                </c:pt>
                <c:pt idx="25">
                  <c:v>2.0568290032063508</c:v>
                </c:pt>
                <c:pt idx="26">
                  <c:v>2.2438733025546869</c:v>
                </c:pt>
                <c:pt idx="27">
                  <c:v>2.4389310372848709</c:v>
                </c:pt>
                <c:pt idx="28">
                  <c:v>2.6419828719045495</c:v>
                </c:pt>
                <c:pt idx="29">
                  <c:v>2.8530094003238204</c:v>
                </c:pt>
                <c:pt idx="30">
                  <c:v>3.0719911461703555</c:v>
                </c:pt>
                <c:pt idx="31">
                  <c:v>3.2989085631064961</c:v>
                </c:pt>
                <c:pt idx="32">
                  <c:v>3.5337420351482973</c:v>
                </c:pt>
                <c:pt idx="33">
                  <c:v>3.7764718769865033</c:v>
                </c:pt>
                <c:pt idx="34">
                  <c:v>4.0270783343094267</c:v>
                </c:pt>
                <c:pt idx="35">
                  <c:v>4.2855267870942164</c:v>
                </c:pt>
                <c:pt idx="36">
                  <c:v>4.5517820584966753</c:v>
                </c:pt>
                <c:pt idx="37">
                  <c:v>4.8258232181161596</c:v>
                </c:pt>
                <c:pt idx="38">
                  <c:v>5.1076292862374588</c:v>
                </c:pt>
                <c:pt idx="39">
                  <c:v>5.3971792401500984</c:v>
                </c:pt>
                <c:pt idx="40">
                  <c:v>5.6944520133574148</c:v>
                </c:pt>
                <c:pt idx="41">
                  <c:v>5.9994264948718143</c:v>
                </c:pt>
                <c:pt idx="42">
                  <c:v>6.3120815285877736</c:v>
                </c:pt>
                <c:pt idx="43">
                  <c:v>6.6323959127251593</c:v>
                </c:pt>
                <c:pt idx="44">
                  <c:v>6.960348399336354</c:v>
                </c:pt>
                <c:pt idx="45">
                  <c:v>7.2959176938714139</c:v>
                </c:pt>
                <c:pt idx="46">
                  <c:v>7.6390824547961556</c:v>
                </c:pt>
                <c:pt idx="47">
                  <c:v>7.9898212932586299</c:v>
                </c:pt>
                <c:pt idx="48">
                  <c:v>8.3481127727999347</c:v>
                </c:pt>
                <c:pt idx="49">
                  <c:v>8.7139354091057477</c:v>
                </c:pt>
                <c:pt idx="50">
                  <c:v>9.087267669795331</c:v>
                </c:pt>
                <c:pt idx="51">
                  <c:v>9.4680904607792051</c:v>
                </c:pt>
                <c:pt idx="52">
                  <c:v>9.8563896156349617</c:v>
                </c:pt>
                <c:pt idx="53">
                  <c:v>10.252153413149001</c:v>
                </c:pt>
                <c:pt idx="54">
                  <c:v>10.6553700918227</c:v>
                </c:pt>
                <c:pt idx="55">
                  <c:v>11.066027849655297</c:v>
                </c:pt>
                <c:pt idx="56">
                  <c:v>11.484114843947582</c:v>
                </c:pt>
                <c:pt idx="57">
                  <c:v>11.909619191125028</c:v>
                </c:pt>
                <c:pt idx="58">
                  <c:v>12.342528966579124</c:v>
                </c:pt>
                <c:pt idx="59">
                  <c:v>12.782832204525784</c:v>
                </c:pt>
                <c:pt idx="60">
                  <c:v>13.230516897879768</c:v>
                </c:pt>
                <c:pt idx="61">
                  <c:v>13.685570998144183</c:v>
                </c:pt>
                <c:pt idx="62">
                  <c:v>14.147982415314159</c:v>
                </c:pt>
                <c:pt idx="63">
                  <c:v>14.617739017793911</c:v>
                </c:pt>
                <c:pt idx="64">
                  <c:v>15.094828632326408</c:v>
                </c:pt>
                <c:pt idx="65">
                  <c:v>15.57923904393499</c:v>
                </c:pt>
                <c:pt idx="66">
                  <c:v>16.07095799587626</c:v>
                </c:pt>
                <c:pt idx="67">
                  <c:v>16.569973189603672</c:v>
                </c:pt>
                <c:pt idx="68">
                  <c:v>17.076272284741261</c:v>
                </c:pt>
                <c:pt idx="69">
                  <c:v>17.589842899067008</c:v>
                </c:pt>
                <c:pt idx="70">
                  <c:v>18.110672608505332</c:v>
                </c:pt>
                <c:pt idx="71">
                  <c:v>18.63874894712832</c:v>
                </c:pt>
                <c:pt idx="72">
                  <c:v>19.174059407165217</c:v>
                </c:pt>
                <c:pt idx="73">
                  <c:v>19.716591439019826</c:v>
                </c:pt>
                <c:pt idx="74">
                  <c:v>20.266332451295462</c:v>
                </c:pt>
                <c:pt idx="75">
                  <c:v>20.823269810827078</c:v>
                </c:pt>
                <c:pt idx="76">
                  <c:v>21.387390842720297</c:v>
                </c:pt>
                <c:pt idx="77">
                  <c:v>21.95868283039702</c:v>
                </c:pt>
                <c:pt idx="78">
                  <c:v>22.537133015647321</c:v>
                </c:pt>
                <c:pt idx="79">
                  <c:v>23.122728598687409</c:v>
                </c:pt>
                <c:pt idx="80">
                  <c:v>23.715456738223363</c:v>
                </c:pt>
                <c:pt idx="81">
                  <c:v>24.31530455152042</c:v>
                </c:pt>
                <c:pt idx="82">
                  <c:v>24.922259114477619</c:v>
                </c:pt>
                <c:pt idx="83">
                  <c:v>25.536307461707565</c:v>
                </c:pt>
                <c:pt idx="84">
                  <c:v>26.157436586621124</c:v>
                </c:pt>
                <c:pt idx="85">
                  <c:v>26.785633441516868</c:v>
                </c:pt>
                <c:pt idx="86">
                  <c:v>27.420884937675105</c:v>
                </c:pt>
                <c:pt idx="87">
                  <c:v>28.063177945456289</c:v>
                </c:pt>
                <c:pt idx="88">
                  <c:v>28.712499294403703</c:v>
                </c:pt>
                <c:pt idx="89">
                  <c:v>29.368835773350227</c:v>
                </c:pt>
                <c:pt idx="90">
                  <c:v>30.032174130529068</c:v>
                </c:pt>
                <c:pt idx="91">
                  <c:v>30.702501073688307</c:v>
                </c:pt>
                <c:pt idx="92">
                  <c:v>31.379803270209145</c:v>
                </c:pt>
                <c:pt idx="93">
                  <c:v>32.064067347227706</c:v>
                </c:pt>
                <c:pt idx="94">
                  <c:v>32.75527989176031</c:v>
                </c:pt>
                <c:pt idx="95">
                  <c:v>33.453427450832081</c:v>
                </c:pt>
                <c:pt idx="96">
                  <c:v>34.158496531608776</c:v>
                </c:pt>
                <c:pt idx="97">
                  <c:v>34.870473601531785</c:v>
                </c:pt>
                <c:pt idx="98">
                  <c:v>35.589345088456128</c:v>
                </c:pt>
                <c:pt idx="99">
                  <c:v>36.315097380791421</c:v>
                </c:pt>
                <c:pt idx="100">
                  <c:v>37.047716827645679</c:v>
                </c:pt>
                <c:pt idx="101">
                  <c:v>37.787188597185938</c:v>
                </c:pt>
                <c:pt idx="102">
                  <c:v>38.533495533942798</c:v>
                </c:pt>
                <c:pt idx="103">
                  <c:v>39.286619299474474</c:v>
                </c:pt>
                <c:pt idx="104">
                  <c:v>40.04654151413277</c:v>
                </c:pt>
                <c:pt idx="105">
                  <c:v>40.813243757301436</c:v>
                </c:pt>
                <c:pt idx="106">
                  <c:v>41.586707567636964</c:v>
                </c:pt>
                <c:pt idx="107">
                  <c:v>42.366914443311806</c:v>
                </c:pt>
                <c:pt idx="108">
                  <c:v>43.153845842259891</c:v>
                </c:pt>
                <c:pt idx="109">
                  <c:v>43.947483182424349</c:v>
                </c:pt>
                <c:pt idx="110">
                  <c:v>44.74780784200744</c:v>
                </c:pt>
                <c:pt idx="111">
                  <c:v>45.554801159722523</c:v>
                </c:pt>
                <c:pt idx="112">
                  <c:v>46.368444435048083</c:v>
                </c:pt>
                <c:pt idx="113">
                  <c:v>47.188718928483702</c:v>
                </c:pt>
                <c:pt idx="114">
                  <c:v>48.015605861807899</c:v>
                </c:pt>
                <c:pt idx="115">
                  <c:v>48.849086418337819</c:v>
                </c:pt>
                <c:pt idx="116">
                  <c:v>49.689141743190675</c:v>
                </c:pt>
                <c:pt idx="117">
                  <c:v>50.535752943546903</c:v>
                </c:pt>
                <c:pt idx="118">
                  <c:v>51.38890108891497</c:v>
                </c:pt>
                <c:pt idx="119">
                  <c:v>52.248567211397784</c:v>
                </c:pt>
                <c:pt idx="120">
                  <c:v>53.114732305960622</c:v>
                </c:pt>
                <c:pt idx="121">
                  <c:v>53.987377330700575</c:v>
                </c:pt>
                <c:pt idx="122">
                  <c:v>54.866483207117412</c:v>
                </c:pt>
                <c:pt idx="123">
                  <c:v>55.752030820385855</c:v>
                </c:pt>
                <c:pt idx="124">
                  <c:v>56.644001019629179</c:v>
                </c:pt>
                <c:pt idx="125">
                  <c:v>57.542374618194117</c:v>
                </c:pt>
                <c:pt idx="126">
                  <c:v>58.447132393927006</c:v>
                </c:pt>
                <c:pt idx="127">
                  <c:v>59.358255089451163</c:v>
                </c:pt>
                <c:pt idx="128">
                  <c:v>60.27572341244538</c:v>
                </c:pt>
                <c:pt idx="129">
                  <c:v>61.199518035923589</c:v>
                </c:pt>
                <c:pt idx="130">
                  <c:v>62.129619598515568</c:v>
                </c:pt>
                <c:pt idx="131">
                  <c:v>63.066008704748711</c:v>
                </c:pt>
                <c:pt idx="132">
                  <c:v>64.008665925330774</c:v>
                </c:pt>
                <c:pt idx="133">
                  <c:v>64.957571797433602</c:v>
                </c:pt>
                <c:pt idx="134">
                  <c:v>65.912706824977775</c:v>
                </c:pt>
                <c:pt idx="135">
                  <c:v>66.874051478918133</c:v>
                </c:pt>
                <c:pt idx="136">
                  <c:v>67.841586197530134</c:v>
                </c:pt>
                <c:pt idx="137">
                  <c:v>68.815291386697083</c:v>
                </c:pt>
                <c:pt idx="138">
                  <c:v>69.795147420198063</c:v>
                </c:pt>
                <c:pt idx="139">
                  <c:v>70.781134639996679</c:v>
                </c:pt>
                <c:pt idx="140">
                  <c:v>71.773233356530483</c:v>
                </c:pt>
                <c:pt idx="141">
                  <c:v>72.771423849001081</c:v>
                </c:pt>
                <c:pt idx="142">
                  <c:v>73.775686365664882</c:v>
                </c:pt>
                <c:pt idx="143">
                  <c:v>74.786001124124482</c:v>
                </c:pt>
                <c:pt idx="144">
                  <c:v>75.802348311620591</c:v>
                </c:pt>
                <c:pt idx="145">
                  <c:v>76.824708085324573</c:v>
                </c:pt>
                <c:pt idx="146">
                  <c:v>77.853060572631492</c:v>
                </c:pt>
                <c:pt idx="147">
                  <c:v>78.887385871453588</c:v>
                </c:pt>
                <c:pt idx="148">
                  <c:v>79.927664050514309</c:v>
                </c:pt>
                <c:pt idx="149">
                  <c:v>80.973875149642751</c:v>
                </c:pt>
                <c:pt idx="150">
                  <c:v>82.025999180068482</c:v>
                </c:pt>
                <c:pt idx="151">
                  <c:v>83.084016511940348</c:v>
                </c:pt>
                <c:pt idx="152">
                  <c:v>84.147908262059872</c:v>
                </c:pt>
                <c:pt idx="153">
                  <c:v>85.217655907115997</c:v>
                </c:pt>
                <c:pt idx="154">
                  <c:v>86.293240896692211</c:v>
                </c:pt>
                <c:pt idx="155">
                  <c:v>87.374644653535711</c:v>
                </c:pt>
                <c:pt idx="156">
                  <c:v>88.461848573826828</c:v>
                </c:pt>
                <c:pt idx="157">
                  <c:v>89.554834027448891</c:v>
                </c:pt>
                <c:pt idx="158">
                  <c:v>90.653582358258248</c:v>
                </c:pt>
                <c:pt idx="159">
                  <c:v>91.758074884354642</c:v>
                </c:pt>
                <c:pt idx="160">
                  <c:v>92.868292898351797</c:v>
                </c:pt>
                <c:pt idx="161">
                  <c:v>93.984217667648238</c:v>
                </c:pt>
                <c:pt idx="162">
                  <c:v>95.105830434698305</c:v>
                </c:pt>
                <c:pt idx="163">
                  <c:v>96.233112417283337</c:v>
                </c:pt>
                <c:pt idx="164">
                  <c:v>97.366044808783087</c:v>
                </c:pt>
                <c:pt idx="165">
                  <c:v>98.504608778447135</c:v>
                </c:pt>
                <c:pt idx="166">
                  <c:v>99.648785471666585</c:v>
                </c:pt>
                <c:pt idx="167">
                  <c:v>100.79855601024575</c:v>
                </c:pt>
                <c:pt idx="168">
                  <c:v>101.95390149267392</c:v>
                </c:pt>
                <c:pt idx="169">
                  <c:v>103.11480299439731</c:v>
                </c:pt>
                <c:pt idx="170">
                  <c:v>104.28124156809086</c:v>
                </c:pt>
                <c:pt idx="171">
                  <c:v>105.45319824393022</c:v>
                </c:pt>
                <c:pt idx="172">
                  <c:v>106.63065402986365</c:v>
                </c:pt>
                <c:pt idx="173">
                  <c:v>107.81358991188395</c:v>
                </c:pt>
                <c:pt idx="174">
                  <c:v>109.00198685430033</c:v>
                </c:pt>
                <c:pt idx="175">
                  <c:v>110.19582580001023</c:v>
                </c:pt>
                <c:pt idx="176">
                  <c:v>111.39508767077106</c:v>
                </c:pt>
                <c:pt idx="177">
                  <c:v>112.59975336747193</c:v>
                </c:pt>
                <c:pt idx="178">
                  <c:v>113.80980377040517</c:v>
                </c:pt>
                <c:pt idx="179">
                  <c:v>115.02521973953775</c:v>
                </c:pt>
                <c:pt idx="180">
                  <c:v>116.24598211478263</c:v>
                </c:pt>
                <c:pt idx="181">
                  <c:v>117.47207171626994</c:v>
                </c:pt>
                <c:pt idx="182">
                  <c:v>118.70346934461783</c:v>
                </c:pt>
                <c:pt idx="183">
                  <c:v>119.94015578120342</c:v>
                </c:pt>
                <c:pt idx="184">
                  <c:v>121.18211178843325</c:v>
                </c:pt>
                <c:pt idx="185">
                  <c:v>122.42931811001372</c:v>
                </c:pt>
                <c:pt idx="186">
                  <c:v>123.68175547122119</c:v>
                </c:pt>
                <c:pt idx="187">
                  <c:v>124.93940457917186</c:v>
                </c:pt>
                <c:pt idx="188">
                  <c:v>126.20224612309134</c:v>
                </c:pt>
                <c:pt idx="189">
                  <c:v>127.47026077458401</c:v>
                </c:pt>
                <c:pt idx="190">
                  <c:v>128.743429187902</c:v>
                </c:pt>
                <c:pt idx="191">
                  <c:v>130.02173200021394</c:v>
                </c:pt>
                <c:pt idx="192">
                  <c:v>131.30514983187334</c:v>
                </c:pt>
                <c:pt idx="193">
                  <c:v>132.59366328668654</c:v>
                </c:pt>
                <c:pt idx="194">
                  <c:v>133.88725295218046</c:v>
                </c:pt>
                <c:pt idx="195">
                  <c:v>135.18589939986992</c:v>
                </c:pt>
                <c:pt idx="196">
                  <c:v>136.48958318552445</c:v>
                </c:pt>
                <c:pt idx="197">
                  <c:v>137.79828484943494</c:v>
                </c:pt>
                <c:pt idx="198">
                  <c:v>139.11198491667957</c:v>
                </c:pt>
                <c:pt idx="199">
                  <c:v>140.43066389738965</c:v>
                </c:pt>
                <c:pt idx="200">
                  <c:v>141.75430228701472</c:v>
                </c:pt>
                <c:pt idx="201">
                  <c:v>143.08288056658739</c:v>
                </c:pt>
                <c:pt idx="202">
                  <c:v>144.4163792029876</c:v>
                </c:pt>
                <c:pt idx="203">
                  <c:v>145.75477864920646</c:v>
                </c:pt>
                <c:pt idx="204">
                  <c:v>147.09805934460957</c:v>
                </c:pt>
                <c:pt idx="205">
                  <c:v>148.44620171519983</c:v>
                </c:pt>
                <c:pt idx="206">
                  <c:v>149.79918617387975</c:v>
                </c:pt>
                <c:pt idx="207">
                  <c:v>151.15699312071314</c:v>
                </c:pt>
                <c:pt idx="208">
                  <c:v>152.51960294318641</c:v>
                </c:pt>
                <c:pt idx="209">
                  <c:v>153.8869960164692</c:v>
                </c:pt>
                <c:pt idx="210">
                  <c:v>155.25915270367437</c:v>
                </c:pt>
                <c:pt idx="211">
                  <c:v>156.63605335611771</c:v>
                </c:pt>
                <c:pt idx="212">
                  <c:v>158.0176783135766</c:v>
                </c:pt>
                <c:pt idx="213">
                  <c:v>159.40400790454851</c:v>
                </c:pt>
                <c:pt idx="214">
                  <c:v>160.79502244650854</c:v>
                </c:pt>
                <c:pt idx="215">
                  <c:v>162.19070224616658</c:v>
                </c:pt>
                <c:pt idx="216">
                  <c:v>163.59102759972367</c:v>
                </c:pt>
                <c:pt idx="217">
                  <c:v>164.99597879312779</c:v>
                </c:pt>
                <c:pt idx="218">
                  <c:v>166.40553610232888</c:v>
                </c:pt>
                <c:pt idx="219">
                  <c:v>167.8196797935334</c:v>
                </c:pt>
                <c:pt idx="220">
                  <c:v>169.23839012345795</c:v>
                </c:pt>
                <c:pt idx="221">
                  <c:v>170.6616473395824</c:v>
                </c:pt>
                <c:pt idx="222">
                  <c:v>172.08943168040216</c:v>
                </c:pt>
                <c:pt idx="223">
                  <c:v>173.52172337567987</c:v>
                </c:pt>
                <c:pt idx="224">
                  <c:v>174.95850264669625</c:v>
                </c:pt>
                <c:pt idx="225">
                  <c:v>176.3997497065003</c:v>
                </c:pt>
                <c:pt idx="226">
                  <c:v>177.8454447601587</c:v>
                </c:pt>
                <c:pt idx="227">
                  <c:v>179.2955680050045</c:v>
                </c:pt>
                <c:pt idx="228">
                  <c:v>180.75009963088493</c:v>
                </c:pt>
                <c:pt idx="229">
                  <c:v>182.20901982040863</c:v>
                </c:pt>
                <c:pt idx="230">
                  <c:v>183.6723087491919</c:v>
                </c:pt>
                <c:pt idx="231">
                  <c:v>185.13994658610432</c:v>
                </c:pt>
                <c:pt idx="232">
                  <c:v>186.61191349351341</c:v>
                </c:pt>
                <c:pt idx="233">
                  <c:v>188.08818962752864</c:v>
                </c:pt>
                <c:pt idx="234">
                  <c:v>189.56875513824446</c:v>
                </c:pt>
                <c:pt idx="235">
                  <c:v>191.05359016998258</c:v>
                </c:pt>
                <c:pt idx="236">
                  <c:v>192.5426748615335</c:v>
                </c:pt>
                <c:pt idx="237">
                  <c:v>194.03598934639697</c:v>
                </c:pt>
                <c:pt idx="238">
                  <c:v>195.53351375302185</c:v>
                </c:pt>
                <c:pt idx="239">
                  <c:v>197.03522820504486</c:v>
                </c:pt>
                <c:pt idx="240">
                  <c:v>198.54111282152866</c:v>
                </c:pt>
                <c:pt idx="241">
                  <c:v>200.05114771719892</c:v>
                </c:pt>
                <c:pt idx="242">
                  <c:v>201.5653130026806</c:v>
                </c:pt>
                <c:pt idx="243">
                  <c:v>203.08358878473322</c:v>
                </c:pt>
                <c:pt idx="244">
                  <c:v>204.60595516648539</c:v>
                </c:pt>
                <c:pt idx="245">
                  <c:v>206.13239224766815</c:v>
                </c:pt>
                <c:pt idx="246">
                  <c:v>207.66288012484779</c:v>
                </c:pt>
                <c:pt idx="247">
                  <c:v>209.19739889165731</c:v>
                </c:pt>
                <c:pt idx="248">
                  <c:v>210.73592863902732</c:v>
                </c:pt>
                <c:pt idx="249">
                  <c:v>212.27844945541574</c:v>
                </c:pt>
                <c:pt idx="250">
                  <c:v>213.82494142703666</c:v>
                </c:pt>
                <c:pt idx="251">
                  <c:v>215.37538297758087</c:v>
                </c:pt>
                <c:pt idx="252">
                  <c:v>216.92974920816016</c:v>
                </c:pt>
                <c:pt idx="253">
                  <c:v>218.48801355941092</c:v>
                </c:pt>
                <c:pt idx="254">
                  <c:v>220.05014947342033</c:v>
                </c:pt>
                <c:pt idx="255">
                  <c:v>221.61613039404745</c:v>
                </c:pt>
                <c:pt idx="256">
                  <c:v>223.18592976724236</c:v>
                </c:pt>
                <c:pt idx="257">
                  <c:v>224.75952104136377</c:v>
                </c:pt>
                <c:pt idx="258">
                  <c:v>226.33687766749455</c:v>
                </c:pt>
                <c:pt idx="259">
                  <c:v>227.9179730997557</c:v>
                </c:pt>
                <c:pt idx="260">
                  <c:v>229.50278079561838</c:v>
                </c:pt>
                <c:pt idx="261">
                  <c:v>231.09127421621412</c:v>
                </c:pt>
                <c:pt idx="262">
                  <c:v>232.68342682664326</c:v>
                </c:pt>
                <c:pt idx="263">
                  <c:v>234.27921209628161</c:v>
                </c:pt>
                <c:pt idx="264">
                  <c:v>235.87860349908507</c:v>
                </c:pt>
                <c:pt idx="265">
                  <c:v>237.48157451389264</c:v>
                </c:pt>
                <c:pt idx="266">
                  <c:v>239.08809862472737</c:v>
                </c:pt>
                <c:pt idx="267">
                  <c:v>240.69814932109557</c:v>
                </c:pt>
                <c:pt idx="268">
                  <c:v>242.31170009828421</c:v>
                </c:pt>
                <c:pt idx="269">
                  <c:v>243.92872445765616</c:v>
                </c:pt>
                <c:pt idx="270">
                  <c:v>245.54919590694396</c:v>
                </c:pt>
                <c:pt idx="271">
                  <c:v>247.1730879605413</c:v>
                </c:pt>
                <c:pt idx="272">
                  <c:v>248.80037413979289</c:v>
                </c:pt>
                <c:pt idx="273">
                  <c:v>250.43102797328234</c:v>
                </c:pt>
                <c:pt idx="274">
                  <c:v>252.06502299711804</c:v>
                </c:pt>
                <c:pt idx="275">
                  <c:v>253.70233275521727</c:v>
                </c:pt>
                <c:pt idx="276">
                  <c:v>255.34293079958832</c:v>
                </c:pt>
                <c:pt idx="277">
                  <c:v>256.98679069061069</c:v>
                </c:pt>
                <c:pt idx="278">
                  <c:v>258.63388599731343</c:v>
                </c:pt>
                <c:pt idx="279">
                  <c:v>260.28419029765138</c:v>
                </c:pt>
                <c:pt idx="280">
                  <c:v>261.93767717877972</c:v>
                </c:pt>
                <c:pt idx="281">
                  <c:v>263.59432023732637</c:v>
                </c:pt>
                <c:pt idx="282">
                  <c:v>265.25409307966254</c:v>
                </c:pt>
                <c:pt idx="283">
                  <c:v>266.91696932217133</c:v>
                </c:pt>
                <c:pt idx="284">
                  <c:v>268.58292259151432</c:v>
                </c:pt>
                <c:pt idx="285">
                  <c:v>270.25192652489631</c:v>
                </c:pt>
                <c:pt idx="286">
                  <c:v>271.92395477032801</c:v>
                </c:pt>
                <c:pt idx="287">
                  <c:v>273.59898098688683</c:v>
                </c:pt>
                <c:pt idx="288">
                  <c:v>275.27697884497559</c:v>
                </c:pt>
                <c:pt idx="289">
                  <c:v>276.95792202657935</c:v>
                </c:pt>
                <c:pt idx="290">
                  <c:v>278.64178422552044</c:v>
                </c:pt>
                <c:pt idx="291">
                  <c:v>280.32853914771118</c:v>
                </c:pt>
                <c:pt idx="292">
                  <c:v>282.01816051140474</c:v>
                </c:pt>
                <c:pt idx="293">
                  <c:v>283.71062204744419</c:v>
                </c:pt>
                <c:pt idx="294">
                  <c:v>285.40589749950936</c:v>
                </c:pt>
                <c:pt idx="295">
                  <c:v>287.10396062436195</c:v>
                </c:pt>
                <c:pt idx="296">
                  <c:v>288.80478519208827</c:v>
                </c:pt>
                <c:pt idx="297">
                  <c:v>290.50834498634043</c:v>
                </c:pt>
                <c:pt idx="298">
                  <c:v>292.21459562740074</c:v>
                </c:pt>
                <c:pt idx="299">
                  <c:v>293.92345640434559</c:v>
                </c:pt>
                <c:pt idx="300">
                  <c:v>295.63482847891555</c:v>
                </c:pt>
                <c:pt idx="301">
                  <c:v>297.34861308113682</c:v>
                </c:pt>
                <c:pt idx="302">
                  <c:v>299.06471151124941</c:v>
                </c:pt>
                <c:pt idx="303">
                  <c:v>300.7830251416097</c:v>
                </c:pt>
                <c:pt idx="304">
                  <c:v>302.50345541856706</c:v>
                </c:pt>
                <c:pt idx="305">
                  <c:v>304.22590386431477</c:v>
                </c:pt>
                <c:pt idx="306">
                  <c:v>305.95027207871522</c:v>
                </c:pt>
                <c:pt idx="307">
                  <c:v>307.67646174109876</c:v>
                </c:pt>
                <c:pt idx="308">
                  <c:v>309.40437461203737</c:v>
                </c:pt>
                <c:pt idx="309">
                  <c:v>311.13391253509172</c:v>
                </c:pt>
                <c:pt idx="310">
                  <c:v>312.86497743853306</c:v>
                </c:pt>
                <c:pt idx="311">
                  <c:v>314.59747133703848</c:v>
                </c:pt>
                <c:pt idx="312">
                  <c:v>316.33129633336114</c:v>
                </c:pt>
                <c:pt idx="313">
                  <c:v>318.06635461997382</c:v>
                </c:pt>
                <c:pt idx="314">
                  <c:v>319.80254848068722</c:v>
                </c:pt>
                <c:pt idx="315">
                  <c:v>321.53978029224214</c:v>
                </c:pt>
                <c:pt idx="316">
                  <c:v>323.277952525876</c:v>
                </c:pt>
                <c:pt idx="317">
                  <c:v>325.01696774886341</c:v>
                </c:pt>
                <c:pt idx="318">
                  <c:v>326.75672862603125</c:v>
                </c:pt>
                <c:pt idx="319">
                  <c:v>328.49713792124788</c:v>
                </c:pt>
                <c:pt idx="320">
                  <c:v>330.23809849888659</c:v>
                </c:pt>
                <c:pt idx="321">
                  <c:v>331.97952054574768</c:v>
                </c:pt>
                <c:pt idx="322">
                  <c:v>333.72132878576565</c:v>
                </c:pt>
                <c:pt idx="323">
                  <c:v>335.46345524492074</c:v>
                </c:pt>
                <c:pt idx="324">
                  <c:v>337.20583202296518</c:v>
                </c:pt>
                <c:pt idx="325">
                  <c:v>338.94839129406768</c:v>
                </c:pt>
                <c:pt idx="326">
                  <c:v>340.6910653074454</c:v>
                </c:pt>
                <c:pt idx="327">
                  <c:v>342.43378638798373</c:v>
                </c:pt>
                <c:pt idx="328">
                  <c:v>344.17648693684345</c:v>
                </c:pt>
                <c:pt idx="329">
                  <c:v>345.91909943205548</c:v>
                </c:pt>
                <c:pt idx="330">
                  <c:v>347.66155642910371</c:v>
                </c:pt>
                <c:pt idx="331">
                  <c:v>349.40379056149516</c:v>
                </c:pt>
                <c:pt idx="332">
                  <c:v>351.14573454131818</c:v>
                </c:pt>
                <c:pt idx="333">
                  <c:v>352.88732115978831</c:v>
                </c:pt>
                <c:pt idx="334">
                  <c:v>354.62848328778222</c:v>
                </c:pt>
                <c:pt idx="335">
                  <c:v>356.36915387635946</c:v>
                </c:pt>
                <c:pt idx="336">
                  <c:v>358.1092659572721</c:v>
                </c:pt>
                <c:pt idx="337">
                  <c:v>359.84875264346272</c:v>
                </c:pt>
                <c:pt idx="338">
                  <c:v>361.58754712955016</c:v>
                </c:pt>
                <c:pt idx="339">
                  <c:v>363.32558269230356</c:v>
                </c:pt>
                <c:pt idx="340">
                  <c:v>365.06279269110468</c:v>
                </c:pt>
                <c:pt idx="341">
                  <c:v>366.79911056839825</c:v>
                </c:pt>
                <c:pt idx="342">
                  <c:v>368.53446985013079</c:v>
                </c:pt>
                <c:pt idx="343">
                  <c:v>370.26880414617773</c:v>
                </c:pt>
                <c:pt idx="344">
                  <c:v>372.0020471507591</c:v>
                </c:pt>
                <c:pt idx="345">
                  <c:v>373.73413264284341</c:v>
                </c:pt>
                <c:pt idx="346">
                  <c:v>375.46499448654032</c:v>
                </c:pt>
                <c:pt idx="347">
                  <c:v>377.19456663148173</c:v>
                </c:pt>
                <c:pt idx="348">
                  <c:v>378.92278389100528</c:v>
                </c:pt>
                <c:pt idx="349">
                  <c:v>380.64958271927298</c:v>
                </c:pt>
                <c:pt idx="350">
                  <c:v>382.37490043167992</c:v>
                </c:pt>
                <c:pt idx="351">
                  <c:v>384.09867442628308</c:v>
                </c:pt>
                <c:pt idx="352">
                  <c:v>385.82084218408227</c:v>
                </c:pt>
                <c:pt idx="353">
                  <c:v>387.5413412692908</c:v>
                </c:pt>
                <c:pt idx="354">
                  <c:v>389.26010932959645</c:v>
                </c:pt>
                <c:pt idx="355">
                  <c:v>390.97708409641268</c:v>
                </c:pt>
                <c:pt idx="356">
                  <c:v>392.69220338511985</c:v>
                </c:pt>
                <c:pt idx="357">
                  <c:v>394.40540509529683</c:v>
                </c:pt>
                <c:pt idx="358">
                  <c:v>396.11662721094297</c:v>
                </c:pt>
                <c:pt idx="359">
                  <c:v>397.82580780069031</c:v>
                </c:pt>
                <c:pt idx="360">
                  <c:v>399.53290118753068</c:v>
                </c:pt>
                <c:pt idx="361">
                  <c:v>401.23789409457908</c:v>
                </c:pt>
                <c:pt idx="362">
                  <c:v>402.94078942892975</c:v>
                </c:pt>
                <c:pt idx="363">
                  <c:v>404.64159008938776</c:v>
                </c:pt>
                <c:pt idx="364">
                  <c:v>406.34029896649952</c:v>
                </c:pt>
                <c:pt idx="365">
                  <c:v>408.03691894258321</c:v>
                </c:pt>
                <c:pt idx="366">
                  <c:v>409.73145289175909</c:v>
                </c:pt>
                <c:pt idx="367">
                  <c:v>411.42390367997967</c:v>
                </c:pt>
                <c:pt idx="368">
                  <c:v>413.11427416505956</c:v>
                </c:pt>
                <c:pt idx="369">
                  <c:v>414.80256719670552</c:v>
                </c:pt>
                <c:pt idx="370">
                  <c:v>416.48878561654618</c:v>
                </c:pt>
                <c:pt idx="371">
                  <c:v>418.17293225816144</c:v>
                </c:pt>
                <c:pt idx="372">
                  <c:v>419.85500994711202</c:v>
                </c:pt>
                <c:pt idx="373">
                  <c:v>421.53502150096887</c:v>
                </c:pt>
                <c:pt idx="374">
                  <c:v>423.21296972934221</c:v>
                </c:pt>
                <c:pt idx="375">
                  <c:v>424.88885743391057</c:v>
                </c:pt>
                <c:pt idx="376">
                  <c:v>426.56268740844979</c:v>
                </c:pt>
                <c:pt idx="377">
                  <c:v>428.23446243886167</c:v>
                </c:pt>
                <c:pt idx="378">
                  <c:v>429.90418530320267</c:v>
                </c:pt>
                <c:pt idx="379">
                  <c:v>431.57185877171247</c:v>
                </c:pt>
                <c:pt idx="380">
                  <c:v>433.23748560684214</c:v>
                </c:pt>
                <c:pt idx="381">
                  <c:v>434.90106856328259</c:v>
                </c:pt>
                <c:pt idx="382">
                  <c:v>436.56261038799261</c:v>
                </c:pt>
                <c:pt idx="383">
                  <c:v>438.22211382022675</c:v>
                </c:pt>
                <c:pt idx="384">
                  <c:v>439.87958159156329</c:v>
                </c:pt>
                <c:pt idx="385">
                  <c:v>441.53501642593193</c:v>
                </c:pt>
                <c:pt idx="386">
                  <c:v>443.18842103964136</c:v>
                </c:pt>
                <c:pt idx="387">
                  <c:v>444.83979814140667</c:v>
                </c:pt>
                <c:pt idx="388">
                  <c:v>446.48915043237685</c:v>
                </c:pt>
                <c:pt idx="389">
                  <c:v>448.1364806061618</c:v>
                </c:pt>
                <c:pt idx="390">
                  <c:v>449.7817913488596</c:v>
                </c:pt>
                <c:pt idx="391">
                  <c:v>451.42508533908335</c:v>
                </c:pt>
                <c:pt idx="392">
                  <c:v>453.06636524798802</c:v>
                </c:pt>
                <c:pt idx="393">
                  <c:v>454.70563373929724</c:v>
                </c:pt>
                <c:pt idx="394">
                  <c:v>456.34289346932991</c:v>
                </c:pt>
                <c:pt idx="395">
                  <c:v>457.97814708702646</c:v>
                </c:pt>
                <c:pt idx="396">
                  <c:v>459.61139723397554</c:v>
                </c:pt>
                <c:pt idx="397">
                  <c:v>461.24264654443994</c:v>
                </c:pt>
                <c:pt idx="398">
                  <c:v>462.87189764538289</c:v>
                </c:pt>
                <c:pt idx="399">
                  <c:v>464.49915315649395</c:v>
                </c:pt>
                <c:pt idx="400">
                  <c:v>466.12441569021502</c:v>
                </c:pt>
                <c:pt idx="401">
                  <c:v>482.26762909441067</c:v>
                </c:pt>
                <c:pt idx="402">
                  <c:v>498.21322366661008</c:v>
                </c:pt>
                <c:pt idx="403">
                  <c:v>513.96374087047525</c:v>
                </c:pt>
                <c:pt idx="404">
                  <c:v>529.5216531012386</c:v>
                </c:pt>
                <c:pt idx="405">
                  <c:v>544.88936607434357</c:v>
                </c:pt>
                <c:pt idx="406">
                  <c:v>560.06922110912296</c:v>
                </c:pt>
                <c:pt idx="407">
                  <c:v>575.06349731301066</c:v>
                </c:pt>
                <c:pt idx="408">
                  <c:v>589.87441367144777</c:v>
                </c:pt>
                <c:pt idx="409">
                  <c:v>604.5041310483316</c:v>
                </c:pt>
                <c:pt idx="410">
                  <c:v>618.95475410156632</c:v>
                </c:pt>
                <c:pt idx="411">
                  <c:v>633.2283331180048</c:v>
                </c:pt>
                <c:pt idx="412">
                  <c:v>647.32686577181698</c:v>
                </c:pt>
                <c:pt idx="413">
                  <c:v>661.25229881008613</c:v>
                </c:pt>
                <c:pt idx="414">
                  <c:v>675.00652966921575</c:v>
                </c:pt>
                <c:pt idx="415">
                  <c:v>688.59140802552099</c:v>
                </c:pt>
                <c:pt idx="416">
                  <c:v>702.00873728319118</c:v>
                </c:pt>
                <c:pt idx="417">
                  <c:v>715.26027600262648</c:v>
                </c:pt>
                <c:pt idx="418">
                  <c:v>728.34773927198694</c:v>
                </c:pt>
                <c:pt idx="419">
                  <c:v>741.27280002463226</c:v>
                </c:pt>
                <c:pt idx="420">
                  <c:v>754.0370903049851</c:v>
                </c:pt>
                <c:pt idx="421">
                  <c:v>766.64220248521178</c:v>
                </c:pt>
                <c:pt idx="422">
                  <c:v>779.08969043498473</c:v>
                </c:pt>
                <c:pt idx="423">
                  <c:v>791.38107064646954</c:v>
                </c:pt>
                <c:pt idx="424">
                  <c:v>803.51782331656466</c:v>
                </c:pt>
                <c:pt idx="425">
                  <c:v>815.50139338831616</c:v>
                </c:pt>
                <c:pt idx="426">
                  <c:v>827.3331915533272</c:v>
                </c:pt>
                <c:pt idx="427">
                  <c:v>839.01459521688798</c:v>
                </c:pt>
                <c:pt idx="428">
                  <c:v>850.54694942746346</c:v>
                </c:pt>
                <c:pt idx="429">
                  <c:v>861.93156777209072</c:v>
                </c:pt>
                <c:pt idx="430">
                  <c:v>873.16973323916022</c:v>
                </c:pt>
                <c:pt idx="431">
                  <c:v>884.26269904997946</c:v>
                </c:pt>
                <c:pt idx="432">
                  <c:v>895.21168946044918</c:v>
                </c:pt>
                <c:pt idx="433">
                  <c:v>906.01790053411366</c:v>
                </c:pt>
                <c:pt idx="434">
                  <c:v>916.68250088778677</c:v>
                </c:pt>
                <c:pt idx="435">
                  <c:v>927.20663241089471</c:v>
                </c:pt>
                <c:pt idx="436">
                  <c:v>937.59141095962218</c:v>
                </c:pt>
                <c:pt idx="437">
                  <c:v>947.83792702689436</c:v>
                </c:pt>
                <c:pt idx="438">
                  <c:v>957.94724638918046</c:v>
                </c:pt>
                <c:pt idx="439">
                  <c:v>967.92041073105418</c:v>
                </c:pt>
                <c:pt idx="440">
                  <c:v>977.7584382484049</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yVal>
          <c:smooth val="0"/>
          <c:extLst>
            <c:ext xmlns:c16="http://schemas.microsoft.com/office/drawing/2014/chart" uri="{C3380CC4-5D6E-409C-BE32-E72D297353CC}">
              <c16:uniqueId val="{00000005-1F49-47DF-B4D1-65FFA35A5CB2}"/>
            </c:ext>
          </c:extLst>
        </c:ser>
        <c:ser>
          <c:idx val="6"/>
          <c:order val="5"/>
          <c:tx>
            <c:strRef>
              <c:f>Trajecto!$B$106</c:f>
              <c:strCache>
                <c:ptCount val="1"/>
                <c:pt idx="0">
                  <c:v>Phase ascendante</c:v>
                </c:pt>
              </c:strCache>
            </c:strRef>
          </c:tx>
          <c:spPr>
            <a:ln w="28575">
              <a:noFill/>
            </a:ln>
          </c:spPr>
          <c:marker>
            <c:symbol val="none"/>
          </c:marker>
          <c:dLbls>
            <c:spPr>
              <a:noFill/>
              <a:ln w="25400">
                <a:noFill/>
              </a:ln>
            </c:spPr>
            <c:txPr>
              <a:bodyPr/>
              <a:lstStyle/>
              <a:p>
                <a:pPr>
                  <a:defRPr sz="700" b="1" i="0" u="none" strike="noStrike" baseline="0">
                    <a:solidFill>
                      <a:srgbClr val="000080"/>
                    </a:solidFill>
                    <a:latin typeface="Arial"/>
                    <a:ea typeface="Arial"/>
                    <a:cs typeface="Arial"/>
                  </a:defRPr>
                </a:pPr>
                <a:endParaRPr lang="fr-FR"/>
              </a:p>
            </c:txP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Trajecto!$D$155</c:f>
              <c:numCache>
                <c:formatCode>0</c:formatCode>
                <c:ptCount val="1"/>
                <c:pt idx="0">
                  <c:v>63.616066394824614</c:v>
                </c:pt>
              </c:numCache>
            </c:numRef>
          </c:xVal>
          <c:yVal>
            <c:numRef>
              <c:f>Trajecto!$C$155</c:f>
              <c:numCache>
                <c:formatCode>0</c:formatCode>
                <c:ptCount val="1"/>
                <c:pt idx="0">
                  <c:v>488.87921912420245</c:v>
                </c:pt>
              </c:numCache>
            </c:numRef>
          </c:yVal>
          <c:smooth val="0"/>
          <c:extLst>
            <c:ext xmlns:c16="http://schemas.microsoft.com/office/drawing/2014/chart" uri="{C3380CC4-5D6E-409C-BE32-E72D297353CC}">
              <c16:uniqueId val="{00000006-1F49-47DF-B4D1-65FFA35A5CB2}"/>
            </c:ext>
          </c:extLst>
        </c:ser>
        <c:ser>
          <c:idx val="7"/>
          <c:order val="6"/>
          <c:tx>
            <c:strRef>
              <c:f>Trajecto!$B$107</c:f>
              <c:strCache>
                <c:ptCount val="1"/>
                <c:pt idx="0">
                  <c:v>Descente balistique</c:v>
                </c:pt>
              </c:strCache>
            </c:strRef>
          </c:tx>
          <c:spPr>
            <a:ln w="28575">
              <a:noFill/>
            </a:ln>
          </c:spPr>
          <c:marker>
            <c:symbol val="none"/>
          </c:marker>
          <c:dLbls>
            <c:spPr>
              <a:noFill/>
              <a:ln w="25400">
                <a:noFill/>
              </a:ln>
            </c:spPr>
            <c:txPr>
              <a:bodyPr/>
              <a:lstStyle/>
              <a:p>
                <a:pPr>
                  <a:defRPr sz="700" b="1" i="0" u="none" strike="noStrike" baseline="0">
                    <a:solidFill>
                      <a:srgbClr val="808080"/>
                    </a:solidFill>
                    <a:latin typeface="Arial"/>
                    <a:ea typeface="Arial"/>
                    <a:cs typeface="Arial"/>
                  </a:defRPr>
                </a:pPr>
                <a:endParaRPr lang="fr-FR"/>
              </a:p>
            </c:txP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Trajecto!$D$156</c:f>
              <c:numCache>
                <c:formatCode>0</c:formatCode>
                <c:ptCount val="1"/>
                <c:pt idx="0">
                  <c:v>810.01950898021209</c:v>
                </c:pt>
              </c:numCache>
            </c:numRef>
          </c:xVal>
          <c:yVal>
            <c:numRef>
              <c:f>Trajecto!$C$156</c:f>
              <c:numCache>
                <c:formatCode>0</c:formatCode>
                <c:ptCount val="1"/>
                <c:pt idx="0">
                  <c:v>695.2115245862916</c:v>
                </c:pt>
              </c:numCache>
            </c:numRef>
          </c:yVal>
          <c:smooth val="0"/>
          <c:extLst>
            <c:ext xmlns:c16="http://schemas.microsoft.com/office/drawing/2014/chart" uri="{C3380CC4-5D6E-409C-BE32-E72D297353CC}">
              <c16:uniqueId val="{00000007-1F49-47DF-B4D1-65FFA35A5CB2}"/>
            </c:ext>
          </c:extLst>
        </c:ser>
        <c:ser>
          <c:idx val="8"/>
          <c:order val="7"/>
          <c:tx>
            <c:strRef>
              <c:f>Trajecto!$D$158</c:f>
              <c:strCache>
                <c:ptCount val="1"/>
                <c:pt idx="0">
                  <c:v>Arc de triomphe</c:v>
                </c:pt>
              </c:strCache>
            </c:strRef>
          </c:tx>
          <c:spPr>
            <a:ln>
              <a:solidFill>
                <a:srgbClr val="C0C0C0"/>
              </a:solidFill>
            </a:ln>
          </c:spPr>
          <c:marker>
            <c:symbol val="none"/>
          </c:marker>
          <c:dLbls>
            <c:dLbl>
              <c:idx val="8"/>
              <c:tx>
                <c:strRef>
                  <c:f>Trajecto!$D$158</c:f>
                  <c:strCache>
                    <c:ptCount val="1"/>
                    <c:pt idx="0">
                      <c:v>Arc de triomphe</c:v>
                    </c:pt>
                  </c:strCache>
                </c:strRef>
              </c:tx>
              <c:spPr/>
              <c:txPr>
                <a:bodyPr/>
                <a:lstStyle/>
                <a:p>
                  <a:pPr>
                    <a:defRPr sz="700" b="0" i="0" u="none" strike="noStrike" baseline="0">
                      <a:solidFill>
                        <a:srgbClr val="C0C0C0"/>
                      </a:solidFill>
                      <a:latin typeface="Arial"/>
                      <a:ea typeface="Arial"/>
                      <a:cs typeface="Arial"/>
                    </a:defRPr>
                  </a:pPr>
                  <a:endParaRPr lang="fr-FR"/>
                </a:p>
              </c:txPr>
              <c:showLegendKey val="0"/>
              <c:showVal val="0"/>
              <c:showCatName val="0"/>
              <c:showSerName val="0"/>
              <c:showPercent val="0"/>
              <c:showBubbleSize val="0"/>
              <c:extLst>
                <c:ext xmlns:c15="http://schemas.microsoft.com/office/drawing/2012/chart" uri="{CE6537A1-D6FC-4f65-9D91-7224C49458BB}">
                  <c15:dlblFieldTable>
                    <c15:dlblFTEntry>
                      <c15:txfldGUID>{0EBE901A-5B5E-431D-BE32-EE37B44DC63E}</c15:txfldGUID>
                      <c15:f>Trajecto!$D$158</c15:f>
                      <c15:dlblFieldTableCache>
                        <c:ptCount val="1"/>
                        <c:pt idx="0">
                          <c:v>Arc de triomphe</c:v>
                        </c:pt>
                      </c15:dlblFieldTableCache>
                    </c15:dlblFTEntry>
                  </c15:dlblFieldTable>
                  <c15:showDataLabelsRange val="0"/>
                </c:ext>
                <c:ext xmlns:c16="http://schemas.microsoft.com/office/drawing/2014/chart" uri="{C3380CC4-5D6E-409C-BE32-E72D297353CC}">
                  <c16:uniqueId val="{00000008-1F49-47DF-B4D1-65FFA35A5CB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Trajecto!$D$159:$D$174</c:f>
              <c:numCache>
                <c:formatCode>0</c:formatCode>
                <c:ptCount val="16"/>
                <c:pt idx="0">
                  <c:v>523.69799483853797</c:v>
                </c:pt>
                <c:pt idx="1">
                  <c:v>546.69799483853797</c:v>
                </c:pt>
                <c:pt idx="2">
                  <c:v>546.69799483853797</c:v>
                </c:pt>
                <c:pt idx="3">
                  <c:v>523.69799483853797</c:v>
                </c:pt>
                <c:pt idx="4">
                  <c:v>546.69799483853797</c:v>
                </c:pt>
                <c:pt idx="5">
                  <c:v>546.69799483853797</c:v>
                </c:pt>
                <c:pt idx="6">
                  <c:v>531.69799483853797</c:v>
                </c:pt>
                <c:pt idx="7">
                  <c:v>531.69799483853797</c:v>
                </c:pt>
                <c:pt idx="8">
                  <c:v>546.69799483853797</c:v>
                </c:pt>
                <c:pt idx="9">
                  <c:v>531.69799483853797</c:v>
                </c:pt>
                <c:pt idx="10">
                  <c:v>531.29799483853799</c:v>
                </c:pt>
                <c:pt idx="11">
                  <c:v>530.49799483853792</c:v>
                </c:pt>
                <c:pt idx="12">
                  <c:v>529.69799483853797</c:v>
                </c:pt>
                <c:pt idx="13">
                  <c:v>528.69799483853797</c:v>
                </c:pt>
                <c:pt idx="14">
                  <c:v>527.49799483853792</c:v>
                </c:pt>
                <c:pt idx="15">
                  <c:v>523.69799483853797</c:v>
                </c:pt>
              </c:numCache>
            </c:numRef>
          </c:xVal>
          <c:yVal>
            <c:numRef>
              <c:f>Trajecto!$B$161:$B$176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9-1F49-47DF-B4D1-65FFA35A5CB2}"/>
            </c:ext>
          </c:extLst>
        </c:ser>
        <c:ser>
          <c:idx val="9"/>
          <c:order val="8"/>
          <c:tx>
            <c:strRef>
              <c:f>Trajecto!$F$158</c:f>
              <c:strCache>
                <c:ptCount val="1"/>
                <c:pt idx="0">
                  <c:v>Arc de triomphe</c:v>
                </c:pt>
              </c:strCache>
            </c:strRef>
          </c:tx>
          <c:spPr>
            <a:ln>
              <a:solidFill>
                <a:srgbClr val="C0C0C0"/>
              </a:solidFill>
            </a:ln>
          </c:spPr>
          <c:marker>
            <c:symbol val="none"/>
          </c:marker>
          <c:xVal>
            <c:numRef>
              <c:f>Trajecto!$F$159:$F$174</c:f>
              <c:numCache>
                <c:formatCode>0</c:formatCode>
                <c:ptCount val="16"/>
                <c:pt idx="0">
                  <c:v>523.69799483853797</c:v>
                </c:pt>
                <c:pt idx="1">
                  <c:v>500.69799483853797</c:v>
                </c:pt>
                <c:pt idx="2">
                  <c:v>500.69799483853797</c:v>
                </c:pt>
                <c:pt idx="3">
                  <c:v>523.69799483853797</c:v>
                </c:pt>
                <c:pt idx="4">
                  <c:v>500.69799483853797</c:v>
                </c:pt>
                <c:pt idx="5">
                  <c:v>500.69799483853797</c:v>
                </c:pt>
                <c:pt idx="6">
                  <c:v>515.69799483853797</c:v>
                </c:pt>
                <c:pt idx="7">
                  <c:v>515.69799483853797</c:v>
                </c:pt>
                <c:pt idx="8">
                  <c:v>500.69799483853797</c:v>
                </c:pt>
                <c:pt idx="9">
                  <c:v>515.69799483853797</c:v>
                </c:pt>
                <c:pt idx="10">
                  <c:v>516.09799483853794</c:v>
                </c:pt>
                <c:pt idx="11">
                  <c:v>516.89799483853801</c:v>
                </c:pt>
                <c:pt idx="12">
                  <c:v>517.69799483853797</c:v>
                </c:pt>
                <c:pt idx="13">
                  <c:v>518.69799483853797</c:v>
                </c:pt>
                <c:pt idx="14">
                  <c:v>519.89799483853801</c:v>
                </c:pt>
                <c:pt idx="15">
                  <c:v>523.69799483853797</c:v>
                </c:pt>
              </c:numCache>
            </c:numRef>
          </c:xVal>
          <c:yVal>
            <c:numRef>
              <c:f>Trajecto!$B$161:$B$176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A-1F49-47DF-B4D1-65FFA35A5CB2}"/>
            </c:ext>
          </c:extLst>
        </c:ser>
        <c:ser>
          <c:idx val="10"/>
          <c:order val="9"/>
          <c:tx>
            <c:strRef>
              <c:f>Trajecto!$D$176</c:f>
              <c:strCache>
                <c:ptCount val="1"/>
                <c:pt idx="0">
                  <c:v>Tour Eiffel</c:v>
                </c:pt>
              </c:strCache>
            </c:strRef>
          </c:tx>
          <c:spPr>
            <a:ln>
              <a:solidFill>
                <a:srgbClr val="C0C0C0"/>
              </a:solidFill>
            </a:ln>
          </c:spPr>
          <c:marker>
            <c:symbol val="none"/>
          </c:marker>
          <c:dLbls>
            <c:dLbl>
              <c:idx val="6"/>
              <c:layout/>
              <c:tx>
                <c:strRef>
                  <c:f>Trajecto!$D$176</c:f>
                  <c:strCache>
                    <c:ptCount val="1"/>
                    <c:pt idx="0">
                      <c:v>Tour Eiffel</c:v>
                    </c:pt>
                  </c:strCache>
                </c:strRef>
              </c:tx>
              <c:spPr/>
              <c:txPr>
                <a:bodyPr/>
                <a:lstStyle/>
                <a:p>
                  <a:pPr>
                    <a:defRPr sz="700" b="0" i="0" u="none" strike="noStrike" baseline="0">
                      <a:solidFill>
                        <a:srgbClr val="C0C0C0"/>
                      </a:solidFill>
                      <a:latin typeface="Arial"/>
                      <a:ea typeface="Arial"/>
                      <a:cs typeface="Arial"/>
                    </a:defRPr>
                  </a:pPr>
                  <a:endParaRPr lang="fr-FR"/>
                </a:p>
              </c:txPr>
              <c:showLegendKey val="0"/>
              <c:showVal val="0"/>
              <c:showCatName val="0"/>
              <c:showSerName val="0"/>
              <c:showPercent val="0"/>
              <c:showBubbleSize val="0"/>
              <c:extLst>
                <c:ext xmlns:c15="http://schemas.microsoft.com/office/drawing/2012/chart" uri="{CE6537A1-D6FC-4f65-9D91-7224C49458BB}">
                  <c15:layout/>
                  <c15:dlblFieldTable>
                    <c15:dlblFTEntry>
                      <c15:txfldGUID>{CF921868-D7AD-463C-AE62-55C9791716CB}</c15:txfldGUID>
                      <c15:f>Trajecto!$D$176</c15:f>
                      <c15:dlblFieldTableCache>
                        <c:ptCount val="1"/>
                        <c:pt idx="0">
                          <c:v>Tour Eiffel</c:v>
                        </c:pt>
                      </c15:dlblFieldTableCache>
                    </c15:dlblFTEntry>
                  </c15:dlblFieldTable>
                  <c15:showDataLabelsRange val="0"/>
                </c:ext>
                <c:ext xmlns:c16="http://schemas.microsoft.com/office/drawing/2014/chart" uri="{C3380CC4-5D6E-409C-BE32-E72D297353CC}">
                  <c16:uniqueId val="{0000000B-1F49-47DF-B4D1-65FFA35A5CB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Trajecto!$D$177:$D$193</c:f>
              <c:numCache>
                <c:formatCode>0</c:formatCode>
                <c:ptCount val="17"/>
                <c:pt idx="0">
                  <c:v>523.69799483853797</c:v>
                </c:pt>
                <c:pt idx="1">
                  <c:v>523.69799483853797</c:v>
                </c:pt>
                <c:pt idx="2">
                  <c:v>533.69799483853797</c:v>
                </c:pt>
                <c:pt idx="3">
                  <c:v>523.69799483853797</c:v>
                </c:pt>
                <c:pt idx="4">
                  <c:v>533.69799483853797</c:v>
                </c:pt>
                <c:pt idx="5">
                  <c:v>536.69799483853797</c:v>
                </c:pt>
                <c:pt idx="6">
                  <c:v>540.69799483853797</c:v>
                </c:pt>
                <c:pt idx="7">
                  <c:v>543.69799483853797</c:v>
                </c:pt>
                <c:pt idx="8">
                  <c:v>548.69799483853797</c:v>
                </c:pt>
                <c:pt idx="9">
                  <c:v>553.69799483853797</c:v>
                </c:pt>
                <c:pt idx="10">
                  <c:v>559.69799483853797</c:v>
                </c:pt>
                <c:pt idx="11">
                  <c:v>571.69799483853797</c:v>
                </c:pt>
                <c:pt idx="12">
                  <c:v>585.69799483853797</c:v>
                </c:pt>
                <c:pt idx="13">
                  <c:v>560.69799483853797</c:v>
                </c:pt>
                <c:pt idx="14">
                  <c:v>553.69799483853797</c:v>
                </c:pt>
                <c:pt idx="15">
                  <c:v>538.69799483853797</c:v>
                </c:pt>
                <c:pt idx="16">
                  <c:v>523.69799483853797</c:v>
                </c:pt>
              </c:numCache>
            </c:numRef>
          </c:xVal>
          <c:yVal>
            <c:numRef>
              <c:f>Trajecto!$B$179:$B$195</c:f>
              <c:numCache>
                <c:formatCode>General</c:formatCode>
                <c:ptCount val="17"/>
                <c:pt idx="0">
                  <c:v>324</c:v>
                </c:pt>
                <c:pt idx="1">
                  <c:v>300</c:v>
                </c:pt>
                <c:pt idx="2">
                  <c:v>280</c:v>
                </c:pt>
                <c:pt idx="3">
                  <c:v>280</c:v>
                </c:pt>
                <c:pt idx="4">
                  <c:v>280</c:v>
                </c:pt>
                <c:pt idx="5">
                  <c:v>200</c:v>
                </c:pt>
                <c:pt idx="6">
                  <c:v>160</c:v>
                </c:pt>
                <c:pt idx="7">
                  <c:v>115</c:v>
                </c:pt>
                <c:pt idx="8">
                  <c:v>90</c:v>
                </c:pt>
                <c:pt idx="9">
                  <c:v>57</c:v>
                </c:pt>
                <c:pt idx="10">
                  <c:v>40</c:v>
                </c:pt>
                <c:pt idx="11">
                  <c:v>20</c:v>
                </c:pt>
                <c:pt idx="12">
                  <c:v>0.5</c:v>
                </c:pt>
                <c:pt idx="13">
                  <c:v>0.5</c:v>
                </c:pt>
                <c:pt idx="14">
                  <c:v>15</c:v>
                </c:pt>
                <c:pt idx="15">
                  <c:v>30</c:v>
                </c:pt>
                <c:pt idx="16">
                  <c:v>37</c:v>
                </c:pt>
              </c:numCache>
            </c:numRef>
          </c:yVal>
          <c:smooth val="0"/>
          <c:extLst>
            <c:ext xmlns:c16="http://schemas.microsoft.com/office/drawing/2014/chart" uri="{C3380CC4-5D6E-409C-BE32-E72D297353CC}">
              <c16:uniqueId val="{0000000C-1F49-47DF-B4D1-65FFA35A5CB2}"/>
            </c:ext>
          </c:extLst>
        </c:ser>
        <c:ser>
          <c:idx val="11"/>
          <c:order val="10"/>
          <c:tx>
            <c:strRef>
              <c:f>Trajecto!$F$176</c:f>
              <c:strCache>
                <c:ptCount val="1"/>
                <c:pt idx="0">
                  <c:v>Tour Eiffel</c:v>
                </c:pt>
              </c:strCache>
            </c:strRef>
          </c:tx>
          <c:spPr>
            <a:ln>
              <a:solidFill>
                <a:srgbClr val="C0C0C0"/>
              </a:solidFill>
            </a:ln>
          </c:spPr>
          <c:marker>
            <c:symbol val="none"/>
          </c:marker>
          <c:xVal>
            <c:numRef>
              <c:f>Trajecto!$F$177:$F$193</c:f>
              <c:numCache>
                <c:formatCode>0</c:formatCode>
                <c:ptCount val="17"/>
                <c:pt idx="0">
                  <c:v>523.69799483853797</c:v>
                </c:pt>
                <c:pt idx="1">
                  <c:v>523.69799483853797</c:v>
                </c:pt>
                <c:pt idx="2">
                  <c:v>513.69799483853797</c:v>
                </c:pt>
                <c:pt idx="3">
                  <c:v>523.69799483853797</c:v>
                </c:pt>
                <c:pt idx="4">
                  <c:v>513.69799483853797</c:v>
                </c:pt>
                <c:pt idx="5">
                  <c:v>510.69799483853797</c:v>
                </c:pt>
                <c:pt idx="6">
                  <c:v>506.69799483853797</c:v>
                </c:pt>
                <c:pt idx="7">
                  <c:v>503.69799483853797</c:v>
                </c:pt>
                <c:pt idx="8">
                  <c:v>498.69799483853797</c:v>
                </c:pt>
                <c:pt idx="9">
                  <c:v>493.69799483853797</c:v>
                </c:pt>
                <c:pt idx="10">
                  <c:v>487.69799483853797</c:v>
                </c:pt>
                <c:pt idx="11">
                  <c:v>475.69799483853797</c:v>
                </c:pt>
                <c:pt idx="12">
                  <c:v>461.69799483853797</c:v>
                </c:pt>
                <c:pt idx="13">
                  <c:v>486.69799483853797</c:v>
                </c:pt>
                <c:pt idx="14">
                  <c:v>493.69799483853797</c:v>
                </c:pt>
                <c:pt idx="15">
                  <c:v>508.69799483853797</c:v>
                </c:pt>
                <c:pt idx="16">
                  <c:v>523.69799483853797</c:v>
                </c:pt>
              </c:numCache>
            </c:numRef>
          </c:xVal>
          <c:yVal>
            <c:numRef>
              <c:f>Trajecto!$B$179:$B$195</c:f>
              <c:numCache>
                <c:formatCode>General</c:formatCode>
                <c:ptCount val="17"/>
                <c:pt idx="0">
                  <c:v>324</c:v>
                </c:pt>
                <c:pt idx="1">
                  <c:v>300</c:v>
                </c:pt>
                <c:pt idx="2">
                  <c:v>280</c:v>
                </c:pt>
                <c:pt idx="3">
                  <c:v>280</c:v>
                </c:pt>
                <c:pt idx="4">
                  <c:v>280</c:v>
                </c:pt>
                <c:pt idx="5">
                  <c:v>200</c:v>
                </c:pt>
                <c:pt idx="6">
                  <c:v>160</c:v>
                </c:pt>
                <c:pt idx="7">
                  <c:v>115</c:v>
                </c:pt>
                <c:pt idx="8">
                  <c:v>90</c:v>
                </c:pt>
                <c:pt idx="9">
                  <c:v>57</c:v>
                </c:pt>
                <c:pt idx="10">
                  <c:v>40</c:v>
                </c:pt>
                <c:pt idx="11">
                  <c:v>20</c:v>
                </c:pt>
                <c:pt idx="12">
                  <c:v>0.5</c:v>
                </c:pt>
                <c:pt idx="13">
                  <c:v>0.5</c:v>
                </c:pt>
                <c:pt idx="14">
                  <c:v>15</c:v>
                </c:pt>
                <c:pt idx="15">
                  <c:v>30</c:v>
                </c:pt>
                <c:pt idx="16">
                  <c:v>37</c:v>
                </c:pt>
              </c:numCache>
            </c:numRef>
          </c:yVal>
          <c:smooth val="0"/>
          <c:extLst>
            <c:ext xmlns:c16="http://schemas.microsoft.com/office/drawing/2014/chart" uri="{C3380CC4-5D6E-409C-BE32-E72D297353CC}">
              <c16:uniqueId val="{0000000D-1F49-47DF-B4D1-65FFA35A5CB2}"/>
            </c:ext>
          </c:extLst>
        </c:ser>
        <c:ser>
          <c:idx val="12"/>
          <c:order val="11"/>
          <c:tx>
            <c:strRef>
              <c:f>Trajecto!$D$176</c:f>
              <c:strCache>
                <c:ptCount val="1"/>
                <c:pt idx="0">
                  <c:v>Tour Eiffel</c:v>
                </c:pt>
              </c:strCache>
            </c:strRef>
          </c:tx>
          <c:spPr>
            <a:ln>
              <a:solidFill>
                <a:srgbClr val="C0C0C0"/>
              </a:solidFill>
            </a:ln>
          </c:spPr>
          <c:marker>
            <c:symbol val="none"/>
          </c:marker>
          <c:xVal>
            <c:numRef>
              <c:f>Trajecto!$D$194:$D$197</c:f>
              <c:numCache>
                <c:formatCode>0</c:formatCode>
                <c:ptCount val="4"/>
                <c:pt idx="0">
                  <c:v>523.69799483853797</c:v>
                </c:pt>
                <c:pt idx="1">
                  <c:v>540.69799483853797</c:v>
                </c:pt>
                <c:pt idx="2">
                  <c:v>534.69799483853797</c:v>
                </c:pt>
                <c:pt idx="3">
                  <c:v>523.69799483853797</c:v>
                </c:pt>
              </c:numCache>
            </c:numRef>
          </c:xVal>
          <c:yVal>
            <c:numRef>
              <c:f>Trajecto!$B$196:$B$199</c:f>
              <c:numCache>
                <c:formatCode>General</c:formatCode>
                <c:ptCount val="4"/>
                <c:pt idx="0">
                  <c:v>67</c:v>
                </c:pt>
                <c:pt idx="1">
                  <c:v>67</c:v>
                </c:pt>
                <c:pt idx="2">
                  <c:v>100</c:v>
                </c:pt>
                <c:pt idx="3">
                  <c:v>100</c:v>
                </c:pt>
              </c:numCache>
            </c:numRef>
          </c:yVal>
          <c:smooth val="0"/>
          <c:extLst>
            <c:ext xmlns:c16="http://schemas.microsoft.com/office/drawing/2014/chart" uri="{C3380CC4-5D6E-409C-BE32-E72D297353CC}">
              <c16:uniqueId val="{0000000E-1F49-47DF-B4D1-65FFA35A5CB2}"/>
            </c:ext>
          </c:extLst>
        </c:ser>
        <c:ser>
          <c:idx val="13"/>
          <c:order val="12"/>
          <c:tx>
            <c:strRef>
              <c:f>Trajecto!$F$176</c:f>
              <c:strCache>
                <c:ptCount val="1"/>
                <c:pt idx="0">
                  <c:v>Tour Eiffel</c:v>
                </c:pt>
              </c:strCache>
            </c:strRef>
          </c:tx>
          <c:spPr>
            <a:ln>
              <a:solidFill>
                <a:srgbClr val="C0C0C0"/>
              </a:solidFill>
            </a:ln>
          </c:spPr>
          <c:marker>
            <c:symbol val="none"/>
          </c:marker>
          <c:xVal>
            <c:numRef>
              <c:f>Trajecto!$F$194:$F$197</c:f>
              <c:numCache>
                <c:formatCode>0</c:formatCode>
                <c:ptCount val="4"/>
                <c:pt idx="0">
                  <c:v>523.69799483853797</c:v>
                </c:pt>
                <c:pt idx="1">
                  <c:v>506.69799483853797</c:v>
                </c:pt>
                <c:pt idx="2">
                  <c:v>512.69799483853797</c:v>
                </c:pt>
                <c:pt idx="3">
                  <c:v>523.69799483853797</c:v>
                </c:pt>
              </c:numCache>
            </c:numRef>
          </c:xVal>
          <c:yVal>
            <c:numRef>
              <c:f>Trajecto!$B$196:$B$199</c:f>
              <c:numCache>
                <c:formatCode>General</c:formatCode>
                <c:ptCount val="4"/>
                <c:pt idx="0">
                  <c:v>67</c:v>
                </c:pt>
                <c:pt idx="1">
                  <c:v>67</c:v>
                </c:pt>
                <c:pt idx="2">
                  <c:v>100</c:v>
                </c:pt>
                <c:pt idx="3">
                  <c:v>100</c:v>
                </c:pt>
              </c:numCache>
            </c:numRef>
          </c:yVal>
          <c:smooth val="0"/>
          <c:extLst>
            <c:ext xmlns:c16="http://schemas.microsoft.com/office/drawing/2014/chart" uri="{C3380CC4-5D6E-409C-BE32-E72D297353CC}">
              <c16:uniqueId val="{0000000F-1F49-47DF-B4D1-65FFA35A5CB2}"/>
            </c:ext>
          </c:extLst>
        </c:ser>
        <c:ser>
          <c:idx val="3"/>
          <c:order val="13"/>
          <c:tx>
            <c:strRef>
              <c:f>Trajecto!$B$108</c:f>
              <c:strCache>
                <c:ptCount val="1"/>
                <c:pt idx="0">
                  <c:v>Fusée sous parachute</c:v>
                </c:pt>
              </c:strCache>
            </c:strRef>
          </c:tx>
          <c:spPr>
            <a:ln>
              <a:solidFill>
                <a:srgbClr val="008000"/>
              </a:solidFill>
            </a:ln>
          </c:spPr>
          <c:marker>
            <c:symbol val="none"/>
          </c:marker>
          <c:dLbls>
            <c:dLbl>
              <c:idx val="1"/>
              <c:layout/>
              <c:tx>
                <c:strRef>
                  <c:f>Trajecto!$B$108</c:f>
                  <c:strCache>
                    <c:ptCount val="1"/>
                    <c:pt idx="0">
                      <c:v>Fusée sous parachute</c:v>
                    </c:pt>
                  </c:strCache>
                </c:strRef>
              </c:tx>
              <c:spPr/>
              <c:txPr>
                <a:bodyPr/>
                <a:lstStyle/>
                <a:p>
                  <a:pPr>
                    <a:defRPr sz="700" b="1" i="0" u="none" strike="noStrike" baseline="0">
                      <a:solidFill>
                        <a:srgbClr val="008000"/>
                      </a:solidFill>
                      <a:latin typeface="Arial"/>
                      <a:ea typeface="Arial"/>
                      <a:cs typeface="Arial"/>
                    </a:defRPr>
                  </a:pPr>
                  <a:endParaRPr lang="fr-FR"/>
                </a:p>
              </c:txPr>
              <c:showLegendKey val="0"/>
              <c:showVal val="0"/>
              <c:showCatName val="0"/>
              <c:showSerName val="0"/>
              <c:showPercent val="0"/>
              <c:showBubbleSize val="0"/>
              <c:extLst>
                <c:ext xmlns:c15="http://schemas.microsoft.com/office/drawing/2012/chart" uri="{CE6537A1-D6FC-4f65-9D91-7224C49458BB}">
                  <c15:layout/>
                  <c15:dlblFieldTable>
                    <c15:dlblFTEntry>
                      <c15:txfldGUID>{B99C1AC2-496A-449D-A68B-9F5287175DC0}</c15:txfldGUID>
                      <c15:f>Trajecto!$B$108</c15:f>
                      <c15:dlblFieldTableCache>
                        <c:ptCount val="1"/>
                        <c:pt idx="0">
                          <c:v>Fusée sous parachute</c:v>
                        </c:pt>
                      </c15:dlblFieldTableCache>
                    </c15:dlblFTEntry>
                  </c15:dlblFieldTable>
                  <c15:showDataLabelsRange val="0"/>
                </c:ext>
                <c:ext xmlns:c16="http://schemas.microsoft.com/office/drawing/2014/chart" uri="{C3380CC4-5D6E-409C-BE32-E72D297353CC}">
                  <c16:uniqueId val="{00000010-1F49-47DF-B4D1-65FFA35A5CB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Trajecto!$B$123:$B$129</c:f>
              <c:numCache>
                <c:formatCode>0</c:formatCode>
                <c:ptCount val="7"/>
                <c:pt idx="0">
                  <c:v>254.46426557929846</c:v>
                </c:pt>
                <c:pt idx="1">
                  <c:v>254.46426557929846</c:v>
                </c:pt>
                <c:pt idx="2">
                  <c:v>254.46426557929846</c:v>
                </c:pt>
                <c:pt idx="3">
                  <c:v>278.90822653550856</c:v>
                </c:pt>
                <c:pt idx="4">
                  <c:v>254.46426557929846</c:v>
                </c:pt>
                <c:pt idx="5">
                  <c:v>230.02030462308832</c:v>
                </c:pt>
                <c:pt idx="6">
                  <c:v>254.46426557929846</c:v>
                </c:pt>
              </c:numCache>
            </c:numRef>
          </c:xVal>
          <c:yVal>
            <c:numRef>
              <c:f>Trajecto!$C$121:$C$127</c:f>
              <c:numCache>
                <c:formatCode>0</c:formatCode>
                <c:ptCount val="7"/>
                <c:pt idx="0">
                  <c:v>977.7584382484049</c:v>
                </c:pt>
                <c:pt idx="1">
                  <c:v>488.87921912420245</c:v>
                </c:pt>
                <c:pt idx="2">
                  <c:v>0</c:v>
                </c:pt>
                <c:pt idx="3">
                  <c:v>48.887921912420246</c:v>
                </c:pt>
                <c:pt idx="4">
                  <c:v>0</c:v>
                </c:pt>
                <c:pt idx="5">
                  <c:v>48.887921912420246</c:v>
                </c:pt>
                <c:pt idx="6" formatCode="General">
                  <c:v>0</c:v>
                </c:pt>
              </c:numCache>
            </c:numRef>
          </c:yVal>
          <c:smooth val="0"/>
          <c:extLst>
            <c:ext xmlns:c16="http://schemas.microsoft.com/office/drawing/2014/chart" uri="{C3380CC4-5D6E-409C-BE32-E72D297353CC}">
              <c16:uniqueId val="{00000011-1F49-47DF-B4D1-65FFA35A5CB2}"/>
            </c:ext>
          </c:extLst>
        </c:ser>
        <c:dLbls>
          <c:showLegendKey val="0"/>
          <c:showVal val="0"/>
          <c:showCatName val="0"/>
          <c:showSerName val="0"/>
          <c:showPercent val="0"/>
          <c:showBubbleSize val="0"/>
        </c:dLbls>
        <c:axId val="148241024"/>
        <c:axId val="149054208"/>
      </c:scatterChart>
      <c:valAx>
        <c:axId val="148241024"/>
        <c:scaling>
          <c:orientation val="minMax"/>
          <c:min val="0"/>
        </c:scaling>
        <c:delete val="0"/>
        <c:axPos val="b"/>
        <c:majorGridlines>
          <c:spPr>
            <a:ln w="3175">
              <a:solidFill>
                <a:srgbClr val="000000"/>
              </a:solidFill>
              <a:prstDash val="sysDash"/>
            </a:ln>
          </c:spPr>
        </c:majorGridlines>
        <c:title>
          <c:tx>
            <c:strRef>
              <c:f>Trajecto!$B$111</c:f>
              <c:strCache>
                <c:ptCount val="1"/>
                <c:pt idx="0">
                  <c:v>Portée x [m]</c:v>
                </c:pt>
              </c:strCache>
            </c:strRef>
          </c:tx>
          <c:layout>
            <c:manualLayout>
              <c:xMode val="edge"/>
              <c:yMode val="edge"/>
              <c:x val="0.56464627732344286"/>
              <c:y val="0.84829693458129063"/>
            </c:manualLayout>
          </c:layout>
          <c:overlay val="0"/>
          <c:spPr>
            <a:solidFill>
              <a:srgbClr val="FFFFFF"/>
            </a:solidFill>
            <a:ln w="25400">
              <a:noFill/>
            </a:ln>
          </c:spPr>
          <c:txPr>
            <a:bodyPr/>
            <a:lstStyle/>
            <a:p>
              <a:pPr>
                <a:defRPr sz="800" b="1" i="0" u="none" strike="noStrike" baseline="0">
                  <a:solidFill>
                    <a:srgbClr val="0000FF"/>
                  </a:solidFill>
                  <a:latin typeface="Arial"/>
                  <a:ea typeface="Arial"/>
                  <a:cs typeface="Arial"/>
                </a:defRPr>
              </a:pPr>
              <a:endParaRPr lang="fr-FR"/>
            </a:p>
          </c:txPr>
        </c:title>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9054208"/>
        <c:crosses val="autoZero"/>
        <c:crossBetween val="midCat"/>
      </c:valAx>
      <c:valAx>
        <c:axId val="149054208"/>
        <c:scaling>
          <c:orientation val="minMax"/>
          <c:min val="0"/>
        </c:scaling>
        <c:delete val="0"/>
        <c:axPos val="l"/>
        <c:majorGridlines>
          <c:spPr>
            <a:ln w="3175">
              <a:solidFill>
                <a:srgbClr val="000000"/>
              </a:solidFill>
              <a:prstDash val="sysDash"/>
            </a:ln>
          </c:spPr>
        </c:majorGridlines>
        <c:title>
          <c:tx>
            <c:rich>
              <a:bodyPr/>
              <a:lstStyle/>
              <a:p>
                <a:pPr>
                  <a:defRPr sz="800" b="1" i="0" u="none" strike="noStrike" baseline="0">
                    <a:solidFill>
                      <a:srgbClr val="0000FF"/>
                    </a:solidFill>
                    <a:latin typeface="Arial"/>
                    <a:ea typeface="Arial"/>
                    <a:cs typeface="Arial"/>
                  </a:defRPr>
                </a:pPr>
                <a:r>
                  <a:rPr lang="fr-FR"/>
                  <a:t>Altitude z [m]</a:t>
                </a:r>
              </a:p>
            </c:rich>
          </c:tx>
          <c:layout>
            <c:manualLayout>
              <c:xMode val="edge"/>
              <c:yMode val="edge"/>
              <c:x val="8.1818320007296413E-2"/>
              <c:y val="6.8111391736410315E-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8241024"/>
        <c:crosses val="autoZero"/>
        <c:crossBetween val="midCat"/>
      </c:valAx>
      <c:spPr>
        <a:gradFill rotWithShape="0">
          <a:gsLst>
            <a:gs pos="0">
              <a:srgbClr val="99CCFF"/>
            </a:gs>
            <a:gs pos="100000">
              <a:srgbClr val="FFFFFF"/>
            </a:gs>
          </a:gsLst>
          <a:lin ang="5400000" scaled="1"/>
        </a:gradFill>
        <a:ln w="12700">
          <a:solidFill>
            <a:srgbClr val="80808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1180555555555562" footer="0.51180555555555562"/>
    <c:pageSetup paperSize="9" firstPageNumber="0"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Trajecto!$B$113</c:f>
          <c:strCache>
            <c:ptCount val="1"/>
            <c:pt idx="0">
              <c:v>Altitude z  /  Temps</c:v>
            </c:pt>
          </c:strCache>
        </c:strRef>
      </c:tx>
      <c:layout>
        <c:manualLayout>
          <c:xMode val="edge"/>
          <c:yMode val="edge"/>
          <c:x val="0.57666688909649"/>
          <c:y val="3.7151818286865097E-2"/>
        </c:manualLayout>
      </c:layout>
      <c:overlay val="0"/>
      <c:spPr>
        <a:noFill/>
        <a:ln w="25400">
          <a:noFill/>
        </a:ln>
      </c:spPr>
      <c:txPr>
        <a:bodyPr/>
        <a:lstStyle/>
        <a:p>
          <a:pPr>
            <a:defRPr sz="800" b="1" i="0" u="none" strike="noStrike" baseline="0">
              <a:solidFill>
                <a:srgbClr val="0000FF"/>
              </a:solidFill>
              <a:latin typeface="Arial"/>
              <a:ea typeface="Arial"/>
              <a:cs typeface="Arial"/>
            </a:defRPr>
          </a:pPr>
          <a:endParaRPr lang="fr-FR"/>
        </a:p>
      </c:txPr>
    </c:title>
    <c:autoTitleDeleted val="0"/>
    <c:plotArea>
      <c:layout>
        <c:manualLayout>
          <c:layoutTarget val="inner"/>
          <c:xMode val="edge"/>
          <c:yMode val="edge"/>
          <c:x val="7.6666916233451413E-2"/>
          <c:y val="3.5608360198500402E-2"/>
          <c:w val="0.89333624132890843"/>
          <c:h val="0.89614373166225958"/>
        </c:manualLayout>
      </c:layout>
      <c:scatterChart>
        <c:scatterStyle val="lineMarker"/>
        <c:varyColors val="0"/>
        <c:ser>
          <c:idx val="4"/>
          <c:order val="0"/>
          <c:tx>
            <c:v>Point invisible pour mise à l'echelle</c:v>
          </c:tx>
          <c:spPr>
            <a:ln w="28575">
              <a:noFill/>
            </a:ln>
          </c:spPr>
          <c:marker>
            <c:symbol val="none"/>
          </c:marker>
          <c:xVal>
            <c:numLit>
              <c:formatCode>General</c:formatCode>
              <c:ptCount val="1"/>
              <c:pt idx="0">
                <c:v>0</c:v>
              </c:pt>
            </c:numLit>
          </c:xVal>
          <c:yVal>
            <c:numRef>
              <c:f>Trajecto!$B$120</c:f>
              <c:numCache>
                <c:formatCode>0</c:formatCode>
                <c:ptCount val="1"/>
                <c:pt idx="0">
                  <c:v>1390.4230491725832</c:v>
                </c:pt>
              </c:numCache>
            </c:numRef>
          </c:yVal>
          <c:smooth val="0"/>
          <c:extLst>
            <c:ext xmlns:c16="http://schemas.microsoft.com/office/drawing/2014/chart" uri="{C3380CC4-5D6E-409C-BE32-E72D297353CC}">
              <c16:uniqueId val="{00000000-897D-40A6-9E02-3FCC294006C5}"/>
            </c:ext>
          </c:extLst>
        </c:ser>
        <c:ser>
          <c:idx val="0"/>
          <c:order val="1"/>
          <c:tx>
            <c:v>1 point par seconde</c:v>
          </c:tx>
          <c:spPr>
            <a:ln w="28575">
              <a:noFill/>
            </a:ln>
          </c:spPr>
          <c:marker>
            <c:symbol val="plus"/>
            <c:size val="7"/>
            <c:spPr>
              <a:noFill/>
              <a:ln>
                <a:solidFill>
                  <a:srgbClr val="000000"/>
                </a:solidFill>
                <a:prstDash val="solid"/>
              </a:ln>
            </c:spPr>
          </c:marker>
          <c:xVal>
            <c:numRef>
              <c:f>Calculs!$AC$4:$AC$1004</c:f>
              <c:numCache>
                <c:formatCode>0</c:formatCode>
                <c:ptCount val="1001"/>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1.0000000000000007</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2.0000000000000013</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2.99999999999998</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3.9999999999999587</c:v>
                </c:pt>
                <c:pt idx="401">
                  <c:v>#N/A</c:v>
                </c:pt>
                <c:pt idx="402">
                  <c:v>#N/A</c:v>
                </c:pt>
                <c:pt idx="403">
                  <c:v>#N/A</c:v>
                </c:pt>
                <c:pt idx="404">
                  <c:v>#N/A</c:v>
                </c:pt>
                <c:pt idx="405">
                  <c:v>#N/A</c:v>
                </c:pt>
                <c:pt idx="406">
                  <c:v>#N/A</c:v>
                </c:pt>
                <c:pt idx="407">
                  <c:v>#N/A</c:v>
                </c:pt>
                <c:pt idx="408">
                  <c:v>#N/A</c:v>
                </c:pt>
                <c:pt idx="409">
                  <c:v>#N/A</c:v>
                </c:pt>
                <c:pt idx="410">
                  <c:v>4.9999999999999556</c:v>
                </c:pt>
                <c:pt idx="411">
                  <c:v>#N/A</c:v>
                </c:pt>
                <c:pt idx="412">
                  <c:v>#N/A</c:v>
                </c:pt>
                <c:pt idx="413">
                  <c:v>#N/A</c:v>
                </c:pt>
                <c:pt idx="414">
                  <c:v>#N/A</c:v>
                </c:pt>
                <c:pt idx="415">
                  <c:v>#N/A</c:v>
                </c:pt>
                <c:pt idx="416">
                  <c:v>#N/A</c:v>
                </c:pt>
                <c:pt idx="417">
                  <c:v>#N/A</c:v>
                </c:pt>
                <c:pt idx="418">
                  <c:v>#N/A</c:v>
                </c:pt>
                <c:pt idx="419">
                  <c:v>#N/A</c:v>
                </c:pt>
                <c:pt idx="420">
                  <c:v>5.999999999999952</c:v>
                </c:pt>
                <c:pt idx="421">
                  <c:v>#N/A</c:v>
                </c:pt>
                <c:pt idx="422">
                  <c:v>#N/A</c:v>
                </c:pt>
                <c:pt idx="423">
                  <c:v>#N/A</c:v>
                </c:pt>
                <c:pt idx="424">
                  <c:v>#N/A</c:v>
                </c:pt>
                <c:pt idx="425">
                  <c:v>#N/A</c:v>
                </c:pt>
                <c:pt idx="426">
                  <c:v>#N/A</c:v>
                </c:pt>
                <c:pt idx="427">
                  <c:v>#N/A</c:v>
                </c:pt>
                <c:pt idx="428">
                  <c:v>#N/A</c:v>
                </c:pt>
                <c:pt idx="429">
                  <c:v>#N/A</c:v>
                </c:pt>
                <c:pt idx="430">
                  <c:v>6.9999999999999485</c:v>
                </c:pt>
                <c:pt idx="431">
                  <c:v>#N/A</c:v>
                </c:pt>
                <c:pt idx="432">
                  <c:v>#N/A</c:v>
                </c:pt>
                <c:pt idx="433">
                  <c:v>#N/A</c:v>
                </c:pt>
                <c:pt idx="434">
                  <c:v>#N/A</c:v>
                </c:pt>
                <c:pt idx="435">
                  <c:v>#N/A</c:v>
                </c:pt>
                <c:pt idx="436">
                  <c:v>#N/A</c:v>
                </c:pt>
                <c:pt idx="437">
                  <c:v>#N/A</c:v>
                </c:pt>
                <c:pt idx="438">
                  <c:v>#N/A</c:v>
                </c:pt>
                <c:pt idx="439">
                  <c:v>#N/A</c:v>
                </c:pt>
                <c:pt idx="440">
                  <c:v>7.9999999999999449</c:v>
                </c:pt>
                <c:pt idx="441">
                  <c:v>#N/A</c:v>
                </c:pt>
                <c:pt idx="442">
                  <c:v>#N/A</c:v>
                </c:pt>
                <c:pt idx="443">
                  <c:v>#N/A</c:v>
                </c:pt>
                <c:pt idx="444">
                  <c:v>#N/A</c:v>
                </c:pt>
                <c:pt idx="445">
                  <c:v>#N/A</c:v>
                </c:pt>
                <c:pt idx="446">
                  <c:v>#N/A</c:v>
                </c:pt>
                <c:pt idx="447">
                  <c:v>#N/A</c:v>
                </c:pt>
                <c:pt idx="448">
                  <c:v>#N/A</c:v>
                </c:pt>
                <c:pt idx="449">
                  <c:v>#N/A</c:v>
                </c:pt>
                <c:pt idx="450">
                  <c:v>8.9999999999999414</c:v>
                </c:pt>
                <c:pt idx="451">
                  <c:v>#N/A</c:v>
                </c:pt>
                <c:pt idx="452">
                  <c:v>#N/A</c:v>
                </c:pt>
                <c:pt idx="453">
                  <c:v>#N/A</c:v>
                </c:pt>
                <c:pt idx="454">
                  <c:v>#N/A</c:v>
                </c:pt>
                <c:pt idx="455">
                  <c:v>#N/A</c:v>
                </c:pt>
                <c:pt idx="456">
                  <c:v>#N/A</c:v>
                </c:pt>
                <c:pt idx="457">
                  <c:v>#N/A</c:v>
                </c:pt>
                <c:pt idx="458">
                  <c:v>#N/A</c:v>
                </c:pt>
                <c:pt idx="459">
                  <c:v>#N/A</c:v>
                </c:pt>
                <c:pt idx="460">
                  <c:v>9.9999999999999378</c:v>
                </c:pt>
                <c:pt idx="461">
                  <c:v>#N/A</c:v>
                </c:pt>
                <c:pt idx="462">
                  <c:v>#N/A</c:v>
                </c:pt>
                <c:pt idx="463">
                  <c:v>#N/A</c:v>
                </c:pt>
                <c:pt idx="464">
                  <c:v>#N/A</c:v>
                </c:pt>
                <c:pt idx="465">
                  <c:v>#N/A</c:v>
                </c:pt>
                <c:pt idx="466">
                  <c:v>#N/A</c:v>
                </c:pt>
                <c:pt idx="467">
                  <c:v>#N/A</c:v>
                </c:pt>
                <c:pt idx="468">
                  <c:v>#N/A</c:v>
                </c:pt>
                <c:pt idx="469">
                  <c:v>#N/A</c:v>
                </c:pt>
                <c:pt idx="470">
                  <c:v>10.999999999999934</c:v>
                </c:pt>
                <c:pt idx="471">
                  <c:v>#N/A</c:v>
                </c:pt>
                <c:pt idx="472">
                  <c:v>#N/A</c:v>
                </c:pt>
                <c:pt idx="473">
                  <c:v>#N/A</c:v>
                </c:pt>
                <c:pt idx="474">
                  <c:v>#N/A</c:v>
                </c:pt>
                <c:pt idx="475">
                  <c:v>#N/A</c:v>
                </c:pt>
                <c:pt idx="476">
                  <c:v>#N/A</c:v>
                </c:pt>
                <c:pt idx="477">
                  <c:v>#N/A</c:v>
                </c:pt>
                <c:pt idx="478">
                  <c:v>#N/A</c:v>
                </c:pt>
                <c:pt idx="479">
                  <c:v>#N/A</c:v>
                </c:pt>
                <c:pt idx="480">
                  <c:v>11.999999999999931</c:v>
                </c:pt>
                <c:pt idx="481">
                  <c:v>#N/A</c:v>
                </c:pt>
                <c:pt idx="482">
                  <c:v>#N/A</c:v>
                </c:pt>
                <c:pt idx="483">
                  <c:v>#N/A</c:v>
                </c:pt>
                <c:pt idx="484">
                  <c:v>#N/A</c:v>
                </c:pt>
                <c:pt idx="485">
                  <c:v>#N/A</c:v>
                </c:pt>
                <c:pt idx="486">
                  <c:v>#N/A</c:v>
                </c:pt>
                <c:pt idx="487">
                  <c:v>#N/A</c:v>
                </c:pt>
                <c:pt idx="488">
                  <c:v>#N/A</c:v>
                </c:pt>
                <c:pt idx="489">
                  <c:v>#N/A</c:v>
                </c:pt>
                <c:pt idx="490">
                  <c:v>12.999999999999927</c:v>
                </c:pt>
                <c:pt idx="491">
                  <c:v>#N/A</c:v>
                </c:pt>
                <c:pt idx="492">
                  <c:v>#N/A</c:v>
                </c:pt>
                <c:pt idx="493">
                  <c:v>#N/A</c:v>
                </c:pt>
                <c:pt idx="494">
                  <c:v>#N/A</c:v>
                </c:pt>
                <c:pt idx="495">
                  <c:v>#N/A</c:v>
                </c:pt>
                <c:pt idx="496">
                  <c:v>#N/A</c:v>
                </c:pt>
                <c:pt idx="497">
                  <c:v>#N/A</c:v>
                </c:pt>
                <c:pt idx="498">
                  <c:v>#N/A</c:v>
                </c:pt>
                <c:pt idx="499">
                  <c:v>#N/A</c:v>
                </c:pt>
                <c:pt idx="500">
                  <c:v>13.999999999999924</c:v>
                </c:pt>
                <c:pt idx="501">
                  <c:v>#N/A</c:v>
                </c:pt>
                <c:pt idx="502">
                  <c:v>#N/A</c:v>
                </c:pt>
                <c:pt idx="503">
                  <c:v>#N/A</c:v>
                </c:pt>
                <c:pt idx="504">
                  <c:v>#N/A</c:v>
                </c:pt>
                <c:pt idx="505">
                  <c:v>#N/A</c:v>
                </c:pt>
                <c:pt idx="506">
                  <c:v>#N/A</c:v>
                </c:pt>
                <c:pt idx="507">
                  <c:v>#N/A</c:v>
                </c:pt>
                <c:pt idx="508">
                  <c:v>#N/A</c:v>
                </c:pt>
                <c:pt idx="509">
                  <c:v>#N/A</c:v>
                </c:pt>
                <c:pt idx="510">
                  <c:v>14.99999999999992</c:v>
                </c:pt>
                <c:pt idx="511">
                  <c:v>#N/A</c:v>
                </c:pt>
                <c:pt idx="512">
                  <c:v>#N/A</c:v>
                </c:pt>
                <c:pt idx="513">
                  <c:v>#N/A</c:v>
                </c:pt>
                <c:pt idx="514">
                  <c:v>#N/A</c:v>
                </c:pt>
                <c:pt idx="515">
                  <c:v>#N/A</c:v>
                </c:pt>
                <c:pt idx="516">
                  <c:v>#N/A</c:v>
                </c:pt>
                <c:pt idx="517">
                  <c:v>#N/A</c:v>
                </c:pt>
                <c:pt idx="518">
                  <c:v>#N/A</c:v>
                </c:pt>
                <c:pt idx="519">
                  <c:v>#N/A</c:v>
                </c:pt>
                <c:pt idx="520">
                  <c:v>15.999999999999917</c:v>
                </c:pt>
                <c:pt idx="521">
                  <c:v>#N/A</c:v>
                </c:pt>
                <c:pt idx="522">
                  <c:v>#N/A</c:v>
                </c:pt>
                <c:pt idx="523">
                  <c:v>#N/A</c:v>
                </c:pt>
                <c:pt idx="524">
                  <c:v>#N/A</c:v>
                </c:pt>
                <c:pt idx="525">
                  <c:v>#N/A</c:v>
                </c:pt>
                <c:pt idx="526">
                  <c:v>#N/A</c:v>
                </c:pt>
                <c:pt idx="527">
                  <c:v>#N/A</c:v>
                </c:pt>
                <c:pt idx="528">
                  <c:v>#N/A</c:v>
                </c:pt>
                <c:pt idx="529">
                  <c:v>#N/A</c:v>
                </c:pt>
                <c:pt idx="530">
                  <c:v>16.999999999999929</c:v>
                </c:pt>
                <c:pt idx="531">
                  <c:v>#N/A</c:v>
                </c:pt>
                <c:pt idx="532">
                  <c:v>#N/A</c:v>
                </c:pt>
                <c:pt idx="533">
                  <c:v>#N/A</c:v>
                </c:pt>
                <c:pt idx="534">
                  <c:v>#N/A</c:v>
                </c:pt>
                <c:pt idx="535">
                  <c:v>#N/A</c:v>
                </c:pt>
                <c:pt idx="536">
                  <c:v>#N/A</c:v>
                </c:pt>
                <c:pt idx="537">
                  <c:v>#N/A</c:v>
                </c:pt>
                <c:pt idx="538">
                  <c:v>#N/A</c:v>
                </c:pt>
                <c:pt idx="539">
                  <c:v>#N/A</c:v>
                </c:pt>
                <c:pt idx="540">
                  <c:v>17.999999999999943</c:v>
                </c:pt>
                <c:pt idx="541">
                  <c:v>#N/A</c:v>
                </c:pt>
                <c:pt idx="542">
                  <c:v>#N/A</c:v>
                </c:pt>
                <c:pt idx="543">
                  <c:v>#N/A</c:v>
                </c:pt>
                <c:pt idx="544">
                  <c:v>#N/A</c:v>
                </c:pt>
                <c:pt idx="545">
                  <c:v>#N/A</c:v>
                </c:pt>
                <c:pt idx="546">
                  <c:v>#N/A</c:v>
                </c:pt>
                <c:pt idx="547">
                  <c:v>#N/A</c:v>
                </c:pt>
                <c:pt idx="548">
                  <c:v>#N/A</c:v>
                </c:pt>
                <c:pt idx="549">
                  <c:v>#N/A</c:v>
                </c:pt>
                <c:pt idx="550">
                  <c:v>18.999999999999957</c:v>
                </c:pt>
                <c:pt idx="551">
                  <c:v>#N/A</c:v>
                </c:pt>
                <c:pt idx="552">
                  <c:v>#N/A</c:v>
                </c:pt>
                <c:pt idx="553">
                  <c:v>#N/A</c:v>
                </c:pt>
                <c:pt idx="554">
                  <c:v>#N/A</c:v>
                </c:pt>
                <c:pt idx="555">
                  <c:v>#N/A</c:v>
                </c:pt>
                <c:pt idx="556">
                  <c:v>#N/A</c:v>
                </c:pt>
                <c:pt idx="557">
                  <c:v>#N/A</c:v>
                </c:pt>
                <c:pt idx="558">
                  <c:v>#N/A</c:v>
                </c:pt>
                <c:pt idx="559">
                  <c:v>#N/A</c:v>
                </c:pt>
                <c:pt idx="560">
                  <c:v>19.999999999999972</c:v>
                </c:pt>
                <c:pt idx="561">
                  <c:v>#N/A</c:v>
                </c:pt>
                <c:pt idx="562">
                  <c:v>#N/A</c:v>
                </c:pt>
                <c:pt idx="563">
                  <c:v>#N/A</c:v>
                </c:pt>
                <c:pt idx="564">
                  <c:v>#N/A</c:v>
                </c:pt>
                <c:pt idx="565">
                  <c:v>#N/A</c:v>
                </c:pt>
                <c:pt idx="566">
                  <c:v>#N/A</c:v>
                </c:pt>
                <c:pt idx="567">
                  <c:v>#N/A</c:v>
                </c:pt>
                <c:pt idx="568">
                  <c:v>#N/A</c:v>
                </c:pt>
                <c:pt idx="569">
                  <c:v>#N/A</c:v>
                </c:pt>
                <c:pt idx="570">
                  <c:v>20.999999999999986</c:v>
                </c:pt>
                <c:pt idx="571">
                  <c:v>#N/A</c:v>
                </c:pt>
                <c:pt idx="572">
                  <c:v>#N/A</c:v>
                </c:pt>
                <c:pt idx="573">
                  <c:v>#N/A</c:v>
                </c:pt>
                <c:pt idx="574">
                  <c:v>#N/A</c:v>
                </c:pt>
                <c:pt idx="575">
                  <c:v>#N/A</c:v>
                </c:pt>
                <c:pt idx="576">
                  <c:v>#N/A</c:v>
                </c:pt>
                <c:pt idx="577">
                  <c:v>#N/A</c:v>
                </c:pt>
                <c:pt idx="578">
                  <c:v>#N/A</c:v>
                </c:pt>
                <c:pt idx="579">
                  <c:v>#N/A</c:v>
                </c:pt>
                <c:pt idx="580">
                  <c:v>22</c:v>
                </c:pt>
                <c:pt idx="581">
                  <c:v>#N/A</c:v>
                </c:pt>
                <c:pt idx="582">
                  <c:v>#N/A</c:v>
                </c:pt>
                <c:pt idx="583">
                  <c:v>#N/A</c:v>
                </c:pt>
                <c:pt idx="584">
                  <c:v>#N/A</c:v>
                </c:pt>
                <c:pt idx="585">
                  <c:v>#N/A</c:v>
                </c:pt>
                <c:pt idx="586">
                  <c:v>#N/A</c:v>
                </c:pt>
                <c:pt idx="587">
                  <c:v>#N/A</c:v>
                </c:pt>
                <c:pt idx="588">
                  <c:v>#N/A</c:v>
                </c:pt>
                <c:pt idx="589">
                  <c:v>#N/A</c:v>
                </c:pt>
                <c:pt idx="590">
                  <c:v>23.000000000000014</c:v>
                </c:pt>
                <c:pt idx="591">
                  <c:v>#N/A</c:v>
                </c:pt>
                <c:pt idx="592">
                  <c:v>#N/A</c:v>
                </c:pt>
                <c:pt idx="593">
                  <c:v>#N/A</c:v>
                </c:pt>
                <c:pt idx="594">
                  <c:v>#N/A</c:v>
                </c:pt>
                <c:pt idx="595">
                  <c:v>#N/A</c:v>
                </c:pt>
                <c:pt idx="596">
                  <c:v>#N/A</c:v>
                </c:pt>
                <c:pt idx="597">
                  <c:v>#N/A</c:v>
                </c:pt>
                <c:pt idx="598">
                  <c:v>#N/A</c:v>
                </c:pt>
                <c:pt idx="599">
                  <c:v>#N/A</c:v>
                </c:pt>
                <c:pt idx="600">
                  <c:v>24.000000000000028</c:v>
                </c:pt>
                <c:pt idx="601">
                  <c:v>#N/A</c:v>
                </c:pt>
                <c:pt idx="602">
                  <c:v>#N/A</c:v>
                </c:pt>
                <c:pt idx="603">
                  <c:v>#N/A</c:v>
                </c:pt>
                <c:pt idx="604">
                  <c:v>#N/A</c:v>
                </c:pt>
                <c:pt idx="605">
                  <c:v>#N/A</c:v>
                </c:pt>
                <c:pt idx="606">
                  <c:v>#N/A</c:v>
                </c:pt>
                <c:pt idx="607">
                  <c:v>#N/A</c:v>
                </c:pt>
                <c:pt idx="608">
                  <c:v>#N/A</c:v>
                </c:pt>
                <c:pt idx="609">
                  <c:v>#N/A</c:v>
                </c:pt>
                <c:pt idx="610">
                  <c:v>25.000000000000043</c:v>
                </c:pt>
                <c:pt idx="611">
                  <c:v>#N/A</c:v>
                </c:pt>
                <c:pt idx="612">
                  <c:v>#N/A</c:v>
                </c:pt>
                <c:pt idx="613">
                  <c:v>#N/A</c:v>
                </c:pt>
                <c:pt idx="614">
                  <c:v>#N/A</c:v>
                </c:pt>
                <c:pt idx="615">
                  <c:v>#N/A</c:v>
                </c:pt>
                <c:pt idx="616">
                  <c:v>#N/A</c:v>
                </c:pt>
                <c:pt idx="617">
                  <c:v>#N/A</c:v>
                </c:pt>
                <c:pt idx="618">
                  <c:v>#N/A</c:v>
                </c:pt>
                <c:pt idx="619">
                  <c:v>#N/A</c:v>
                </c:pt>
                <c:pt idx="620">
                  <c:v>26.000000000000057</c:v>
                </c:pt>
                <c:pt idx="621">
                  <c:v>#N/A</c:v>
                </c:pt>
                <c:pt idx="622">
                  <c:v>#N/A</c:v>
                </c:pt>
                <c:pt idx="623">
                  <c:v>#N/A</c:v>
                </c:pt>
                <c:pt idx="624">
                  <c:v>#N/A</c:v>
                </c:pt>
                <c:pt idx="625">
                  <c:v>#N/A</c:v>
                </c:pt>
                <c:pt idx="626">
                  <c:v>#N/A</c:v>
                </c:pt>
                <c:pt idx="627">
                  <c:v>#N/A</c:v>
                </c:pt>
                <c:pt idx="628">
                  <c:v>#N/A</c:v>
                </c:pt>
                <c:pt idx="629">
                  <c:v>#N/A</c:v>
                </c:pt>
                <c:pt idx="630">
                  <c:v>27.000000000000071</c:v>
                </c:pt>
                <c:pt idx="631">
                  <c:v>#N/A</c:v>
                </c:pt>
                <c:pt idx="632">
                  <c:v>#N/A</c:v>
                </c:pt>
                <c:pt idx="633">
                  <c:v>#N/A</c:v>
                </c:pt>
                <c:pt idx="634">
                  <c:v>#N/A</c:v>
                </c:pt>
                <c:pt idx="635">
                  <c:v>#N/A</c:v>
                </c:pt>
                <c:pt idx="636">
                  <c:v>#N/A</c:v>
                </c:pt>
                <c:pt idx="637">
                  <c:v>#N/A</c:v>
                </c:pt>
                <c:pt idx="638">
                  <c:v>#N/A</c:v>
                </c:pt>
                <c:pt idx="639">
                  <c:v>#N/A</c:v>
                </c:pt>
                <c:pt idx="640">
                  <c:v>28.000000000000085</c:v>
                </c:pt>
                <c:pt idx="641">
                  <c:v>#N/A</c:v>
                </c:pt>
                <c:pt idx="642">
                  <c:v>#N/A</c:v>
                </c:pt>
                <c:pt idx="643">
                  <c:v>#N/A</c:v>
                </c:pt>
                <c:pt idx="644">
                  <c:v>#N/A</c:v>
                </c:pt>
                <c:pt idx="645">
                  <c:v>#N/A</c:v>
                </c:pt>
                <c:pt idx="646">
                  <c:v>#N/A</c:v>
                </c:pt>
                <c:pt idx="647">
                  <c:v>#N/A</c:v>
                </c:pt>
                <c:pt idx="648">
                  <c:v>#N/A</c:v>
                </c:pt>
                <c:pt idx="649">
                  <c:v>#N/A</c:v>
                </c:pt>
                <c:pt idx="650">
                  <c:v>29.000000000000099</c:v>
                </c:pt>
                <c:pt idx="651">
                  <c:v>#N/A</c:v>
                </c:pt>
                <c:pt idx="652">
                  <c:v>#N/A</c:v>
                </c:pt>
                <c:pt idx="653">
                  <c:v>#N/A</c:v>
                </c:pt>
                <c:pt idx="654">
                  <c:v>#N/A</c:v>
                </c:pt>
                <c:pt idx="655">
                  <c:v>#N/A</c:v>
                </c:pt>
                <c:pt idx="656">
                  <c:v>#N/A</c:v>
                </c:pt>
                <c:pt idx="657">
                  <c:v>#N/A</c:v>
                </c:pt>
                <c:pt idx="658">
                  <c:v>#N/A</c:v>
                </c:pt>
                <c:pt idx="659">
                  <c:v>#N/A</c:v>
                </c:pt>
                <c:pt idx="660">
                  <c:v>30.000000000000114</c:v>
                </c:pt>
                <c:pt idx="661">
                  <c:v>#N/A</c:v>
                </c:pt>
                <c:pt idx="662">
                  <c:v>#N/A</c:v>
                </c:pt>
                <c:pt idx="663">
                  <c:v>#N/A</c:v>
                </c:pt>
                <c:pt idx="664">
                  <c:v>#N/A</c:v>
                </c:pt>
                <c:pt idx="665">
                  <c:v>#N/A</c:v>
                </c:pt>
                <c:pt idx="666">
                  <c:v>#N/A</c:v>
                </c:pt>
                <c:pt idx="667">
                  <c:v>#N/A</c:v>
                </c:pt>
                <c:pt idx="668">
                  <c:v>#N/A</c:v>
                </c:pt>
                <c:pt idx="669">
                  <c:v>#N/A</c:v>
                </c:pt>
                <c:pt idx="670">
                  <c:v>31.000000000000128</c:v>
                </c:pt>
                <c:pt idx="671">
                  <c:v>#N/A</c:v>
                </c:pt>
                <c:pt idx="672">
                  <c:v>#N/A</c:v>
                </c:pt>
                <c:pt idx="673">
                  <c:v>#N/A</c:v>
                </c:pt>
                <c:pt idx="674">
                  <c:v>#N/A</c:v>
                </c:pt>
                <c:pt idx="675">
                  <c:v>#N/A</c:v>
                </c:pt>
                <c:pt idx="676">
                  <c:v>#N/A</c:v>
                </c:pt>
                <c:pt idx="677">
                  <c:v>#N/A</c:v>
                </c:pt>
                <c:pt idx="678">
                  <c:v>#N/A</c:v>
                </c:pt>
                <c:pt idx="679">
                  <c:v>#N/A</c:v>
                </c:pt>
                <c:pt idx="680">
                  <c:v>32.000000000000142</c:v>
                </c:pt>
                <c:pt idx="681">
                  <c:v>#N/A</c:v>
                </c:pt>
                <c:pt idx="682">
                  <c:v>#N/A</c:v>
                </c:pt>
                <c:pt idx="683">
                  <c:v>#N/A</c:v>
                </c:pt>
                <c:pt idx="684">
                  <c:v>#N/A</c:v>
                </c:pt>
                <c:pt idx="685">
                  <c:v>#N/A</c:v>
                </c:pt>
                <c:pt idx="686">
                  <c:v>#N/A</c:v>
                </c:pt>
                <c:pt idx="687">
                  <c:v>#N/A</c:v>
                </c:pt>
                <c:pt idx="688">
                  <c:v>#N/A</c:v>
                </c:pt>
                <c:pt idx="689">
                  <c:v>#N/A</c:v>
                </c:pt>
                <c:pt idx="690">
                  <c:v>33.000000000000156</c:v>
                </c:pt>
                <c:pt idx="691">
                  <c:v>#N/A</c:v>
                </c:pt>
                <c:pt idx="692">
                  <c:v>#N/A</c:v>
                </c:pt>
                <c:pt idx="693">
                  <c:v>#N/A</c:v>
                </c:pt>
                <c:pt idx="694">
                  <c:v>#N/A</c:v>
                </c:pt>
                <c:pt idx="695">
                  <c:v>#N/A</c:v>
                </c:pt>
                <c:pt idx="696">
                  <c:v>#N/A</c:v>
                </c:pt>
                <c:pt idx="697">
                  <c:v>#N/A</c:v>
                </c:pt>
                <c:pt idx="698">
                  <c:v>#N/A</c:v>
                </c:pt>
                <c:pt idx="699">
                  <c:v>#N/A</c:v>
                </c:pt>
                <c:pt idx="700">
                  <c:v>34.000000000000171</c:v>
                </c:pt>
                <c:pt idx="701">
                  <c:v>#N/A</c:v>
                </c:pt>
                <c:pt idx="702">
                  <c:v>#N/A</c:v>
                </c:pt>
                <c:pt idx="703">
                  <c:v>#N/A</c:v>
                </c:pt>
                <c:pt idx="704">
                  <c:v>#N/A</c:v>
                </c:pt>
                <c:pt idx="705">
                  <c:v>#N/A</c:v>
                </c:pt>
                <c:pt idx="706">
                  <c:v>#N/A</c:v>
                </c:pt>
                <c:pt idx="707">
                  <c:v>#N/A</c:v>
                </c:pt>
                <c:pt idx="708">
                  <c:v>#N/A</c:v>
                </c:pt>
                <c:pt idx="709">
                  <c:v>#N/A</c:v>
                </c:pt>
                <c:pt idx="710">
                  <c:v>35.000000000000185</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Calculs!$K$4:$K$1004</c:f>
              <c:numCache>
                <c:formatCode>0.00</c:formatCode>
                <c:ptCount val="1001"/>
                <c:pt idx="0">
                  <c:v>0</c:v>
                </c:pt>
                <c:pt idx="1">
                  <c:v>0</c:v>
                </c:pt>
                <c:pt idx="2">
                  <c:v>9.256745468933812E-4</c:v>
                </c:pt>
                <c:pt idx="3">
                  <c:v>4.6375098159864465E-3</c:v>
                </c:pt>
                <c:pt idx="4">
                  <c:v>1.3005881763920295E-2</c:v>
                </c:pt>
                <c:pt idx="5">
                  <c:v>2.7902932677719018E-2</c:v>
                </c:pt>
                <c:pt idx="6">
                  <c:v>5.0729494037892092E-2</c:v>
                </c:pt>
                <c:pt idx="7">
                  <c:v>8.1940908218334885E-2</c:v>
                </c:pt>
                <c:pt idx="8">
                  <c:v>0.12151931462913008</c:v>
                </c:pt>
                <c:pt idx="9">
                  <c:v>0.16944677622685986</c:v>
                </c:pt>
                <c:pt idx="10">
                  <c:v>0.22570527978592239</c:v>
                </c:pt>
                <c:pt idx="11">
                  <c:v>0.29027673617222649</c:v>
                </c:pt>
                <c:pt idx="12">
                  <c:v>0.36314298061924566</c:v>
                </c:pt>
                <c:pt idx="13">
                  <c:v>0.44428577300641242</c:v>
                </c:pt>
                <c:pt idx="14">
                  <c:v>0.53368679813983388</c:v>
                </c:pt>
                <c:pt idx="15">
                  <c:v>0.63132766603530943</c:v>
                </c:pt>
                <c:pt idx="16">
                  <c:v>0.7371899122036305</c:v>
                </c:pt>
                <c:pt idx="17">
                  <c:v>0.85125499793814385</c:v>
                </c:pt>
                <c:pt idx="18">
                  <c:v>0.973504310604557</c:v>
                </c:pt>
                <c:pt idx="19">
                  <c:v>1.1039191639329675</c:v>
                </c:pt>
                <c:pt idx="20">
                  <c:v>1.2424807983120951</c:v>
                </c:pt>
                <c:pt idx="21">
                  <c:v>1.3891703810856959</c:v>
                </c:pt>
                <c:pt idx="22">
                  <c:v>1.5439690068511398</c:v>
                </c:pt>
                <c:pt idx="23">
                  <c:v>1.7068576977601289</c:v>
                </c:pt>
                <c:pt idx="24">
                  <c:v>1.8778174038215372</c:v>
                </c:pt>
                <c:pt idx="25">
                  <c:v>2.0568290032063508</c:v>
                </c:pt>
                <c:pt idx="26">
                  <c:v>2.2438733025546869</c:v>
                </c:pt>
                <c:pt idx="27">
                  <c:v>2.4389310372848709</c:v>
                </c:pt>
                <c:pt idx="28">
                  <c:v>2.6419828719045495</c:v>
                </c:pt>
                <c:pt idx="29">
                  <c:v>2.8530094003238204</c:v>
                </c:pt>
                <c:pt idx="30">
                  <c:v>3.0719911461703555</c:v>
                </c:pt>
                <c:pt idx="31">
                  <c:v>3.2989085631064961</c:v>
                </c:pt>
                <c:pt idx="32">
                  <c:v>3.5337420351482973</c:v>
                </c:pt>
                <c:pt idx="33">
                  <c:v>3.7764718769865033</c:v>
                </c:pt>
                <c:pt idx="34">
                  <c:v>4.0270783343094267</c:v>
                </c:pt>
                <c:pt idx="35">
                  <c:v>4.2855267870942164</c:v>
                </c:pt>
                <c:pt idx="36">
                  <c:v>4.5517820584966753</c:v>
                </c:pt>
                <c:pt idx="37">
                  <c:v>4.8258232181161596</c:v>
                </c:pt>
                <c:pt idx="38">
                  <c:v>5.1076292862374588</c:v>
                </c:pt>
                <c:pt idx="39">
                  <c:v>5.3971792401500984</c:v>
                </c:pt>
                <c:pt idx="40">
                  <c:v>5.6944520133574148</c:v>
                </c:pt>
                <c:pt idx="41">
                  <c:v>5.9994264948718143</c:v>
                </c:pt>
                <c:pt idx="42">
                  <c:v>6.3120815285877736</c:v>
                </c:pt>
                <c:pt idx="43">
                  <c:v>6.6323959127251593</c:v>
                </c:pt>
                <c:pt idx="44">
                  <c:v>6.960348399336354</c:v>
                </c:pt>
                <c:pt idx="45">
                  <c:v>7.2959176938714139</c:v>
                </c:pt>
                <c:pt idx="46">
                  <c:v>7.6390824547961556</c:v>
                </c:pt>
                <c:pt idx="47">
                  <c:v>7.9898212932586299</c:v>
                </c:pt>
                <c:pt idx="48">
                  <c:v>8.3481127727999347</c:v>
                </c:pt>
                <c:pt idx="49">
                  <c:v>8.7139354091057477</c:v>
                </c:pt>
                <c:pt idx="50">
                  <c:v>9.087267669795331</c:v>
                </c:pt>
                <c:pt idx="51">
                  <c:v>9.4680904607792051</c:v>
                </c:pt>
                <c:pt idx="52">
                  <c:v>9.8563896156349617</c:v>
                </c:pt>
                <c:pt idx="53">
                  <c:v>10.252153413149001</c:v>
                </c:pt>
                <c:pt idx="54">
                  <c:v>10.6553700918227</c:v>
                </c:pt>
                <c:pt idx="55">
                  <c:v>11.066027849655297</c:v>
                </c:pt>
                <c:pt idx="56">
                  <c:v>11.484114843947582</c:v>
                </c:pt>
                <c:pt idx="57">
                  <c:v>11.909619191125028</c:v>
                </c:pt>
                <c:pt idx="58">
                  <c:v>12.342528966579124</c:v>
                </c:pt>
                <c:pt idx="59">
                  <c:v>12.782832204525784</c:v>
                </c:pt>
                <c:pt idx="60">
                  <c:v>13.230516897879768</c:v>
                </c:pt>
                <c:pt idx="61">
                  <c:v>13.685570998144183</c:v>
                </c:pt>
                <c:pt idx="62">
                  <c:v>14.147982415314159</c:v>
                </c:pt>
                <c:pt idx="63">
                  <c:v>14.617739017793911</c:v>
                </c:pt>
                <c:pt idx="64">
                  <c:v>15.094828632326408</c:v>
                </c:pt>
                <c:pt idx="65">
                  <c:v>15.57923904393499</c:v>
                </c:pt>
                <c:pt idx="66">
                  <c:v>16.07095799587626</c:v>
                </c:pt>
                <c:pt idx="67">
                  <c:v>16.569973189603672</c:v>
                </c:pt>
                <c:pt idx="68">
                  <c:v>17.076272284741261</c:v>
                </c:pt>
                <c:pt idx="69">
                  <c:v>17.589842899067008</c:v>
                </c:pt>
                <c:pt idx="70">
                  <c:v>18.110672608505332</c:v>
                </c:pt>
                <c:pt idx="71">
                  <c:v>18.63874894712832</c:v>
                </c:pt>
                <c:pt idx="72">
                  <c:v>19.174059407165217</c:v>
                </c:pt>
                <c:pt idx="73">
                  <c:v>19.716591439019826</c:v>
                </c:pt>
                <c:pt idx="74">
                  <c:v>20.266332451295462</c:v>
                </c:pt>
                <c:pt idx="75">
                  <c:v>20.823269810827078</c:v>
                </c:pt>
                <c:pt idx="76">
                  <c:v>21.387390842720297</c:v>
                </c:pt>
                <c:pt idx="77">
                  <c:v>21.95868283039702</c:v>
                </c:pt>
                <c:pt idx="78">
                  <c:v>22.537133015647321</c:v>
                </c:pt>
                <c:pt idx="79">
                  <c:v>23.122728598687409</c:v>
                </c:pt>
                <c:pt idx="80">
                  <c:v>23.715456738223363</c:v>
                </c:pt>
                <c:pt idx="81">
                  <c:v>24.31530455152042</c:v>
                </c:pt>
                <c:pt idx="82">
                  <c:v>24.922259114477619</c:v>
                </c:pt>
                <c:pt idx="83">
                  <c:v>25.536307461707565</c:v>
                </c:pt>
                <c:pt idx="84">
                  <c:v>26.157436586621124</c:v>
                </c:pt>
                <c:pt idx="85">
                  <c:v>26.785633441516868</c:v>
                </c:pt>
                <c:pt idx="86">
                  <c:v>27.420884937675105</c:v>
                </c:pt>
                <c:pt idx="87">
                  <c:v>28.063177945456289</c:v>
                </c:pt>
                <c:pt idx="88">
                  <c:v>28.712499294403703</c:v>
                </c:pt>
                <c:pt idx="89">
                  <c:v>29.368835773350227</c:v>
                </c:pt>
                <c:pt idx="90">
                  <c:v>30.032174130529068</c:v>
                </c:pt>
                <c:pt idx="91">
                  <c:v>30.702501073688307</c:v>
                </c:pt>
                <c:pt idx="92">
                  <c:v>31.379803270209145</c:v>
                </c:pt>
                <c:pt idx="93">
                  <c:v>32.064067347227706</c:v>
                </c:pt>
                <c:pt idx="94">
                  <c:v>32.75527989176031</c:v>
                </c:pt>
                <c:pt idx="95">
                  <c:v>33.453427450832081</c:v>
                </c:pt>
                <c:pt idx="96">
                  <c:v>34.158496531608776</c:v>
                </c:pt>
                <c:pt idx="97">
                  <c:v>34.870473601531785</c:v>
                </c:pt>
                <c:pt idx="98">
                  <c:v>35.589345088456128</c:v>
                </c:pt>
                <c:pt idx="99">
                  <c:v>36.315097380791421</c:v>
                </c:pt>
                <c:pt idx="100">
                  <c:v>37.047716827645679</c:v>
                </c:pt>
                <c:pt idx="101">
                  <c:v>37.787188597185938</c:v>
                </c:pt>
                <c:pt idx="102">
                  <c:v>38.533495533942798</c:v>
                </c:pt>
                <c:pt idx="103">
                  <c:v>39.286619299474474</c:v>
                </c:pt>
                <c:pt idx="104">
                  <c:v>40.04654151413277</c:v>
                </c:pt>
                <c:pt idx="105">
                  <c:v>40.813243757301436</c:v>
                </c:pt>
                <c:pt idx="106">
                  <c:v>41.586707567636964</c:v>
                </c:pt>
                <c:pt idx="107">
                  <c:v>42.366914443311806</c:v>
                </c:pt>
                <c:pt idx="108">
                  <c:v>43.153845842259891</c:v>
                </c:pt>
                <c:pt idx="109">
                  <c:v>43.947483182424349</c:v>
                </c:pt>
                <c:pt idx="110">
                  <c:v>44.74780784200744</c:v>
                </c:pt>
                <c:pt idx="111">
                  <c:v>45.554801159722523</c:v>
                </c:pt>
                <c:pt idx="112">
                  <c:v>46.368444435048083</c:v>
                </c:pt>
                <c:pt idx="113">
                  <c:v>47.188718928483702</c:v>
                </c:pt>
                <c:pt idx="114">
                  <c:v>48.015605861807899</c:v>
                </c:pt>
                <c:pt idx="115">
                  <c:v>48.849086418337819</c:v>
                </c:pt>
                <c:pt idx="116">
                  <c:v>49.689141743190675</c:v>
                </c:pt>
                <c:pt idx="117">
                  <c:v>50.535752943546903</c:v>
                </c:pt>
                <c:pt idx="118">
                  <c:v>51.38890108891497</c:v>
                </c:pt>
                <c:pt idx="119">
                  <c:v>52.248567211397784</c:v>
                </c:pt>
                <c:pt idx="120">
                  <c:v>53.114732305960622</c:v>
                </c:pt>
                <c:pt idx="121">
                  <c:v>53.987377330700575</c:v>
                </c:pt>
                <c:pt idx="122">
                  <c:v>54.866483207117412</c:v>
                </c:pt>
                <c:pt idx="123">
                  <c:v>55.752030820385855</c:v>
                </c:pt>
                <c:pt idx="124">
                  <c:v>56.644001019629179</c:v>
                </c:pt>
                <c:pt idx="125">
                  <c:v>57.542374618194117</c:v>
                </c:pt>
                <c:pt idx="126">
                  <c:v>58.447132393927006</c:v>
                </c:pt>
                <c:pt idx="127">
                  <c:v>59.358255089451163</c:v>
                </c:pt>
                <c:pt idx="128">
                  <c:v>60.27572341244538</c:v>
                </c:pt>
                <c:pt idx="129">
                  <c:v>61.199518035923589</c:v>
                </c:pt>
                <c:pt idx="130">
                  <c:v>62.129619598515568</c:v>
                </c:pt>
                <c:pt idx="131">
                  <c:v>63.066008704748711</c:v>
                </c:pt>
                <c:pt idx="132">
                  <c:v>64.008665925330774</c:v>
                </c:pt>
                <c:pt idx="133">
                  <c:v>64.957571797433602</c:v>
                </c:pt>
                <c:pt idx="134">
                  <c:v>65.912706824977775</c:v>
                </c:pt>
                <c:pt idx="135">
                  <c:v>66.874051478918133</c:v>
                </c:pt>
                <c:pt idx="136">
                  <c:v>67.841586197530134</c:v>
                </c:pt>
                <c:pt idx="137">
                  <c:v>68.815291386697083</c:v>
                </c:pt>
                <c:pt idx="138">
                  <c:v>69.795147420198063</c:v>
                </c:pt>
                <c:pt idx="139">
                  <c:v>70.781134639996679</c:v>
                </c:pt>
                <c:pt idx="140">
                  <c:v>71.773233356530483</c:v>
                </c:pt>
                <c:pt idx="141">
                  <c:v>72.771423849001081</c:v>
                </c:pt>
                <c:pt idx="142">
                  <c:v>73.775686365664882</c:v>
                </c:pt>
                <c:pt idx="143">
                  <c:v>74.786001124124482</c:v>
                </c:pt>
                <c:pt idx="144">
                  <c:v>75.802348311620591</c:v>
                </c:pt>
                <c:pt idx="145">
                  <c:v>76.824708085324573</c:v>
                </c:pt>
                <c:pt idx="146">
                  <c:v>77.853060572631492</c:v>
                </c:pt>
                <c:pt idx="147">
                  <c:v>78.887385871453588</c:v>
                </c:pt>
                <c:pt idx="148">
                  <c:v>79.927664050514309</c:v>
                </c:pt>
                <c:pt idx="149">
                  <c:v>80.973875149642751</c:v>
                </c:pt>
                <c:pt idx="150">
                  <c:v>82.025999180068482</c:v>
                </c:pt>
                <c:pt idx="151">
                  <c:v>83.084016511940348</c:v>
                </c:pt>
                <c:pt idx="152">
                  <c:v>84.147908262059872</c:v>
                </c:pt>
                <c:pt idx="153">
                  <c:v>85.217655907115997</c:v>
                </c:pt>
                <c:pt idx="154">
                  <c:v>86.293240896692211</c:v>
                </c:pt>
                <c:pt idx="155">
                  <c:v>87.374644653535711</c:v>
                </c:pt>
                <c:pt idx="156">
                  <c:v>88.461848573826828</c:v>
                </c:pt>
                <c:pt idx="157">
                  <c:v>89.554834027448891</c:v>
                </c:pt>
                <c:pt idx="158">
                  <c:v>90.653582358258248</c:v>
                </c:pt>
                <c:pt idx="159">
                  <c:v>91.758074884354642</c:v>
                </c:pt>
                <c:pt idx="160">
                  <c:v>92.868292898351797</c:v>
                </c:pt>
                <c:pt idx="161">
                  <c:v>93.984217667648238</c:v>
                </c:pt>
                <c:pt idx="162">
                  <c:v>95.105830434698305</c:v>
                </c:pt>
                <c:pt idx="163">
                  <c:v>96.233112417283337</c:v>
                </c:pt>
                <c:pt idx="164">
                  <c:v>97.366044808783087</c:v>
                </c:pt>
                <c:pt idx="165">
                  <c:v>98.504608778447135</c:v>
                </c:pt>
                <c:pt idx="166">
                  <c:v>99.648785471666585</c:v>
                </c:pt>
                <c:pt idx="167">
                  <c:v>100.79855601024575</c:v>
                </c:pt>
                <c:pt idx="168">
                  <c:v>101.95390149267392</c:v>
                </c:pt>
                <c:pt idx="169">
                  <c:v>103.11480299439731</c:v>
                </c:pt>
                <c:pt idx="170">
                  <c:v>104.28124156809086</c:v>
                </c:pt>
                <c:pt idx="171">
                  <c:v>105.45319824393022</c:v>
                </c:pt>
                <c:pt idx="172">
                  <c:v>106.63065402986365</c:v>
                </c:pt>
                <c:pt idx="173">
                  <c:v>107.81358991188395</c:v>
                </c:pt>
                <c:pt idx="174">
                  <c:v>109.00198685430033</c:v>
                </c:pt>
                <c:pt idx="175">
                  <c:v>110.19582580001023</c:v>
                </c:pt>
                <c:pt idx="176">
                  <c:v>111.39508767077106</c:v>
                </c:pt>
                <c:pt idx="177">
                  <c:v>112.59975336747193</c:v>
                </c:pt>
                <c:pt idx="178">
                  <c:v>113.80980377040517</c:v>
                </c:pt>
                <c:pt idx="179">
                  <c:v>115.02521973953775</c:v>
                </c:pt>
                <c:pt idx="180">
                  <c:v>116.24598211478263</c:v>
                </c:pt>
                <c:pt idx="181">
                  <c:v>117.47207171626994</c:v>
                </c:pt>
                <c:pt idx="182">
                  <c:v>118.70346934461783</c:v>
                </c:pt>
                <c:pt idx="183">
                  <c:v>119.94015578120342</c:v>
                </c:pt>
                <c:pt idx="184">
                  <c:v>121.18211178843325</c:v>
                </c:pt>
                <c:pt idx="185">
                  <c:v>122.42931811001372</c:v>
                </c:pt>
                <c:pt idx="186">
                  <c:v>123.68175547122119</c:v>
                </c:pt>
                <c:pt idx="187">
                  <c:v>124.93940457917186</c:v>
                </c:pt>
                <c:pt idx="188">
                  <c:v>126.20224612309134</c:v>
                </c:pt>
                <c:pt idx="189">
                  <c:v>127.47026077458401</c:v>
                </c:pt>
                <c:pt idx="190">
                  <c:v>128.743429187902</c:v>
                </c:pt>
                <c:pt idx="191">
                  <c:v>130.02173200021394</c:v>
                </c:pt>
                <c:pt idx="192">
                  <c:v>131.30514983187334</c:v>
                </c:pt>
                <c:pt idx="193">
                  <c:v>132.59366328668654</c:v>
                </c:pt>
                <c:pt idx="194">
                  <c:v>133.88725295218046</c:v>
                </c:pt>
                <c:pt idx="195">
                  <c:v>135.18589939986992</c:v>
                </c:pt>
                <c:pt idx="196">
                  <c:v>136.48958318552445</c:v>
                </c:pt>
                <c:pt idx="197">
                  <c:v>137.79828484943494</c:v>
                </c:pt>
                <c:pt idx="198">
                  <c:v>139.11198491667957</c:v>
                </c:pt>
                <c:pt idx="199">
                  <c:v>140.43066389738965</c:v>
                </c:pt>
                <c:pt idx="200">
                  <c:v>141.75430228701472</c:v>
                </c:pt>
                <c:pt idx="201">
                  <c:v>143.08288056658739</c:v>
                </c:pt>
                <c:pt idx="202">
                  <c:v>144.4163792029876</c:v>
                </c:pt>
                <c:pt idx="203">
                  <c:v>145.75477864920646</c:v>
                </c:pt>
                <c:pt idx="204">
                  <c:v>147.09805934460957</c:v>
                </c:pt>
                <c:pt idx="205">
                  <c:v>148.44620171519983</c:v>
                </c:pt>
                <c:pt idx="206">
                  <c:v>149.79918617387975</c:v>
                </c:pt>
                <c:pt idx="207">
                  <c:v>151.15699312071314</c:v>
                </c:pt>
                <c:pt idx="208">
                  <c:v>152.51960294318641</c:v>
                </c:pt>
                <c:pt idx="209">
                  <c:v>153.8869960164692</c:v>
                </c:pt>
                <c:pt idx="210">
                  <c:v>155.25915270367437</c:v>
                </c:pt>
                <c:pt idx="211">
                  <c:v>156.63605335611771</c:v>
                </c:pt>
                <c:pt idx="212">
                  <c:v>158.0176783135766</c:v>
                </c:pt>
                <c:pt idx="213">
                  <c:v>159.40400790454851</c:v>
                </c:pt>
                <c:pt idx="214">
                  <c:v>160.79502244650854</c:v>
                </c:pt>
                <c:pt idx="215">
                  <c:v>162.19070224616658</c:v>
                </c:pt>
                <c:pt idx="216">
                  <c:v>163.59102759972367</c:v>
                </c:pt>
                <c:pt idx="217">
                  <c:v>164.99597879312779</c:v>
                </c:pt>
                <c:pt idx="218">
                  <c:v>166.40553610232888</c:v>
                </c:pt>
                <c:pt idx="219">
                  <c:v>167.8196797935334</c:v>
                </c:pt>
                <c:pt idx="220">
                  <c:v>169.23839012345795</c:v>
                </c:pt>
                <c:pt idx="221">
                  <c:v>170.6616473395824</c:v>
                </c:pt>
                <c:pt idx="222">
                  <c:v>172.08943168040216</c:v>
                </c:pt>
                <c:pt idx="223">
                  <c:v>173.52172337567987</c:v>
                </c:pt>
                <c:pt idx="224">
                  <c:v>174.95850264669625</c:v>
                </c:pt>
                <c:pt idx="225">
                  <c:v>176.3997497065003</c:v>
                </c:pt>
                <c:pt idx="226">
                  <c:v>177.8454447601587</c:v>
                </c:pt>
                <c:pt idx="227">
                  <c:v>179.2955680050045</c:v>
                </c:pt>
                <c:pt idx="228">
                  <c:v>180.75009963088493</c:v>
                </c:pt>
                <c:pt idx="229">
                  <c:v>182.20901982040863</c:v>
                </c:pt>
                <c:pt idx="230">
                  <c:v>183.6723087491919</c:v>
                </c:pt>
                <c:pt idx="231">
                  <c:v>185.13994658610432</c:v>
                </c:pt>
                <c:pt idx="232">
                  <c:v>186.61191349351341</c:v>
                </c:pt>
                <c:pt idx="233">
                  <c:v>188.08818962752864</c:v>
                </c:pt>
                <c:pt idx="234">
                  <c:v>189.56875513824446</c:v>
                </c:pt>
                <c:pt idx="235">
                  <c:v>191.05359016998258</c:v>
                </c:pt>
                <c:pt idx="236">
                  <c:v>192.5426748615335</c:v>
                </c:pt>
                <c:pt idx="237">
                  <c:v>194.03598934639697</c:v>
                </c:pt>
                <c:pt idx="238">
                  <c:v>195.53351375302185</c:v>
                </c:pt>
                <c:pt idx="239">
                  <c:v>197.03522820504486</c:v>
                </c:pt>
                <c:pt idx="240">
                  <c:v>198.54111282152866</c:v>
                </c:pt>
                <c:pt idx="241">
                  <c:v>200.05114771719892</c:v>
                </c:pt>
                <c:pt idx="242">
                  <c:v>201.5653130026806</c:v>
                </c:pt>
                <c:pt idx="243">
                  <c:v>203.08358878473322</c:v>
                </c:pt>
                <c:pt idx="244">
                  <c:v>204.60595516648539</c:v>
                </c:pt>
                <c:pt idx="245">
                  <c:v>206.13239224766815</c:v>
                </c:pt>
                <c:pt idx="246">
                  <c:v>207.66288012484779</c:v>
                </c:pt>
                <c:pt idx="247">
                  <c:v>209.19739889165731</c:v>
                </c:pt>
                <c:pt idx="248">
                  <c:v>210.73592863902732</c:v>
                </c:pt>
                <c:pt idx="249">
                  <c:v>212.27844945541574</c:v>
                </c:pt>
                <c:pt idx="250">
                  <c:v>213.82494142703666</c:v>
                </c:pt>
                <c:pt idx="251">
                  <c:v>215.37538297758087</c:v>
                </c:pt>
                <c:pt idx="252">
                  <c:v>216.92974920816016</c:v>
                </c:pt>
                <c:pt idx="253">
                  <c:v>218.48801355941092</c:v>
                </c:pt>
                <c:pt idx="254">
                  <c:v>220.05014947342033</c:v>
                </c:pt>
                <c:pt idx="255">
                  <c:v>221.61613039404745</c:v>
                </c:pt>
                <c:pt idx="256">
                  <c:v>223.18592976724236</c:v>
                </c:pt>
                <c:pt idx="257">
                  <c:v>224.75952104136377</c:v>
                </c:pt>
                <c:pt idx="258">
                  <c:v>226.33687766749455</c:v>
                </c:pt>
                <c:pt idx="259">
                  <c:v>227.9179730997557</c:v>
                </c:pt>
                <c:pt idx="260">
                  <c:v>229.50278079561838</c:v>
                </c:pt>
                <c:pt idx="261">
                  <c:v>231.09127421621412</c:v>
                </c:pt>
                <c:pt idx="262">
                  <c:v>232.68342682664326</c:v>
                </c:pt>
                <c:pt idx="263">
                  <c:v>234.27921209628161</c:v>
                </c:pt>
                <c:pt idx="264">
                  <c:v>235.87860349908507</c:v>
                </c:pt>
                <c:pt idx="265">
                  <c:v>237.48157451389264</c:v>
                </c:pt>
                <c:pt idx="266">
                  <c:v>239.08809862472737</c:v>
                </c:pt>
                <c:pt idx="267">
                  <c:v>240.69814932109557</c:v>
                </c:pt>
                <c:pt idx="268">
                  <c:v>242.31170009828421</c:v>
                </c:pt>
                <c:pt idx="269">
                  <c:v>243.92872445765616</c:v>
                </c:pt>
                <c:pt idx="270">
                  <c:v>245.54919590694396</c:v>
                </c:pt>
                <c:pt idx="271">
                  <c:v>247.1730879605413</c:v>
                </c:pt>
                <c:pt idx="272">
                  <c:v>248.80037413979289</c:v>
                </c:pt>
                <c:pt idx="273">
                  <c:v>250.43102797328234</c:v>
                </c:pt>
                <c:pt idx="274">
                  <c:v>252.06502299711804</c:v>
                </c:pt>
                <c:pt idx="275">
                  <c:v>253.70233275521727</c:v>
                </c:pt>
                <c:pt idx="276">
                  <c:v>255.34293079958832</c:v>
                </c:pt>
                <c:pt idx="277">
                  <c:v>256.98679069061069</c:v>
                </c:pt>
                <c:pt idx="278">
                  <c:v>258.63388599731343</c:v>
                </c:pt>
                <c:pt idx="279">
                  <c:v>260.28419029765138</c:v>
                </c:pt>
                <c:pt idx="280">
                  <c:v>261.93767717877972</c:v>
                </c:pt>
                <c:pt idx="281">
                  <c:v>263.59432023732637</c:v>
                </c:pt>
                <c:pt idx="282">
                  <c:v>265.25409307966254</c:v>
                </c:pt>
                <c:pt idx="283">
                  <c:v>266.91696932217133</c:v>
                </c:pt>
                <c:pt idx="284">
                  <c:v>268.58292259151432</c:v>
                </c:pt>
                <c:pt idx="285">
                  <c:v>270.25192652489631</c:v>
                </c:pt>
                <c:pt idx="286">
                  <c:v>271.92395477032801</c:v>
                </c:pt>
                <c:pt idx="287">
                  <c:v>273.59898098688683</c:v>
                </c:pt>
                <c:pt idx="288">
                  <c:v>275.27697884497559</c:v>
                </c:pt>
                <c:pt idx="289">
                  <c:v>276.95792202657935</c:v>
                </c:pt>
                <c:pt idx="290">
                  <c:v>278.64178422552044</c:v>
                </c:pt>
                <c:pt idx="291">
                  <c:v>280.32853914771118</c:v>
                </c:pt>
                <c:pt idx="292">
                  <c:v>282.01816051140474</c:v>
                </c:pt>
                <c:pt idx="293">
                  <c:v>283.71062204744419</c:v>
                </c:pt>
                <c:pt idx="294">
                  <c:v>285.40589749950936</c:v>
                </c:pt>
                <c:pt idx="295">
                  <c:v>287.10396062436195</c:v>
                </c:pt>
                <c:pt idx="296">
                  <c:v>288.80478519208827</c:v>
                </c:pt>
                <c:pt idx="297">
                  <c:v>290.50834498634043</c:v>
                </c:pt>
                <c:pt idx="298">
                  <c:v>292.21459562740074</c:v>
                </c:pt>
                <c:pt idx="299">
                  <c:v>293.92345640434559</c:v>
                </c:pt>
                <c:pt idx="300">
                  <c:v>295.63482847891555</c:v>
                </c:pt>
                <c:pt idx="301">
                  <c:v>297.34861308113682</c:v>
                </c:pt>
                <c:pt idx="302">
                  <c:v>299.06471151124941</c:v>
                </c:pt>
                <c:pt idx="303">
                  <c:v>300.7830251416097</c:v>
                </c:pt>
                <c:pt idx="304">
                  <c:v>302.50345541856706</c:v>
                </c:pt>
                <c:pt idx="305">
                  <c:v>304.22590386431477</c:v>
                </c:pt>
                <c:pt idx="306">
                  <c:v>305.95027207871522</c:v>
                </c:pt>
                <c:pt idx="307">
                  <c:v>307.67646174109876</c:v>
                </c:pt>
                <c:pt idx="308">
                  <c:v>309.40437461203737</c:v>
                </c:pt>
                <c:pt idx="309">
                  <c:v>311.13391253509172</c:v>
                </c:pt>
                <c:pt idx="310">
                  <c:v>312.86497743853306</c:v>
                </c:pt>
                <c:pt idx="311">
                  <c:v>314.59747133703848</c:v>
                </c:pt>
                <c:pt idx="312">
                  <c:v>316.33129633336114</c:v>
                </c:pt>
                <c:pt idx="313">
                  <c:v>318.06635461997382</c:v>
                </c:pt>
                <c:pt idx="314">
                  <c:v>319.80254848068722</c:v>
                </c:pt>
                <c:pt idx="315">
                  <c:v>321.53978029224214</c:v>
                </c:pt>
                <c:pt idx="316">
                  <c:v>323.277952525876</c:v>
                </c:pt>
                <c:pt idx="317">
                  <c:v>325.01696774886341</c:v>
                </c:pt>
                <c:pt idx="318">
                  <c:v>326.75672862603125</c:v>
                </c:pt>
                <c:pt idx="319">
                  <c:v>328.49713792124788</c:v>
                </c:pt>
                <c:pt idx="320">
                  <c:v>330.23809849888659</c:v>
                </c:pt>
                <c:pt idx="321">
                  <c:v>331.97952054574768</c:v>
                </c:pt>
                <c:pt idx="322">
                  <c:v>333.72132878576565</c:v>
                </c:pt>
                <c:pt idx="323">
                  <c:v>335.46345524492074</c:v>
                </c:pt>
                <c:pt idx="324">
                  <c:v>337.20583202296518</c:v>
                </c:pt>
                <c:pt idx="325">
                  <c:v>338.94839129406768</c:v>
                </c:pt>
                <c:pt idx="326">
                  <c:v>340.6910653074454</c:v>
                </c:pt>
                <c:pt idx="327">
                  <c:v>342.43378638798373</c:v>
                </c:pt>
                <c:pt idx="328">
                  <c:v>344.17648693684345</c:v>
                </c:pt>
                <c:pt idx="329">
                  <c:v>345.91909943205548</c:v>
                </c:pt>
                <c:pt idx="330">
                  <c:v>347.66155642910371</c:v>
                </c:pt>
                <c:pt idx="331">
                  <c:v>349.40379056149516</c:v>
                </c:pt>
                <c:pt idx="332">
                  <c:v>351.14573454131818</c:v>
                </c:pt>
                <c:pt idx="333">
                  <c:v>352.88732115978831</c:v>
                </c:pt>
                <c:pt idx="334">
                  <c:v>354.62848328778222</c:v>
                </c:pt>
                <c:pt idx="335">
                  <c:v>356.36915387635946</c:v>
                </c:pt>
                <c:pt idx="336">
                  <c:v>358.1092659572721</c:v>
                </c:pt>
                <c:pt idx="337">
                  <c:v>359.84875264346272</c:v>
                </c:pt>
                <c:pt idx="338">
                  <c:v>361.58754712955016</c:v>
                </c:pt>
                <c:pt idx="339">
                  <c:v>363.32558269230356</c:v>
                </c:pt>
                <c:pt idx="340">
                  <c:v>365.06279269110468</c:v>
                </c:pt>
                <c:pt idx="341">
                  <c:v>366.79911056839825</c:v>
                </c:pt>
                <c:pt idx="342">
                  <c:v>368.53446985013079</c:v>
                </c:pt>
                <c:pt idx="343">
                  <c:v>370.26880414617773</c:v>
                </c:pt>
                <c:pt idx="344">
                  <c:v>372.0020471507591</c:v>
                </c:pt>
                <c:pt idx="345">
                  <c:v>373.73413264284341</c:v>
                </c:pt>
                <c:pt idx="346">
                  <c:v>375.46499448654032</c:v>
                </c:pt>
                <c:pt idx="347">
                  <c:v>377.19456663148173</c:v>
                </c:pt>
                <c:pt idx="348">
                  <c:v>378.92278389100528</c:v>
                </c:pt>
                <c:pt idx="349">
                  <c:v>380.64958271927298</c:v>
                </c:pt>
                <c:pt idx="350">
                  <c:v>382.37490043167992</c:v>
                </c:pt>
                <c:pt idx="351">
                  <c:v>384.09867442628308</c:v>
                </c:pt>
                <c:pt idx="352">
                  <c:v>385.82084218408227</c:v>
                </c:pt>
                <c:pt idx="353">
                  <c:v>387.5413412692908</c:v>
                </c:pt>
                <c:pt idx="354">
                  <c:v>389.26010932959645</c:v>
                </c:pt>
                <c:pt idx="355">
                  <c:v>390.97708409641268</c:v>
                </c:pt>
                <c:pt idx="356">
                  <c:v>392.69220338511985</c:v>
                </c:pt>
                <c:pt idx="357">
                  <c:v>394.40540509529683</c:v>
                </c:pt>
                <c:pt idx="358">
                  <c:v>396.11662721094297</c:v>
                </c:pt>
                <c:pt idx="359">
                  <c:v>397.82580780069031</c:v>
                </c:pt>
                <c:pt idx="360">
                  <c:v>399.53290118753068</c:v>
                </c:pt>
                <c:pt idx="361">
                  <c:v>401.23789409457908</c:v>
                </c:pt>
                <c:pt idx="362">
                  <c:v>402.94078942892975</c:v>
                </c:pt>
                <c:pt idx="363">
                  <c:v>404.64159008938776</c:v>
                </c:pt>
                <c:pt idx="364">
                  <c:v>406.34029896649952</c:v>
                </c:pt>
                <c:pt idx="365">
                  <c:v>408.03691894258321</c:v>
                </c:pt>
                <c:pt idx="366">
                  <c:v>409.73145289175909</c:v>
                </c:pt>
                <c:pt idx="367">
                  <c:v>411.42390367997967</c:v>
                </c:pt>
                <c:pt idx="368">
                  <c:v>413.11427416505956</c:v>
                </c:pt>
                <c:pt idx="369">
                  <c:v>414.80256719670552</c:v>
                </c:pt>
                <c:pt idx="370">
                  <c:v>416.48878561654618</c:v>
                </c:pt>
                <c:pt idx="371">
                  <c:v>418.17293225816144</c:v>
                </c:pt>
                <c:pt idx="372">
                  <c:v>419.85500994711202</c:v>
                </c:pt>
                <c:pt idx="373">
                  <c:v>421.53502150096887</c:v>
                </c:pt>
                <c:pt idx="374">
                  <c:v>423.21296972934221</c:v>
                </c:pt>
                <c:pt idx="375">
                  <c:v>424.88885743391057</c:v>
                </c:pt>
                <c:pt idx="376">
                  <c:v>426.56268740844979</c:v>
                </c:pt>
                <c:pt idx="377">
                  <c:v>428.23446243886167</c:v>
                </c:pt>
                <c:pt idx="378">
                  <c:v>429.90418530320267</c:v>
                </c:pt>
                <c:pt idx="379">
                  <c:v>431.57185877171247</c:v>
                </c:pt>
                <c:pt idx="380">
                  <c:v>433.23748560684214</c:v>
                </c:pt>
                <c:pt idx="381">
                  <c:v>434.90106856328259</c:v>
                </c:pt>
                <c:pt idx="382">
                  <c:v>436.56261038799261</c:v>
                </c:pt>
                <c:pt idx="383">
                  <c:v>438.22211382022675</c:v>
                </c:pt>
                <c:pt idx="384">
                  <c:v>439.87958159156329</c:v>
                </c:pt>
                <c:pt idx="385">
                  <c:v>441.53501642593193</c:v>
                </c:pt>
                <c:pt idx="386">
                  <c:v>443.18842103964136</c:v>
                </c:pt>
                <c:pt idx="387">
                  <c:v>444.83979814140667</c:v>
                </c:pt>
                <c:pt idx="388">
                  <c:v>446.48915043237685</c:v>
                </c:pt>
                <c:pt idx="389">
                  <c:v>448.1364806061618</c:v>
                </c:pt>
                <c:pt idx="390">
                  <c:v>449.7817913488596</c:v>
                </c:pt>
                <c:pt idx="391">
                  <c:v>451.42508533908335</c:v>
                </c:pt>
                <c:pt idx="392">
                  <c:v>453.06636524798802</c:v>
                </c:pt>
                <c:pt idx="393">
                  <c:v>454.70563373929724</c:v>
                </c:pt>
                <c:pt idx="394">
                  <c:v>456.34289346932991</c:v>
                </c:pt>
                <c:pt idx="395">
                  <c:v>457.97814708702646</c:v>
                </c:pt>
                <c:pt idx="396">
                  <c:v>459.61139723397554</c:v>
                </c:pt>
                <c:pt idx="397">
                  <c:v>461.24264654443994</c:v>
                </c:pt>
                <c:pt idx="398">
                  <c:v>462.87189764538289</c:v>
                </c:pt>
                <c:pt idx="399">
                  <c:v>464.49915315649395</c:v>
                </c:pt>
                <c:pt idx="400">
                  <c:v>466.12441569021502</c:v>
                </c:pt>
                <c:pt idx="401">
                  <c:v>482.26762909441067</c:v>
                </c:pt>
                <c:pt idx="402">
                  <c:v>498.21322366661008</c:v>
                </c:pt>
                <c:pt idx="403">
                  <c:v>513.96374087047525</c:v>
                </c:pt>
                <c:pt idx="404">
                  <c:v>529.5216531012386</c:v>
                </c:pt>
                <c:pt idx="405">
                  <c:v>544.88936607434357</c:v>
                </c:pt>
                <c:pt idx="406">
                  <c:v>560.06922110912296</c:v>
                </c:pt>
                <c:pt idx="407">
                  <c:v>575.06349731301066</c:v>
                </c:pt>
                <c:pt idx="408">
                  <c:v>589.87441367144777</c:v>
                </c:pt>
                <c:pt idx="409">
                  <c:v>604.5041310483316</c:v>
                </c:pt>
                <c:pt idx="410">
                  <c:v>618.95475410156632</c:v>
                </c:pt>
                <c:pt idx="411">
                  <c:v>633.2283331180048</c:v>
                </c:pt>
                <c:pt idx="412">
                  <c:v>647.32686577181698</c:v>
                </c:pt>
                <c:pt idx="413">
                  <c:v>661.25229881008613</c:v>
                </c:pt>
                <c:pt idx="414">
                  <c:v>675.00652966921575</c:v>
                </c:pt>
                <c:pt idx="415">
                  <c:v>688.59140802552099</c:v>
                </c:pt>
                <c:pt idx="416">
                  <c:v>702.00873728319118</c:v>
                </c:pt>
                <c:pt idx="417">
                  <c:v>715.26027600262648</c:v>
                </c:pt>
                <c:pt idx="418">
                  <c:v>728.34773927198694</c:v>
                </c:pt>
                <c:pt idx="419">
                  <c:v>741.27280002463226</c:v>
                </c:pt>
                <c:pt idx="420">
                  <c:v>754.0370903049851</c:v>
                </c:pt>
                <c:pt idx="421">
                  <c:v>766.64220248521178</c:v>
                </c:pt>
                <c:pt idx="422">
                  <c:v>779.08969043498473</c:v>
                </c:pt>
                <c:pt idx="423">
                  <c:v>791.38107064646954</c:v>
                </c:pt>
                <c:pt idx="424">
                  <c:v>803.51782331656466</c:v>
                </c:pt>
                <c:pt idx="425">
                  <c:v>815.50139338831616</c:v>
                </c:pt>
                <c:pt idx="426">
                  <c:v>827.3331915533272</c:v>
                </c:pt>
                <c:pt idx="427">
                  <c:v>839.01459521688798</c:v>
                </c:pt>
                <c:pt idx="428">
                  <c:v>850.54694942746346</c:v>
                </c:pt>
                <c:pt idx="429">
                  <c:v>861.93156777209072</c:v>
                </c:pt>
                <c:pt idx="430">
                  <c:v>873.16973323916022</c:v>
                </c:pt>
                <c:pt idx="431">
                  <c:v>884.26269904997946</c:v>
                </c:pt>
                <c:pt idx="432">
                  <c:v>895.21168946044918</c:v>
                </c:pt>
                <c:pt idx="433">
                  <c:v>906.01790053411366</c:v>
                </c:pt>
                <c:pt idx="434">
                  <c:v>916.68250088778677</c:v>
                </c:pt>
                <c:pt idx="435">
                  <c:v>927.20663241089471</c:v>
                </c:pt>
                <c:pt idx="436">
                  <c:v>937.59141095962218</c:v>
                </c:pt>
                <c:pt idx="437">
                  <c:v>947.83792702689436</c:v>
                </c:pt>
                <c:pt idx="438">
                  <c:v>957.94724638918046</c:v>
                </c:pt>
                <c:pt idx="439">
                  <c:v>967.92041073105418</c:v>
                </c:pt>
                <c:pt idx="440">
                  <c:v>977.7584382484049</c:v>
                </c:pt>
                <c:pt idx="441">
                  <c:v>987.46232423115055</c:v>
                </c:pt>
                <c:pt idx="442">
                  <c:v>997.03304162626307</c:v>
                </c:pt>
                <c:pt idx="443">
                  <c:v>1006.4715415818803</c:v>
                </c:pt>
                <c:pt idx="444">
                  <c:v>1015.7787539732424</c:v>
                </c:pt>
                <c:pt idx="445">
                  <c:v>1024.9555879111581</c:v>
                </c:pt>
                <c:pt idx="446">
                  <c:v>1034.0029322336723</c:v>
                </c:pt>
                <c:pt idx="447">
                  <c:v>1042.9216559815782</c:v>
                </c:pt>
                <c:pt idx="448">
                  <c:v>1051.7126088583896</c:v>
                </c:pt>
                <c:pt idx="449">
                  <c:v>1060.3766216753556</c:v>
                </c:pt>
                <c:pt idx="450">
                  <c:v>1068.9145067820843</c:v>
                </c:pt>
                <c:pt idx="451">
                  <c:v>1077.327058483309</c:v>
                </c:pt>
                <c:pt idx="452">
                  <c:v>1085.6150534423095</c:v>
                </c:pt>
                <c:pt idx="453">
                  <c:v>1093.7792510714855</c:v>
                </c:pt>
                <c:pt idx="454">
                  <c:v>1101.8203939105454</c:v>
                </c:pt>
                <c:pt idx="455">
                  <c:v>1109.7392079927683</c:v>
                </c:pt>
                <c:pt idx="456">
                  <c:v>1117.5364031997685</c:v>
                </c:pt>
                <c:pt idx="457">
                  <c:v>1125.2126736051773</c:v>
                </c:pt>
                <c:pt idx="458">
                  <c:v>1132.7686978076408</c:v>
                </c:pt>
                <c:pt idx="459">
                  <c:v>1140.2051392535166</c:v>
                </c:pt>
                <c:pt idx="460">
                  <c:v>1147.522646549633</c:v>
                </c:pt>
                <c:pt idx="461">
                  <c:v>1154.7218537664683</c:v>
                </c:pt>
                <c:pt idx="462">
                  <c:v>1161.803380732084</c:v>
                </c:pt>
                <c:pt idx="463">
                  <c:v>1168.7678333171432</c:v>
                </c:pt>
                <c:pt idx="464">
                  <c:v>1175.6158037113244</c:v>
                </c:pt>
                <c:pt idx="465">
                  <c:v>1182.3478706914366</c:v>
                </c:pt>
                <c:pt idx="466">
                  <c:v>1188.9645998815265</c:v>
                </c:pt>
                <c:pt idx="467">
                  <c:v>1195.4665440052604</c:v>
                </c:pt>
                <c:pt idx="468">
                  <c:v>1201.8542431308522</c:v>
                </c:pt>
                <c:pt idx="469">
                  <c:v>1208.1282249088044</c:v>
                </c:pt>
                <c:pt idx="470">
                  <c:v>1214.289004802715</c:v>
                </c:pt>
                <c:pt idx="471">
                  <c:v>1220.3370863133994</c:v>
                </c:pt>
                <c:pt idx="472">
                  <c:v>1226.2729611965688</c:v>
                </c:pt>
                <c:pt idx="473">
                  <c:v>1232.097109674299</c:v>
                </c:pt>
                <c:pt idx="474">
                  <c:v>1237.8100006405195</c:v>
                </c:pt>
                <c:pt idx="475">
                  <c:v>1243.4120918607452</c:v>
                </c:pt>
                <c:pt idx="476">
                  <c:v>1248.9038301662704</c:v>
                </c:pt>
                <c:pt idx="477">
                  <c:v>1254.2856516430397</c:v>
                </c:pt>
                <c:pt idx="478">
                  <c:v>1259.557981815409</c:v>
                </c:pt>
                <c:pt idx="479">
                  <c:v>1264.7212358250022</c:v>
                </c:pt>
                <c:pt idx="480">
                  <c:v>1269.7758186048732</c:v>
                </c:pt>
                <c:pt idx="481">
                  <c:v>1274.722125049178</c:v>
                </c:pt>
                <c:pt idx="482">
                  <c:v>1279.5605401785608</c:v>
                </c:pt>
                <c:pt idx="483">
                  <c:v>1284.2914393014594</c:v>
                </c:pt>
                <c:pt idx="484">
                  <c:v>1288.9151881715366</c:v>
                </c:pt>
                <c:pt idx="485">
                  <c:v>1293.4321431414439</c:v>
                </c:pt>
                <c:pt idx="486">
                  <c:v>1297.8426513131305</c:v>
                </c:pt>
                <c:pt idx="487">
                  <c:v>1302.1470506849078</c:v>
                </c:pt>
                <c:pt idx="488">
                  <c:v>1306.345670295492</c:v>
                </c:pt>
                <c:pt idx="489">
                  <c:v>1310.4388303652486</c:v>
                </c:pt>
                <c:pt idx="490">
                  <c:v>1314.4268424348691</c:v>
                </c:pt>
                <c:pt idx="491">
                  <c:v>1318.3100095017223</c:v>
                </c:pt>
                <c:pt idx="492">
                  <c:v>1322.0886261541293</c:v>
                </c:pt>
                <c:pt idx="493">
                  <c:v>1325.7629787038215</c:v>
                </c:pt>
                <c:pt idx="494">
                  <c:v>1329.3333453168586</c:v>
                </c:pt>
                <c:pt idx="495">
                  <c:v>1332.7999961432915</c:v>
                </c:pt>
                <c:pt idx="496">
                  <c:v>1336.1631934458751</c:v>
                </c:pt>
                <c:pt idx="497">
                  <c:v>1339.423191728152</c:v>
                </c:pt>
                <c:pt idx="498">
                  <c:v>1342.5802378622491</c:v>
                </c:pt>
                <c:pt idx="499">
                  <c:v>1345.6345712167463</c:v>
                </c:pt>
                <c:pt idx="500">
                  <c:v>1348.5864237850069</c:v>
                </c:pt>
                <c:pt idx="501">
                  <c:v>1351.4360203143751</c:v>
                </c:pt>
                <c:pt idx="502">
                  <c:v>1354.1835784366808</c:v>
                </c:pt>
                <c:pt idx="503">
                  <c:v>1356.8293088005134</c:v>
                </c:pt>
                <c:pt idx="504">
                  <c:v>1359.3734152057607</c:v>
                </c:pt>
                <c:pt idx="505">
                  <c:v>1361.8160947409333</c:v>
                </c:pt>
                <c:pt idx="506">
                  <c:v>1364.1575379238325</c:v>
                </c:pt>
                <c:pt idx="507">
                  <c:v>1366.3979288461414</c:v>
                </c:pt>
                <c:pt idx="508">
                  <c:v>1368.5374453225545</c:v>
                </c:pt>
                <c:pt idx="509">
                  <c:v>1370.576259045082</c:v>
                </c:pt>
                <c:pt idx="510">
                  <c:v>1372.5145357431929</c:v>
                </c:pt>
                <c:pt idx="511">
                  <c:v>1374.3524353504743</c:v>
                </c:pt>
                <c:pt idx="512">
                  <c:v>1376.0901121784964</c:v>
                </c:pt>
                <c:pt idx="513">
                  <c:v>1377.7277150985763</c:v>
                </c:pt>
                <c:pt idx="514">
                  <c:v>1379.2653877321204</c:v>
                </c:pt>
                <c:pt idx="515">
                  <c:v>1380.7032686502066</c:v>
                </c:pt>
                <c:pt idx="516">
                  <c:v>1382.0414915830236</c:v>
                </c:pt>
                <c:pt idx="517">
                  <c:v>1383.2801856397311</c:v>
                </c:pt>
                <c:pt idx="518">
                  <c:v>1384.419475539225</c:v>
                </c:pt>
                <c:pt idx="519">
                  <c:v>1385.4594818521884</c:v>
                </c:pt>
                <c:pt idx="520">
                  <c:v>1386.4003212546877</c:v>
                </c:pt>
                <c:pt idx="521">
                  <c:v>1387.2421067934235</c:v>
                </c:pt>
                <c:pt idx="522">
                  <c:v>1387.9849481625736</c:v>
                </c:pt>
                <c:pt idx="523">
                  <c:v>1388.6289519919696</c:v>
                </c:pt>
                <c:pt idx="524">
                  <c:v>1389.1742221461436</c:v>
                </c:pt>
                <c:pt idx="525">
                  <c:v>1389.6208600335501</c:v>
                </c:pt>
                <c:pt idx="526">
                  <c:v>1389.9689649250452</c:v>
                </c:pt>
                <c:pt idx="527">
                  <c:v>1390.2186342804728</c:v>
                </c:pt>
                <c:pt idx="528">
                  <c:v>1390.3699640819921</c:v>
                </c:pt>
                <c:pt idx="529">
                  <c:v>1390.4230491725832</c:v>
                </c:pt>
                <c:pt idx="530">
                  <c:v>1390.377983597999</c:v>
                </c:pt>
                <c:pt idx="531">
                  <c:v>1390.234860950301</c:v>
                </c:pt>
                <c:pt idx="532">
                  <c:v>1389.9937747110268</c:v>
                </c:pt>
                <c:pt idx="533">
                  <c:v>1389.6548185920028</c:v>
                </c:pt>
                <c:pt idx="534">
                  <c:v>1389.2180868718222</c:v>
                </c:pt>
                <c:pt idx="535">
                  <c:v>1388.6836747260729</c:v>
                </c:pt>
                <c:pt idx="536">
                  <c:v>1388.0516785495095</c:v>
                </c:pt>
                <c:pt idx="537">
                  <c:v>1387.3221962685086</c:v>
                </c:pt>
                <c:pt idx="538">
                  <c:v>1386.4953276423366</c:v>
                </c:pt>
                <c:pt idx="539">
                  <c:v>1385.5711745519613</c:v>
                </c:pt>
                <c:pt idx="540">
                  <c:v>1384.5498412753682</c:v>
                </c:pt>
                <c:pt idx="541">
                  <c:v>1383.431434748569</c:v>
                </c:pt>
                <c:pt idx="542">
                  <c:v>1382.216064811724</c:v>
                </c:pt>
                <c:pt idx="543">
                  <c:v>1380.9038444400121</c:v>
                </c:pt>
                <c:pt idx="544">
                  <c:v>1379.4948899590952</c:v>
                </c:pt>
                <c:pt idx="545">
                  <c:v>1377.9893212451982</c:v>
                </c:pt>
                <c:pt idx="546">
                  <c:v>1376.3872619099966</c:v>
                </c:pt>
                <c:pt idx="547">
                  <c:v>1374.6888394706323</c:v>
                </c:pt>
                <c:pt idx="548">
                  <c:v>1372.894185505296</c:v>
                </c:pt>
                <c:pt idx="549">
                  <c:v>1371.0034357949</c:v>
                </c:pt>
                <c:pt idx="550">
                  <c:v>1369.0167304514337</c:v>
                </c:pt>
                <c:pt idx="551">
                  <c:v>1366.9342140336373</c:v>
                </c:pt>
                <c:pt idx="552">
                  <c:v>1364.7560356506622</c:v>
                </c:pt>
                <c:pt idx="553">
                  <c:v>1362.4823490543934</c:v>
                </c:pt>
                <c:pt idx="554">
                  <c:v>1360.1133127211176</c:v>
                </c:pt>
                <c:pt idx="555">
                  <c:v>1357.6490899232031</c:v>
                </c:pt>
                <c:pt idx="556">
                  <c:v>1355.0898487914467</c:v>
                </c:pt>
                <c:pt idx="557">
                  <c:v>1352.4357623687149</c:v>
                </c:pt>
                <c:pt idx="558">
                  <c:v>1349.6870086554788</c:v>
                </c:pt>
                <c:pt idx="559">
                  <c:v>1346.8437706478139</c:v>
                </c:pt>
                <c:pt idx="560">
                  <c:v>1343.9062363683984</c:v>
                </c:pt>
                <c:pt idx="561">
                  <c:v>1340.8745988910157</c:v>
                </c:pt>
                <c:pt idx="562">
                  <c:v>1337.7490563590279</c:v>
                </c:pt>
                <c:pt idx="563">
                  <c:v>1334.5298119982567</c:v>
                </c:pt>
                <c:pt idx="564">
                  <c:v>1331.2170741246766</c:v>
                </c:pt>
                <c:pt idx="565">
                  <c:v>1327.8110561472938</c:v>
                </c:pt>
                <c:pt idx="566">
                  <c:v>1324.3119765665542</c:v>
                </c:pt>
                <c:pt idx="567">
                  <c:v>1320.7200589686001</c:v>
                </c:pt>
                <c:pt idx="568">
                  <c:v>1317.0355320156652</c:v>
                </c:pt>
                <c:pt idx="569">
                  <c:v>1313.2586294328767</c:v>
                </c:pt>
                <c:pt idx="570">
                  <c:v>1309.3895899917118</c:v>
                </c:pt>
                <c:pt idx="571">
                  <c:v>1305.4286574903344</c:v>
                </c:pt>
                <c:pt idx="572">
                  <c:v>1301.376080731018</c:v>
                </c:pt>
                <c:pt idx="573">
                  <c:v>1297.2321134948468</c:v>
                </c:pt>
                <c:pt idx="574">
                  <c:v>1292.9970145138705</c:v>
                </c:pt>
                <c:pt idx="575">
                  <c:v>1288.6710474408726</c:v>
                </c:pt>
                <c:pt idx="576">
                  <c:v>1284.2544808169002</c:v>
                </c:pt>
                <c:pt idx="577">
                  <c:v>1279.7475880366935</c:v>
                </c:pt>
                <c:pt idx="578">
                  <c:v>1275.1506473121383</c:v>
                </c:pt>
                <c:pt idx="579">
                  <c:v>1270.4639416338596</c:v>
                </c:pt>
                <c:pt idx="580">
                  <c:v>1265.6877587310619</c:v>
                </c:pt>
                <c:pt idx="581">
                  <c:v>1260.8223910297183</c:v>
                </c:pt>
                <c:pt idx="582">
                  <c:v>1255.8681356091984</c:v>
                </c:pt>
                <c:pt idx="583">
                  <c:v>1250.8252941574206</c:v>
                </c:pt>
                <c:pt idx="584">
                  <c:v>1245.6941729246118</c:v>
                </c:pt>
                <c:pt idx="585">
                  <c:v>1240.4750826757468</c:v>
                </c:pt>
                <c:pt idx="586">
                  <c:v>1235.1683386417365</c:v>
                </c:pt>
                <c:pt idx="587">
                  <c:v>1229.774260469434</c:v>
                </c:pt>
                <c:pt idx="588">
                  <c:v>1224.2931721705161</c:v>
                </c:pt>
                <c:pt idx="589">
                  <c:v>1218.7254020693015</c:v>
                </c:pt>
                <c:pt idx="590">
                  <c:v>1213.0712827495588</c:v>
                </c:pt>
                <c:pt idx="591">
                  <c:v>1207.3311510003568</c:v>
                </c:pt>
                <c:pt idx="592">
                  <c:v>1201.5053477610068</c:v>
                </c:pt>
                <c:pt idx="593">
                  <c:v>1195.5942180651418</c:v>
                </c:pt>
                <c:pt idx="594">
                  <c:v>1189.5981109839809</c:v>
                </c:pt>
                <c:pt idx="595">
                  <c:v>1183.5173795688168</c:v>
                </c:pt>
                <c:pt idx="596">
                  <c:v>1177.3523807927718</c:v>
                </c:pt>
                <c:pt idx="597">
                  <c:v>1171.1034754918589</c:v>
                </c:pt>
                <c:pt idx="598">
                  <c:v>1164.7710283053855</c:v>
                </c:pt>
                <c:pt idx="599">
                  <c:v>1158.3554076157377</c:v>
                </c:pt>
                <c:pt idx="600">
                  <c:v>1151.8569854875784</c:v>
                </c:pt>
                <c:pt idx="601">
                  <c:v>1145.2761376064941</c:v>
                </c:pt>
                <c:pt idx="602">
                  <c:v>1138.6132432171232</c:v>
                </c:pt>
                <c:pt idx="603">
                  <c:v>1131.8686850607962</c:v>
                </c:pt>
                <c:pt idx="604">
                  <c:v>1125.042849312721</c:v>
                </c:pt>
                <c:pt idx="605">
                  <c:v>1118.1361255187408</c:v>
                </c:pt>
                <c:pt idx="606">
                  <c:v>1111.148906531695</c:v>
                </c:pt>
                <c:pt idx="607">
                  <c:v>1104.0815884474132</c:v>
                </c:pt>
                <c:pt idx="608">
                  <c:v>1096.9345705403655</c:v>
                </c:pt>
                <c:pt idx="609">
                  <c:v>1089.708255199002</c:v>
                </c:pt>
                <c:pt idx="610">
                  <c:v>1082.4030478608031</c:v>
                </c:pt>
                <c:pt idx="611">
                  <c:v>1075.01935694707</c:v>
                </c:pt>
                <c:pt idx="612">
                  <c:v>1067.5575937974784</c:v>
                </c:pt>
                <c:pt idx="613">
                  <c:v>1060.018172604422</c:v>
                </c:pt>
                <c:pt idx="614">
                  <c:v>1052.4015103471704</c:v>
                </c:pt>
                <c:pt idx="615">
                  <c:v>1044.7080267258625</c:v>
                </c:pt>
                <c:pt idx="616">
                  <c:v>1036.938144095363</c:v>
                </c:pt>
                <c:pt idx="617">
                  <c:v>1029.0922873990025</c:v>
                </c:pt>
                <c:pt idx="618">
                  <c:v>1021.170884102224</c:v>
                </c:pt>
                <c:pt idx="619">
                  <c:v>1013.174364126159</c:v>
                </c:pt>
                <c:pt idx="620">
                  <c:v>1005.1031597811551</c:v>
                </c:pt>
                <c:pt idx="621">
                  <c:v>996.95770570027526</c:v>
                </c:pt>
                <c:pt idx="622">
                  <c:v>988.73843877279148</c:v>
                </c:pt>
                <c:pt idx="623">
                  <c:v>980.44579807769298</c:v>
                </c:pt>
                <c:pt idx="624">
                  <c:v>972.08022481722924</c:v>
                </c:pt>
                <c:pt idx="625">
                  <c:v>963.64216225050768</c:v>
                </c:pt>
                <c:pt idx="626">
                  <c:v>955.13205562716678</c:v>
                </c:pt>
                <c:pt idx="627">
                  <c:v>946.55035212114331</c:v>
                </c:pt>
                <c:pt idx="628">
                  <c:v>937.89750076455232</c:v>
                </c:pt>
                <c:pt idx="629">
                  <c:v>929.17395238169945</c:v>
                </c:pt>
                <c:pt idx="630">
                  <c:v>920.38015952324383</c:v>
                </c:pt>
                <c:pt idx="631">
                  <c:v>911.51657640052917</c:v>
                </c:pt>
                <c:pt idx="632">
                  <c:v>902.58365882010105</c:v>
                </c:pt>
                <c:pt idx="633">
                  <c:v>893.58186411842803</c:v>
                </c:pt>
                <c:pt idx="634">
                  <c:v>884.51165109684314</c:v>
                </c:pt>
                <c:pt idx="635">
                  <c:v>875.3734799567236</c:v>
                </c:pt>
                <c:pt idx="636">
                  <c:v>866.16781223492353</c:v>
                </c:pt>
                <c:pt idx="637">
                  <c:v>856.89511073947767</c:v>
                </c:pt>
                <c:pt idx="638">
                  <c:v>847.55583948559013</c:v>
                </c:pt>
                <c:pt idx="639">
                  <c:v>838.15046363192528</c:v>
                </c:pt>
                <c:pt idx="640">
                  <c:v>828.67944941721453</c:v>
                </c:pt>
                <c:pt idx="641">
                  <c:v>819.14326409719513</c:v>
                </c:pt>
                <c:pt idx="642">
                  <c:v>809.54237588189403</c:v>
                </c:pt>
                <c:pt idx="643">
                  <c:v>799.87725387327259</c:v>
                </c:pt>
                <c:pt idx="644">
                  <c:v>790.14836800324474</c:v>
                </c:pt>
                <c:pt idx="645">
                  <c:v>780.35618897208258</c:v>
                </c:pt>
                <c:pt idx="646">
                  <c:v>770.50118818722319</c:v>
                </c:pt>
                <c:pt idx="647">
                  <c:v>760.58383770248827</c:v>
                </c:pt>
                <c:pt idx="648">
                  <c:v>750.60461015773069</c:v>
                </c:pt>
                <c:pt idx="649">
                  <c:v>740.56397871891875</c:v>
                </c:pt>
                <c:pt idx="650">
                  <c:v>730.46241701867143</c:v>
                </c:pt>
                <c:pt idx="651">
                  <c:v>720.30039909725474</c:v>
                </c:pt>
                <c:pt idx="652">
                  <c:v>710.07839934405229</c:v>
                </c:pt>
                <c:pt idx="653">
                  <c:v>699.79689243951896</c:v>
                </c:pt>
                <c:pt idx="654">
                  <c:v>689.45635329763013</c:v>
                </c:pt>
                <c:pt idx="655">
                  <c:v>679.05725700883556</c:v>
                </c:pt>
                <c:pt idx="656">
                  <c:v>668.6000787835286</c:v>
                </c:pt>
                <c:pt idx="657">
                  <c:v>658.08529389603962</c:v>
                </c:pt>
                <c:pt idx="658">
                  <c:v>647.51337762916421</c:v>
                </c:pt>
                <c:pt idx="659">
                  <c:v>636.88480521923395</c:v>
                </c:pt>
                <c:pt idx="660">
                  <c:v>626.20005180173894</c:v>
                </c:pt>
                <c:pt idx="661">
                  <c:v>615.45959235751104</c:v>
                </c:pt>
                <c:pt idx="662">
                  <c:v>604.6639016594745</c:v>
                </c:pt>
                <c:pt idx="663">
                  <c:v>593.81345421997321</c:v>
                </c:pt>
                <c:pt idx="664">
                  <c:v>582.90872423868143</c:v>
                </c:pt>
                <c:pt idx="665">
                  <c:v>571.95018555110425</c:v>
                </c:pt>
                <c:pt idx="666">
                  <c:v>560.93831157767636</c:v>
                </c:pt>
                <c:pt idx="667">
                  <c:v>549.87357527346433</c:v>
                </c:pt>
                <c:pt idx="668">
                  <c:v>538.75644907847845</c:v>
                </c:pt>
                <c:pt idx="669">
                  <c:v>527.58740486860154</c:v>
                </c:pt>
                <c:pt idx="670">
                  <c:v>516.36691390713838</c:v>
                </c:pt>
                <c:pt idx="671">
                  <c:v>505.09544679699235</c:v>
                </c:pt>
                <c:pt idx="672">
                  <c:v>493.77347343347412</c:v>
                </c:pt>
                <c:pt idx="673">
                  <c:v>482.40146295774645</c:v>
                </c:pt>
                <c:pt idx="674">
                  <c:v>470.97988371091014</c:v>
                </c:pt>
                <c:pt idx="675">
                  <c:v>459.50920318873517</c:v>
                </c:pt>
                <c:pt idx="676">
                  <c:v>447.98988799704034</c:v>
                </c:pt>
                <c:pt idx="677">
                  <c:v>436.42240380772569</c:v>
                </c:pt>
                <c:pt idx="678">
                  <c:v>424.80721531546044</c:v>
                </c:pt>
                <c:pt idx="679">
                  <c:v>413.14478619502961</c:v>
                </c:pt>
                <c:pt idx="680">
                  <c:v>401.4355790593421</c:v>
                </c:pt>
                <c:pt idx="681">
                  <c:v>389.68005541810243</c:v>
                </c:pt>
                <c:pt idx="682">
                  <c:v>377.87867563714849</c:v>
                </c:pt>
                <c:pt idx="683">
                  <c:v>366.03189889845743</c:v>
                </c:pt>
                <c:pt idx="684">
                  <c:v>354.14018316082058</c:v>
                </c:pt>
                <c:pt idx="685">
                  <c:v>342.20398512118987</c:v>
                </c:pt>
                <c:pt idx="686">
                  <c:v>330.22376017669575</c:v>
                </c:pt>
                <c:pt idx="687">
                  <c:v>318.1999623873383</c:v>
                </c:pt>
                <c:pt idx="688">
                  <c:v>306.13304443935198</c:v>
                </c:pt>
                <c:pt idx="689">
                  <c:v>294.02345760924391</c:v>
                </c:pt>
                <c:pt idx="690">
                  <c:v>281.87165172850666</c:v>
                </c:pt>
                <c:pt idx="691">
                  <c:v>269.67807514900488</c:v>
                </c:pt>
                <c:pt idx="692">
                  <c:v>257.44317470903559</c:v>
                </c:pt>
                <c:pt idx="693">
                  <c:v>245.16739570006141</c:v>
                </c:pt>
                <c:pt idx="694">
                  <c:v>232.85118183411663</c:v>
                </c:pt>
                <c:pt idx="695">
                  <c:v>220.49497521188422</c:v>
                </c:pt>
                <c:pt idx="696">
                  <c:v>208.0992162914433</c:v>
                </c:pt>
                <c:pt idx="697">
                  <c:v>195.66434385768514</c:v>
                </c:pt>
                <c:pt idx="698">
                  <c:v>183.19079499239663</c:v>
                </c:pt>
                <c:pt idx="699">
                  <c:v>170.67900504500875</c:v>
                </c:pt>
                <c:pt idx="700">
                  <c:v>158.12940760400866</c:v>
                </c:pt>
                <c:pt idx="701">
                  <c:v>145.54243446901273</c:v>
                </c:pt>
                <c:pt idx="702">
                  <c:v>132.91851562349831</c:v>
                </c:pt>
                <c:pt idx="703">
                  <c:v>120.25807920819173</c:v>
                </c:pt>
                <c:pt idx="704">
                  <c:v>107.56155149510964</c:v>
                </c:pt>
                <c:pt idx="705">
                  <c:v>94.829356862250748</c:v>
                </c:pt>
                <c:pt idx="706">
                  <c:v>82.061917768934947</c:v>
                </c:pt>
                <c:pt idx="707">
                  <c:v>69.259654731786497</c:v>
                </c:pt>
                <c:pt idx="708">
                  <c:v>56.422986301357888</c:v>
                </c:pt>
                <c:pt idx="709">
                  <c:v>43.552329039390642</c:v>
                </c:pt>
                <c:pt idx="710">
                  <c:v>30.648097496709511</c:v>
                </c:pt>
                <c:pt idx="711">
                  <c:v>17.710704191746018</c:v>
                </c:pt>
                <c:pt idx="712">
                  <c:v>4.7405595896873951</c:v>
                </c:pt>
                <c:pt idx="713">
                  <c:v>-8.261927917753324</c:v>
                </c:pt>
                <c:pt idx="714">
                  <c:v>-8.2749464907429484</c:v>
                </c:pt>
                <c:pt idx="715">
                  <c:v>-8.2879650954663546</c:v>
                </c:pt>
                <c:pt idx="716">
                  <c:v>-8.3009837319231412</c:v>
                </c:pt>
                <c:pt idx="717">
                  <c:v>-8.3140024001129049</c:v>
                </c:pt>
                <c:pt idx="718">
                  <c:v>-8.3270211000352443</c:v>
                </c:pt>
                <c:pt idx="719">
                  <c:v>-8.3400398316897579</c:v>
                </c:pt>
                <c:pt idx="720">
                  <c:v>-8.3530585950760425</c:v>
                </c:pt>
                <c:pt idx="721">
                  <c:v>-8.3660773901936967</c:v>
                </c:pt>
                <c:pt idx="722">
                  <c:v>-8.3790962170423171</c:v>
                </c:pt>
                <c:pt idx="723">
                  <c:v>-8.3921150756215024</c:v>
                </c:pt>
                <c:pt idx="724">
                  <c:v>-8.405133965930851</c:v>
                </c:pt>
                <c:pt idx="725">
                  <c:v>-8.4181528879699599</c:v>
                </c:pt>
                <c:pt idx="726">
                  <c:v>-8.4311718417384274</c:v>
                </c:pt>
                <c:pt idx="727">
                  <c:v>-8.4441908272358521</c:v>
                </c:pt>
                <c:pt idx="728">
                  <c:v>-8.4572098444618309</c:v>
                </c:pt>
                <c:pt idx="729">
                  <c:v>-8.4702288934159622</c:v>
                </c:pt>
                <c:pt idx="730">
                  <c:v>-8.4832479740978428</c:v>
                </c:pt>
                <c:pt idx="731">
                  <c:v>-8.4962670865070713</c:v>
                </c:pt>
                <c:pt idx="732">
                  <c:v>-8.5092862306432462</c:v>
                </c:pt>
                <c:pt idx="733">
                  <c:v>-8.5223054065059642</c:v>
                </c:pt>
                <c:pt idx="734">
                  <c:v>-8.535324614094824</c:v>
                </c:pt>
                <c:pt idx="735">
                  <c:v>-8.548343853409424</c:v>
                </c:pt>
                <c:pt idx="736">
                  <c:v>-8.5613631244493611</c:v>
                </c:pt>
                <c:pt idx="737">
                  <c:v>-8.5743824272142337</c:v>
                </c:pt>
                <c:pt idx="738">
                  <c:v>-8.5874017617036387</c:v>
                </c:pt>
                <c:pt idx="739">
                  <c:v>-8.6004211279171745</c:v>
                </c:pt>
                <c:pt idx="740">
                  <c:v>-8.6134405258544398</c:v>
                </c:pt>
                <c:pt idx="741">
                  <c:v>-8.6264599555150312</c:v>
                </c:pt>
                <c:pt idx="742">
                  <c:v>-8.6394794168985491</c:v>
                </c:pt>
                <c:pt idx="743">
                  <c:v>-8.6524989100045886</c:v>
                </c:pt>
                <c:pt idx="744">
                  <c:v>-8.6655184348327499</c:v>
                </c:pt>
                <c:pt idx="745">
                  <c:v>-8.6785379913826297</c:v>
                </c:pt>
                <c:pt idx="746">
                  <c:v>-8.6915575796538249</c:v>
                </c:pt>
                <c:pt idx="747">
                  <c:v>-8.704577199645934</c:v>
                </c:pt>
                <c:pt idx="748">
                  <c:v>-8.7175968513585556</c:v>
                </c:pt>
                <c:pt idx="749">
                  <c:v>-8.7306165347912881</c:v>
                </c:pt>
                <c:pt idx="750">
                  <c:v>-8.7436362499437283</c:v>
                </c:pt>
                <c:pt idx="751">
                  <c:v>-8.7566559968154749</c:v>
                </c:pt>
                <c:pt idx="752">
                  <c:v>-8.7696757754061263</c:v>
                </c:pt>
                <c:pt idx="753">
                  <c:v>-8.7826955857152793</c:v>
                </c:pt>
                <c:pt idx="754">
                  <c:v>-8.7957154277425325</c:v>
                </c:pt>
                <c:pt idx="755">
                  <c:v>-8.8087353014874825</c:v>
                </c:pt>
                <c:pt idx="756">
                  <c:v>-8.821755206949728</c:v>
                </c:pt>
                <c:pt idx="757">
                  <c:v>-8.8347751441288676</c:v>
                </c:pt>
                <c:pt idx="758">
                  <c:v>-8.8477951130244996</c:v>
                </c:pt>
                <c:pt idx="759">
                  <c:v>-8.860815113636221</c:v>
                </c:pt>
                <c:pt idx="760">
                  <c:v>-8.8738351459636284</c:v>
                </c:pt>
                <c:pt idx="761">
                  <c:v>-8.8868552100063223</c:v>
                </c:pt>
                <c:pt idx="762">
                  <c:v>-8.8998753057638993</c:v>
                </c:pt>
                <c:pt idx="763">
                  <c:v>-8.912895433235958</c:v>
                </c:pt>
                <c:pt idx="764">
                  <c:v>-8.9259155924220952</c:v>
                </c:pt>
                <c:pt idx="765">
                  <c:v>-8.9389357833219094</c:v>
                </c:pt>
                <c:pt idx="766">
                  <c:v>-8.9519560059349992</c:v>
                </c:pt>
                <c:pt idx="767">
                  <c:v>-8.9649762602609631</c:v>
                </c:pt>
                <c:pt idx="768">
                  <c:v>-8.9779965462993978</c:v>
                </c:pt>
                <c:pt idx="769">
                  <c:v>-8.991016864049902</c:v>
                </c:pt>
                <c:pt idx="770">
                  <c:v>-9.0040372135120723</c:v>
                </c:pt>
                <c:pt idx="771">
                  <c:v>-9.0170575946855074</c:v>
                </c:pt>
                <c:pt idx="772">
                  <c:v>-9.0300780075698057</c:v>
                </c:pt>
                <c:pt idx="773">
                  <c:v>-9.0430984521645659</c:v>
                </c:pt>
                <c:pt idx="774">
                  <c:v>-9.0561189284693846</c:v>
                </c:pt>
                <c:pt idx="775">
                  <c:v>-9.0691394364838605</c:v>
                </c:pt>
                <c:pt idx="776">
                  <c:v>-9.082159976207592</c:v>
                </c:pt>
                <c:pt idx="777">
                  <c:v>-9.0951805476401759</c:v>
                </c:pt>
                <c:pt idx="778">
                  <c:v>-9.1082011507812108</c:v>
                </c:pt>
                <c:pt idx="779">
                  <c:v>-9.1212217856302935</c:v>
                </c:pt>
                <c:pt idx="780">
                  <c:v>-9.1342424521870242</c:v>
                </c:pt>
                <c:pt idx="781">
                  <c:v>-9.1472631504509998</c:v>
                </c:pt>
                <c:pt idx="782">
                  <c:v>-9.160283880421817</c:v>
                </c:pt>
                <c:pt idx="783">
                  <c:v>-9.173304642099076</c:v>
                </c:pt>
                <c:pt idx="784">
                  <c:v>-9.1863254354823738</c:v>
                </c:pt>
                <c:pt idx="785">
                  <c:v>-9.1993462605713088</c:v>
                </c:pt>
                <c:pt idx="786">
                  <c:v>-9.2123671173654778</c:v>
                </c:pt>
                <c:pt idx="787">
                  <c:v>-9.2253880058644793</c:v>
                </c:pt>
                <c:pt idx="788">
                  <c:v>-9.2384089260679119</c:v>
                </c:pt>
                <c:pt idx="789">
                  <c:v>-9.2514298779753741</c:v>
                </c:pt>
                <c:pt idx="790">
                  <c:v>-9.2644508615864627</c:v>
                </c:pt>
                <c:pt idx="791">
                  <c:v>-9.2774718769007762</c:v>
                </c:pt>
                <c:pt idx="792">
                  <c:v>-9.2904929239179133</c:v>
                </c:pt>
                <c:pt idx="793">
                  <c:v>-9.3035140026374705</c:v>
                </c:pt>
                <c:pt idx="794">
                  <c:v>-9.3165351130590466</c:v>
                </c:pt>
                <c:pt idx="795">
                  <c:v>-9.32955625518224</c:v>
                </c:pt>
                <c:pt idx="796">
                  <c:v>-9.3425774290066474</c:v>
                </c:pt>
                <c:pt idx="797">
                  <c:v>-9.3555986345318676</c:v>
                </c:pt>
                <c:pt idx="798">
                  <c:v>-9.3686198717574989</c:v>
                </c:pt>
                <c:pt idx="799">
                  <c:v>-9.3816411406831399</c:v>
                </c:pt>
                <c:pt idx="800">
                  <c:v>-9.3946624413083875</c:v>
                </c:pt>
                <c:pt idx="801">
                  <c:v>-9.40768377363284</c:v>
                </c:pt>
                <c:pt idx="802">
                  <c:v>-9.4207051376560962</c:v>
                </c:pt>
                <c:pt idx="803">
                  <c:v>-9.4337265333777527</c:v>
                </c:pt>
                <c:pt idx="804">
                  <c:v>-9.4467479607974099</c:v>
                </c:pt>
                <c:pt idx="805">
                  <c:v>-9.4597694199146627</c:v>
                </c:pt>
                <c:pt idx="806">
                  <c:v>-9.4727909107291115</c:v>
                </c:pt>
                <c:pt idx="807">
                  <c:v>-9.4858124332403531</c:v>
                </c:pt>
                <c:pt idx="808">
                  <c:v>-9.4988339874479859</c:v>
                </c:pt>
                <c:pt idx="809">
                  <c:v>-9.5118555733516086</c:v>
                </c:pt>
                <c:pt idx="810">
                  <c:v>-9.5248771909508196</c:v>
                </c:pt>
                <c:pt idx="811">
                  <c:v>-9.5378988402452158</c:v>
                </c:pt>
                <c:pt idx="812">
                  <c:v>-9.5509205212343957</c:v>
                </c:pt>
                <c:pt idx="813">
                  <c:v>-9.5639422339179561</c:v>
                </c:pt>
                <c:pt idx="814">
                  <c:v>-9.5769639782954972</c:v>
                </c:pt>
                <c:pt idx="815">
                  <c:v>-9.5899857543666158</c:v>
                </c:pt>
                <c:pt idx="816">
                  <c:v>-9.6030075621309106</c:v>
                </c:pt>
                <c:pt idx="817">
                  <c:v>-9.6160294015879781</c:v>
                </c:pt>
                <c:pt idx="818">
                  <c:v>-9.6290512727374189</c:v>
                </c:pt>
                <c:pt idx="819">
                  <c:v>-9.6420731755788296</c:v>
                </c:pt>
                <c:pt idx="820">
                  <c:v>-9.6550951101118088</c:v>
                </c:pt>
                <c:pt idx="821">
                  <c:v>-9.6681170763359532</c:v>
                </c:pt>
                <c:pt idx="822">
                  <c:v>-9.6811390742508614</c:v>
                </c:pt>
                <c:pt idx="823">
                  <c:v>-9.6941611038561319</c:v>
                </c:pt>
                <c:pt idx="824">
                  <c:v>-9.7071831651513634</c:v>
                </c:pt>
                <c:pt idx="825">
                  <c:v>-9.7202052581361524</c:v>
                </c:pt>
                <c:pt idx="826">
                  <c:v>-9.7332273828100995</c:v>
                </c:pt>
                <c:pt idx="827">
                  <c:v>-9.7462495391728012</c:v>
                </c:pt>
                <c:pt idx="828">
                  <c:v>-9.7592717272238545</c:v>
                </c:pt>
                <c:pt idx="829">
                  <c:v>-9.7722939469628596</c:v>
                </c:pt>
                <c:pt idx="830">
                  <c:v>-9.7853161983894132</c:v>
                </c:pt>
                <c:pt idx="831">
                  <c:v>-9.798338481503114</c:v>
                </c:pt>
                <c:pt idx="832">
                  <c:v>-9.8113607963035605</c:v>
                </c:pt>
                <c:pt idx="833">
                  <c:v>-9.8243831427903494</c:v>
                </c:pt>
                <c:pt idx="834">
                  <c:v>-9.8374055209630793</c:v>
                </c:pt>
                <c:pt idx="835">
                  <c:v>-9.8504279308213487</c:v>
                </c:pt>
                <c:pt idx="836">
                  <c:v>-9.8634503723647562</c:v>
                </c:pt>
                <c:pt idx="837">
                  <c:v>-9.8764728455928985</c:v>
                </c:pt>
                <c:pt idx="838">
                  <c:v>-9.8894953505053742</c:v>
                </c:pt>
                <c:pt idx="839">
                  <c:v>-9.9025178871017818</c:v>
                </c:pt>
                <c:pt idx="840">
                  <c:v>-9.9155404553817199</c:v>
                </c:pt>
                <c:pt idx="841">
                  <c:v>-9.928563055344787</c:v>
                </c:pt>
                <c:pt idx="842">
                  <c:v>-9.9415856869905799</c:v>
                </c:pt>
                <c:pt idx="843">
                  <c:v>-9.9546083503186971</c:v>
                </c:pt>
                <c:pt idx="844">
                  <c:v>-9.9676310453287371</c:v>
                </c:pt>
                <c:pt idx="845">
                  <c:v>-9.9806537720202968</c:v>
                </c:pt>
                <c:pt idx="846">
                  <c:v>-9.9936765303929747</c:v>
                </c:pt>
                <c:pt idx="847">
                  <c:v>-10.006699320446371</c:v>
                </c:pt>
                <c:pt idx="848">
                  <c:v>-10.019722142180081</c:v>
                </c:pt>
                <c:pt idx="849">
                  <c:v>-10.032744995593704</c:v>
                </c:pt>
                <c:pt idx="850">
                  <c:v>-10.045767880686839</c:v>
                </c:pt>
                <c:pt idx="851">
                  <c:v>-10.058790797459082</c:v>
                </c:pt>
                <c:pt idx="852">
                  <c:v>-10.071813745910033</c:v>
                </c:pt>
                <c:pt idx="853">
                  <c:v>-10.08483672603929</c:v>
                </c:pt>
                <c:pt idx="854">
                  <c:v>-10.09785973784645</c:v>
                </c:pt>
                <c:pt idx="855">
                  <c:v>-10.110882781331114</c:v>
                </c:pt>
                <c:pt idx="856">
                  <c:v>-10.123905856492877</c:v>
                </c:pt>
                <c:pt idx="857">
                  <c:v>-10.136928963331339</c:v>
                </c:pt>
                <c:pt idx="858">
                  <c:v>-10.149952101846097</c:v>
                </c:pt>
                <c:pt idx="859">
                  <c:v>-10.162975272036748</c:v>
                </c:pt>
                <c:pt idx="860">
                  <c:v>-10.175998473902894</c:v>
                </c:pt>
                <c:pt idx="861">
                  <c:v>-10.189021707444128</c:v>
                </c:pt>
                <c:pt idx="862">
                  <c:v>-10.202044972660053</c:v>
                </c:pt>
                <c:pt idx="863">
                  <c:v>-10.215068269550265</c:v>
                </c:pt>
                <c:pt idx="864">
                  <c:v>-10.228091598114363</c:v>
                </c:pt>
                <c:pt idx="865">
                  <c:v>-10.241114958351943</c:v>
                </c:pt>
                <c:pt idx="866">
                  <c:v>-10.254138350262606</c:v>
                </c:pt>
                <c:pt idx="867">
                  <c:v>-10.267161773845947</c:v>
                </c:pt>
                <c:pt idx="868">
                  <c:v>-10.280185229101567</c:v>
                </c:pt>
                <c:pt idx="869">
                  <c:v>-10.293208716029064</c:v>
                </c:pt>
                <c:pt idx="870">
                  <c:v>-10.306232234628034</c:v>
                </c:pt>
                <c:pt idx="871">
                  <c:v>-10.319255784898077</c:v>
                </c:pt>
                <c:pt idx="872">
                  <c:v>-10.332279366838792</c:v>
                </c:pt>
                <c:pt idx="873">
                  <c:v>-10.345302980449775</c:v>
                </c:pt>
                <c:pt idx="874">
                  <c:v>-10.358326625730625</c:v>
                </c:pt>
                <c:pt idx="875">
                  <c:v>-10.371350302680939</c:v>
                </c:pt>
                <c:pt idx="876">
                  <c:v>-10.384374011300318</c:v>
                </c:pt>
                <c:pt idx="877">
                  <c:v>-10.397397751588359</c:v>
                </c:pt>
                <c:pt idx="878">
                  <c:v>-10.41042152354466</c:v>
                </c:pt>
                <c:pt idx="879">
                  <c:v>-10.423445327168817</c:v>
                </c:pt>
                <c:pt idx="880">
                  <c:v>-10.436469162460432</c:v>
                </c:pt>
                <c:pt idx="881">
                  <c:v>-10.4494930294191</c:v>
                </c:pt>
                <c:pt idx="882">
                  <c:v>-10.462516928044423</c:v>
                </c:pt>
                <c:pt idx="883">
                  <c:v>-10.475540858335995</c:v>
                </c:pt>
                <c:pt idx="884">
                  <c:v>-10.488564820293416</c:v>
                </c:pt>
                <c:pt idx="885">
                  <c:v>-10.501588813916284</c:v>
                </c:pt>
                <c:pt idx="886">
                  <c:v>-10.514612839204197</c:v>
                </c:pt>
                <c:pt idx="887">
                  <c:v>-10.527636896156755</c:v>
                </c:pt>
                <c:pt idx="888">
                  <c:v>-10.540660984773556</c:v>
                </c:pt>
                <c:pt idx="889">
                  <c:v>-10.553685105054196</c:v>
                </c:pt>
                <c:pt idx="890">
                  <c:v>-10.566709256998275</c:v>
                </c:pt>
                <c:pt idx="891">
                  <c:v>-10.57973344060539</c:v>
                </c:pt>
                <c:pt idx="892">
                  <c:v>-10.59275765587514</c:v>
                </c:pt>
                <c:pt idx="893">
                  <c:v>-10.605781902807122</c:v>
                </c:pt>
                <c:pt idx="894">
                  <c:v>-10.618806181400936</c:v>
                </c:pt>
                <c:pt idx="895">
                  <c:v>-10.63183049165618</c:v>
                </c:pt>
                <c:pt idx="896">
                  <c:v>-10.644854833572451</c:v>
                </c:pt>
                <c:pt idx="897">
                  <c:v>-10.657879207149348</c:v>
                </c:pt>
                <c:pt idx="898">
                  <c:v>-10.67090361238647</c:v>
                </c:pt>
                <c:pt idx="899">
                  <c:v>-10.683928049283413</c:v>
                </c:pt>
                <c:pt idx="900">
                  <c:v>-10.696952517839778</c:v>
                </c:pt>
                <c:pt idx="901">
                  <c:v>-10.709977018055161</c:v>
                </c:pt>
                <c:pt idx="902">
                  <c:v>-10.723001549929162</c:v>
                </c:pt>
                <c:pt idx="903">
                  <c:v>-10.736026113461378</c:v>
                </c:pt>
                <c:pt idx="904">
                  <c:v>-10.749050708651408</c:v>
                </c:pt>
                <c:pt idx="905">
                  <c:v>-10.762075335498849</c:v>
                </c:pt>
                <c:pt idx="906">
                  <c:v>-10.775099994003302</c:v>
                </c:pt>
                <c:pt idx="907">
                  <c:v>-10.788124684164362</c:v>
                </c:pt>
                <c:pt idx="908">
                  <c:v>-10.801149405981629</c:v>
                </c:pt>
                <c:pt idx="909">
                  <c:v>-10.814174159454701</c:v>
                </c:pt>
                <c:pt idx="910">
                  <c:v>-10.827198944583175</c:v>
                </c:pt>
                <c:pt idx="911">
                  <c:v>-10.840223761366651</c:v>
                </c:pt>
                <c:pt idx="912">
                  <c:v>-10.853248609804726</c:v>
                </c:pt>
                <c:pt idx="913">
                  <c:v>-10.866273489897001</c:v>
                </c:pt>
                <c:pt idx="914">
                  <c:v>-10.879298401643071</c:v>
                </c:pt>
                <c:pt idx="915">
                  <c:v>-10.892323345042536</c:v>
                </c:pt>
                <c:pt idx="916">
                  <c:v>-10.905348320094994</c:v>
                </c:pt>
                <c:pt idx="917">
                  <c:v>-10.918373326800042</c:v>
                </c:pt>
                <c:pt idx="918">
                  <c:v>-10.93139836515728</c:v>
                </c:pt>
                <c:pt idx="919">
                  <c:v>-10.944423435166305</c:v>
                </c:pt>
                <c:pt idx="920">
                  <c:v>-10.957448536826716</c:v>
                </c:pt>
                <c:pt idx="921">
                  <c:v>-10.970473670138112</c:v>
                </c:pt>
                <c:pt idx="922">
                  <c:v>-10.98349883510009</c:v>
                </c:pt>
                <c:pt idx="923">
                  <c:v>-10.996524031712248</c:v>
                </c:pt>
                <c:pt idx="924">
                  <c:v>-11.009549259974186</c:v>
                </c:pt>
                <c:pt idx="925">
                  <c:v>-11.022574519885501</c:v>
                </c:pt>
                <c:pt idx="926">
                  <c:v>-11.035599811445792</c:v>
                </c:pt>
                <c:pt idx="927">
                  <c:v>-11.048625134654657</c:v>
                </c:pt>
                <c:pt idx="928">
                  <c:v>-11.061650489511694</c:v>
                </c:pt>
                <c:pt idx="929">
                  <c:v>-11.074675876016501</c:v>
                </c:pt>
                <c:pt idx="930">
                  <c:v>-11.087701294168678</c:v>
                </c:pt>
                <c:pt idx="931">
                  <c:v>-11.100726743967822</c:v>
                </c:pt>
                <c:pt idx="932">
                  <c:v>-11.113752225413531</c:v>
                </c:pt>
                <c:pt idx="933">
                  <c:v>-11.126777738505405</c:v>
                </c:pt>
                <c:pt idx="934">
                  <c:v>-11.13980328324304</c:v>
                </c:pt>
                <c:pt idx="935">
                  <c:v>-11.152828859626036</c:v>
                </c:pt>
                <c:pt idx="936">
                  <c:v>-11.16585446765399</c:v>
                </c:pt>
                <c:pt idx="937">
                  <c:v>-11.178880107326501</c:v>
                </c:pt>
                <c:pt idx="938">
                  <c:v>-11.191905778643168</c:v>
                </c:pt>
                <c:pt idx="939">
                  <c:v>-11.204931481603587</c:v>
                </c:pt>
                <c:pt idx="940">
                  <c:v>-11.21795721620736</c:v>
                </c:pt>
                <c:pt idx="941">
                  <c:v>-11.230982982454082</c:v>
                </c:pt>
                <c:pt idx="942">
                  <c:v>-11.244008780343353</c:v>
                </c:pt>
                <c:pt idx="943">
                  <c:v>-11.257034609874772</c:v>
                </c:pt>
                <c:pt idx="944">
                  <c:v>-11.270060471047936</c:v>
                </c:pt>
                <c:pt idx="945">
                  <c:v>-11.283086363862443</c:v>
                </c:pt>
                <c:pt idx="946">
                  <c:v>-11.296112288317893</c:v>
                </c:pt>
                <c:pt idx="947">
                  <c:v>-11.309138244413882</c:v>
                </c:pt>
                <c:pt idx="948">
                  <c:v>-11.32216423215001</c:v>
                </c:pt>
                <c:pt idx="949">
                  <c:v>-11.335190251525876</c:v>
                </c:pt>
                <c:pt idx="950">
                  <c:v>-11.348216302541077</c:v>
                </c:pt>
                <c:pt idx="951">
                  <c:v>-11.361242385195212</c:v>
                </c:pt>
                <c:pt idx="952">
                  <c:v>-11.374268499487878</c:v>
                </c:pt>
                <c:pt idx="953">
                  <c:v>-11.387294645418674</c:v>
                </c:pt>
                <c:pt idx="954">
                  <c:v>-11.400320822987199</c:v>
                </c:pt>
                <c:pt idx="955">
                  <c:v>-11.413347032193052</c:v>
                </c:pt>
                <c:pt idx="956">
                  <c:v>-11.42637327303583</c:v>
                </c:pt>
                <c:pt idx="957">
                  <c:v>-11.439399545515133</c:v>
                </c:pt>
                <c:pt idx="958">
                  <c:v>-11.452425849630558</c:v>
                </c:pt>
                <c:pt idx="959">
                  <c:v>-11.465452185381704</c:v>
                </c:pt>
                <c:pt idx="960">
                  <c:v>-11.478478552768168</c:v>
                </c:pt>
                <c:pt idx="961">
                  <c:v>-11.491504951789549</c:v>
                </c:pt>
                <c:pt idx="962">
                  <c:v>-11.504531382445446</c:v>
                </c:pt>
                <c:pt idx="963">
                  <c:v>-11.517557844735457</c:v>
                </c:pt>
                <c:pt idx="964">
                  <c:v>-11.53058433865918</c:v>
                </c:pt>
                <c:pt idx="965">
                  <c:v>-11.543610864216214</c:v>
                </c:pt>
                <c:pt idx="966">
                  <c:v>-11.556637421406158</c:v>
                </c:pt>
                <c:pt idx="967">
                  <c:v>-11.56966401022861</c:v>
                </c:pt>
                <c:pt idx="968">
                  <c:v>-11.582690630683167</c:v>
                </c:pt>
                <c:pt idx="969">
                  <c:v>-11.59571728276943</c:v>
                </c:pt>
                <c:pt idx="970">
                  <c:v>-11.608743966486994</c:v>
                </c:pt>
                <c:pt idx="971">
                  <c:v>-11.621770681835459</c:v>
                </c:pt>
                <c:pt idx="972">
                  <c:v>-11.634797428814425</c:v>
                </c:pt>
                <c:pt idx="973">
                  <c:v>-11.647824207423488</c:v>
                </c:pt>
                <c:pt idx="974">
                  <c:v>-11.660851017662248</c:v>
                </c:pt>
                <c:pt idx="975">
                  <c:v>-11.673877859530302</c:v>
                </c:pt>
                <c:pt idx="976">
                  <c:v>-11.68690473302725</c:v>
                </c:pt>
                <c:pt idx="977">
                  <c:v>-11.699931638152687</c:v>
                </c:pt>
                <c:pt idx="978">
                  <c:v>-11.712958574906216</c:v>
                </c:pt>
                <c:pt idx="979">
                  <c:v>-11.725985543287432</c:v>
                </c:pt>
                <c:pt idx="980">
                  <c:v>-11.739012543295937</c:v>
                </c:pt>
                <c:pt idx="981">
                  <c:v>-11.752039574931326</c:v>
                </c:pt>
                <c:pt idx="982">
                  <c:v>-11.765066638193197</c:v>
                </c:pt>
                <c:pt idx="983">
                  <c:v>-11.778093733081151</c:v>
                </c:pt>
                <c:pt idx="984">
                  <c:v>-11.791120859594786</c:v>
                </c:pt>
                <c:pt idx="985">
                  <c:v>-11.804148017733699</c:v>
                </c:pt>
                <c:pt idx="986">
                  <c:v>-11.81717520749749</c:v>
                </c:pt>
                <c:pt idx="987">
                  <c:v>-11.830202428885757</c:v>
                </c:pt>
                <c:pt idx="988">
                  <c:v>-11.843229681898098</c:v>
                </c:pt>
                <c:pt idx="989">
                  <c:v>-11.856256966534112</c:v>
                </c:pt>
                <c:pt idx="990">
                  <c:v>-11.869284282793396</c:v>
                </c:pt>
                <c:pt idx="991">
                  <c:v>-11.882311630675549</c:v>
                </c:pt>
                <c:pt idx="992">
                  <c:v>-11.895339010180169</c:v>
                </c:pt>
                <c:pt idx="993">
                  <c:v>-11.908366421306857</c:v>
                </c:pt>
                <c:pt idx="994">
                  <c:v>-11.92139386405521</c:v>
                </c:pt>
                <c:pt idx="995">
                  <c:v>-11.934421338424825</c:v>
                </c:pt>
                <c:pt idx="996">
                  <c:v>-11.947448844415302</c:v>
                </c:pt>
                <c:pt idx="997">
                  <c:v>-11.960476382026238</c:v>
                </c:pt>
                <c:pt idx="998">
                  <c:v>-11.973503951257234</c:v>
                </c:pt>
                <c:pt idx="999">
                  <c:v>-11.986531552107886</c:v>
                </c:pt>
                <c:pt idx="1000">
                  <c:v>-11.999559184577793</c:v>
                </c:pt>
              </c:numCache>
            </c:numRef>
          </c:yVal>
          <c:smooth val="1"/>
          <c:extLst>
            <c:ext xmlns:c16="http://schemas.microsoft.com/office/drawing/2014/chart" uri="{C3380CC4-5D6E-409C-BE32-E72D297353CC}">
              <c16:uniqueId val="{00000001-897D-40A6-9E02-3FCC294006C5}"/>
            </c:ext>
          </c:extLst>
        </c:ser>
        <c:ser>
          <c:idx val="1"/>
          <c:order val="2"/>
          <c:tx>
            <c:strRef>
              <c:f>Trajecto!$B$107</c:f>
              <c:strCache>
                <c:ptCount val="1"/>
                <c:pt idx="0">
                  <c:v>Descente balistique</c:v>
                </c:pt>
              </c:strCache>
            </c:strRef>
          </c:tx>
          <c:spPr>
            <a:ln w="12700">
              <a:solidFill>
                <a:srgbClr val="808080"/>
              </a:solidFill>
              <a:prstDash val="sysDash"/>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Calculs!$K$4:$K$1004</c:f>
              <c:numCache>
                <c:formatCode>0.00</c:formatCode>
                <c:ptCount val="1001"/>
                <c:pt idx="0">
                  <c:v>0</c:v>
                </c:pt>
                <c:pt idx="1">
                  <c:v>0</c:v>
                </c:pt>
                <c:pt idx="2">
                  <c:v>9.256745468933812E-4</c:v>
                </c:pt>
                <c:pt idx="3">
                  <c:v>4.6375098159864465E-3</c:v>
                </c:pt>
                <c:pt idx="4">
                  <c:v>1.3005881763920295E-2</c:v>
                </c:pt>
                <c:pt idx="5">
                  <c:v>2.7902932677719018E-2</c:v>
                </c:pt>
                <c:pt idx="6">
                  <c:v>5.0729494037892092E-2</c:v>
                </c:pt>
                <c:pt idx="7">
                  <c:v>8.1940908218334885E-2</c:v>
                </c:pt>
                <c:pt idx="8">
                  <c:v>0.12151931462913008</c:v>
                </c:pt>
                <c:pt idx="9">
                  <c:v>0.16944677622685986</c:v>
                </c:pt>
                <c:pt idx="10">
                  <c:v>0.22570527978592239</c:v>
                </c:pt>
                <c:pt idx="11">
                  <c:v>0.29027673617222649</c:v>
                </c:pt>
                <c:pt idx="12">
                  <c:v>0.36314298061924566</c:v>
                </c:pt>
                <c:pt idx="13">
                  <c:v>0.44428577300641242</c:v>
                </c:pt>
                <c:pt idx="14">
                  <c:v>0.53368679813983388</c:v>
                </c:pt>
                <c:pt idx="15">
                  <c:v>0.63132766603530943</c:v>
                </c:pt>
                <c:pt idx="16">
                  <c:v>0.7371899122036305</c:v>
                </c:pt>
                <c:pt idx="17">
                  <c:v>0.85125499793814385</c:v>
                </c:pt>
                <c:pt idx="18">
                  <c:v>0.973504310604557</c:v>
                </c:pt>
                <c:pt idx="19">
                  <c:v>1.1039191639329675</c:v>
                </c:pt>
                <c:pt idx="20">
                  <c:v>1.2424807983120951</c:v>
                </c:pt>
                <c:pt idx="21">
                  <c:v>1.3891703810856959</c:v>
                </c:pt>
                <c:pt idx="22">
                  <c:v>1.5439690068511398</c:v>
                </c:pt>
                <c:pt idx="23">
                  <c:v>1.7068576977601289</c:v>
                </c:pt>
                <c:pt idx="24">
                  <c:v>1.8778174038215372</c:v>
                </c:pt>
                <c:pt idx="25">
                  <c:v>2.0568290032063508</c:v>
                </c:pt>
                <c:pt idx="26">
                  <c:v>2.2438733025546869</c:v>
                </c:pt>
                <c:pt idx="27">
                  <c:v>2.4389310372848709</c:v>
                </c:pt>
                <c:pt idx="28">
                  <c:v>2.6419828719045495</c:v>
                </c:pt>
                <c:pt idx="29">
                  <c:v>2.8530094003238204</c:v>
                </c:pt>
                <c:pt idx="30">
                  <c:v>3.0719911461703555</c:v>
                </c:pt>
                <c:pt idx="31">
                  <c:v>3.2989085631064961</c:v>
                </c:pt>
                <c:pt idx="32">
                  <c:v>3.5337420351482973</c:v>
                </c:pt>
                <c:pt idx="33">
                  <c:v>3.7764718769865033</c:v>
                </c:pt>
                <c:pt idx="34">
                  <c:v>4.0270783343094267</c:v>
                </c:pt>
                <c:pt idx="35">
                  <c:v>4.2855267870942164</c:v>
                </c:pt>
                <c:pt idx="36">
                  <c:v>4.5517820584966753</c:v>
                </c:pt>
                <c:pt idx="37">
                  <c:v>4.8258232181161596</c:v>
                </c:pt>
                <c:pt idx="38">
                  <c:v>5.1076292862374588</c:v>
                </c:pt>
                <c:pt idx="39">
                  <c:v>5.3971792401500984</c:v>
                </c:pt>
                <c:pt idx="40">
                  <c:v>5.6944520133574148</c:v>
                </c:pt>
                <c:pt idx="41">
                  <c:v>5.9994264948718143</c:v>
                </c:pt>
                <c:pt idx="42">
                  <c:v>6.3120815285877736</c:v>
                </c:pt>
                <c:pt idx="43">
                  <c:v>6.6323959127251593</c:v>
                </c:pt>
                <c:pt idx="44">
                  <c:v>6.960348399336354</c:v>
                </c:pt>
                <c:pt idx="45">
                  <c:v>7.2959176938714139</c:v>
                </c:pt>
                <c:pt idx="46">
                  <c:v>7.6390824547961556</c:v>
                </c:pt>
                <c:pt idx="47">
                  <c:v>7.9898212932586299</c:v>
                </c:pt>
                <c:pt idx="48">
                  <c:v>8.3481127727999347</c:v>
                </c:pt>
                <c:pt idx="49">
                  <c:v>8.7139354091057477</c:v>
                </c:pt>
                <c:pt idx="50">
                  <c:v>9.087267669795331</c:v>
                </c:pt>
                <c:pt idx="51">
                  <c:v>9.4680904607792051</c:v>
                </c:pt>
                <c:pt idx="52">
                  <c:v>9.8563896156349617</c:v>
                </c:pt>
                <c:pt idx="53">
                  <c:v>10.252153413149001</c:v>
                </c:pt>
                <c:pt idx="54">
                  <c:v>10.6553700918227</c:v>
                </c:pt>
                <c:pt idx="55">
                  <c:v>11.066027849655297</c:v>
                </c:pt>
                <c:pt idx="56">
                  <c:v>11.484114843947582</c:v>
                </c:pt>
                <c:pt idx="57">
                  <c:v>11.909619191125028</c:v>
                </c:pt>
                <c:pt idx="58">
                  <c:v>12.342528966579124</c:v>
                </c:pt>
                <c:pt idx="59">
                  <c:v>12.782832204525784</c:v>
                </c:pt>
                <c:pt idx="60">
                  <c:v>13.230516897879768</c:v>
                </c:pt>
                <c:pt idx="61">
                  <c:v>13.685570998144183</c:v>
                </c:pt>
                <c:pt idx="62">
                  <c:v>14.147982415314159</c:v>
                </c:pt>
                <c:pt idx="63">
                  <c:v>14.617739017793911</c:v>
                </c:pt>
                <c:pt idx="64">
                  <c:v>15.094828632326408</c:v>
                </c:pt>
                <c:pt idx="65">
                  <c:v>15.57923904393499</c:v>
                </c:pt>
                <c:pt idx="66">
                  <c:v>16.07095799587626</c:v>
                </c:pt>
                <c:pt idx="67">
                  <c:v>16.569973189603672</c:v>
                </c:pt>
                <c:pt idx="68">
                  <c:v>17.076272284741261</c:v>
                </c:pt>
                <c:pt idx="69">
                  <c:v>17.589842899067008</c:v>
                </c:pt>
                <c:pt idx="70">
                  <c:v>18.110672608505332</c:v>
                </c:pt>
                <c:pt idx="71">
                  <c:v>18.63874894712832</c:v>
                </c:pt>
                <c:pt idx="72">
                  <c:v>19.174059407165217</c:v>
                </c:pt>
                <c:pt idx="73">
                  <c:v>19.716591439019826</c:v>
                </c:pt>
                <c:pt idx="74">
                  <c:v>20.266332451295462</c:v>
                </c:pt>
                <c:pt idx="75">
                  <c:v>20.823269810827078</c:v>
                </c:pt>
                <c:pt idx="76">
                  <c:v>21.387390842720297</c:v>
                </c:pt>
                <c:pt idx="77">
                  <c:v>21.95868283039702</c:v>
                </c:pt>
                <c:pt idx="78">
                  <c:v>22.537133015647321</c:v>
                </c:pt>
                <c:pt idx="79">
                  <c:v>23.122728598687409</c:v>
                </c:pt>
                <c:pt idx="80">
                  <c:v>23.715456738223363</c:v>
                </c:pt>
                <c:pt idx="81">
                  <c:v>24.31530455152042</c:v>
                </c:pt>
                <c:pt idx="82">
                  <c:v>24.922259114477619</c:v>
                </c:pt>
                <c:pt idx="83">
                  <c:v>25.536307461707565</c:v>
                </c:pt>
                <c:pt idx="84">
                  <c:v>26.157436586621124</c:v>
                </c:pt>
                <c:pt idx="85">
                  <c:v>26.785633441516868</c:v>
                </c:pt>
                <c:pt idx="86">
                  <c:v>27.420884937675105</c:v>
                </c:pt>
                <c:pt idx="87">
                  <c:v>28.063177945456289</c:v>
                </c:pt>
                <c:pt idx="88">
                  <c:v>28.712499294403703</c:v>
                </c:pt>
                <c:pt idx="89">
                  <c:v>29.368835773350227</c:v>
                </c:pt>
                <c:pt idx="90">
                  <c:v>30.032174130529068</c:v>
                </c:pt>
                <c:pt idx="91">
                  <c:v>30.702501073688307</c:v>
                </c:pt>
                <c:pt idx="92">
                  <c:v>31.379803270209145</c:v>
                </c:pt>
                <c:pt idx="93">
                  <c:v>32.064067347227706</c:v>
                </c:pt>
                <c:pt idx="94">
                  <c:v>32.75527989176031</c:v>
                </c:pt>
                <c:pt idx="95">
                  <c:v>33.453427450832081</c:v>
                </c:pt>
                <c:pt idx="96">
                  <c:v>34.158496531608776</c:v>
                </c:pt>
                <c:pt idx="97">
                  <c:v>34.870473601531785</c:v>
                </c:pt>
                <c:pt idx="98">
                  <c:v>35.589345088456128</c:v>
                </c:pt>
                <c:pt idx="99">
                  <c:v>36.315097380791421</c:v>
                </c:pt>
                <c:pt idx="100">
                  <c:v>37.047716827645679</c:v>
                </c:pt>
                <c:pt idx="101">
                  <c:v>37.787188597185938</c:v>
                </c:pt>
                <c:pt idx="102">
                  <c:v>38.533495533942798</c:v>
                </c:pt>
                <c:pt idx="103">
                  <c:v>39.286619299474474</c:v>
                </c:pt>
                <c:pt idx="104">
                  <c:v>40.04654151413277</c:v>
                </c:pt>
                <c:pt idx="105">
                  <c:v>40.813243757301436</c:v>
                </c:pt>
                <c:pt idx="106">
                  <c:v>41.586707567636964</c:v>
                </c:pt>
                <c:pt idx="107">
                  <c:v>42.366914443311806</c:v>
                </c:pt>
                <c:pt idx="108">
                  <c:v>43.153845842259891</c:v>
                </c:pt>
                <c:pt idx="109">
                  <c:v>43.947483182424349</c:v>
                </c:pt>
                <c:pt idx="110">
                  <c:v>44.74780784200744</c:v>
                </c:pt>
                <c:pt idx="111">
                  <c:v>45.554801159722523</c:v>
                </c:pt>
                <c:pt idx="112">
                  <c:v>46.368444435048083</c:v>
                </c:pt>
                <c:pt idx="113">
                  <c:v>47.188718928483702</c:v>
                </c:pt>
                <c:pt idx="114">
                  <c:v>48.015605861807899</c:v>
                </c:pt>
                <c:pt idx="115">
                  <c:v>48.849086418337819</c:v>
                </c:pt>
                <c:pt idx="116">
                  <c:v>49.689141743190675</c:v>
                </c:pt>
                <c:pt idx="117">
                  <c:v>50.535752943546903</c:v>
                </c:pt>
                <c:pt idx="118">
                  <c:v>51.38890108891497</c:v>
                </c:pt>
                <c:pt idx="119">
                  <c:v>52.248567211397784</c:v>
                </c:pt>
                <c:pt idx="120">
                  <c:v>53.114732305960622</c:v>
                </c:pt>
                <c:pt idx="121">
                  <c:v>53.987377330700575</c:v>
                </c:pt>
                <c:pt idx="122">
                  <c:v>54.866483207117412</c:v>
                </c:pt>
                <c:pt idx="123">
                  <c:v>55.752030820385855</c:v>
                </c:pt>
                <c:pt idx="124">
                  <c:v>56.644001019629179</c:v>
                </c:pt>
                <c:pt idx="125">
                  <c:v>57.542374618194117</c:v>
                </c:pt>
                <c:pt idx="126">
                  <c:v>58.447132393927006</c:v>
                </c:pt>
                <c:pt idx="127">
                  <c:v>59.358255089451163</c:v>
                </c:pt>
                <c:pt idx="128">
                  <c:v>60.27572341244538</c:v>
                </c:pt>
                <c:pt idx="129">
                  <c:v>61.199518035923589</c:v>
                </c:pt>
                <c:pt idx="130">
                  <c:v>62.129619598515568</c:v>
                </c:pt>
                <c:pt idx="131">
                  <c:v>63.066008704748711</c:v>
                </c:pt>
                <c:pt idx="132">
                  <c:v>64.008665925330774</c:v>
                </c:pt>
                <c:pt idx="133">
                  <c:v>64.957571797433602</c:v>
                </c:pt>
                <c:pt idx="134">
                  <c:v>65.912706824977775</c:v>
                </c:pt>
                <c:pt idx="135">
                  <c:v>66.874051478918133</c:v>
                </c:pt>
                <c:pt idx="136">
                  <c:v>67.841586197530134</c:v>
                </c:pt>
                <c:pt idx="137">
                  <c:v>68.815291386697083</c:v>
                </c:pt>
                <c:pt idx="138">
                  <c:v>69.795147420198063</c:v>
                </c:pt>
                <c:pt idx="139">
                  <c:v>70.781134639996679</c:v>
                </c:pt>
                <c:pt idx="140">
                  <c:v>71.773233356530483</c:v>
                </c:pt>
                <c:pt idx="141">
                  <c:v>72.771423849001081</c:v>
                </c:pt>
                <c:pt idx="142">
                  <c:v>73.775686365664882</c:v>
                </c:pt>
                <c:pt idx="143">
                  <c:v>74.786001124124482</c:v>
                </c:pt>
                <c:pt idx="144">
                  <c:v>75.802348311620591</c:v>
                </c:pt>
                <c:pt idx="145">
                  <c:v>76.824708085324573</c:v>
                </c:pt>
                <c:pt idx="146">
                  <c:v>77.853060572631492</c:v>
                </c:pt>
                <c:pt idx="147">
                  <c:v>78.887385871453588</c:v>
                </c:pt>
                <c:pt idx="148">
                  <c:v>79.927664050514309</c:v>
                </c:pt>
                <c:pt idx="149">
                  <c:v>80.973875149642751</c:v>
                </c:pt>
                <c:pt idx="150">
                  <c:v>82.025999180068482</c:v>
                </c:pt>
                <c:pt idx="151">
                  <c:v>83.084016511940348</c:v>
                </c:pt>
                <c:pt idx="152">
                  <c:v>84.147908262059872</c:v>
                </c:pt>
                <c:pt idx="153">
                  <c:v>85.217655907115997</c:v>
                </c:pt>
                <c:pt idx="154">
                  <c:v>86.293240896692211</c:v>
                </c:pt>
                <c:pt idx="155">
                  <c:v>87.374644653535711</c:v>
                </c:pt>
                <c:pt idx="156">
                  <c:v>88.461848573826828</c:v>
                </c:pt>
                <c:pt idx="157">
                  <c:v>89.554834027448891</c:v>
                </c:pt>
                <c:pt idx="158">
                  <c:v>90.653582358258248</c:v>
                </c:pt>
                <c:pt idx="159">
                  <c:v>91.758074884354642</c:v>
                </c:pt>
                <c:pt idx="160">
                  <c:v>92.868292898351797</c:v>
                </c:pt>
                <c:pt idx="161">
                  <c:v>93.984217667648238</c:v>
                </c:pt>
                <c:pt idx="162">
                  <c:v>95.105830434698305</c:v>
                </c:pt>
                <c:pt idx="163">
                  <c:v>96.233112417283337</c:v>
                </c:pt>
                <c:pt idx="164">
                  <c:v>97.366044808783087</c:v>
                </c:pt>
                <c:pt idx="165">
                  <c:v>98.504608778447135</c:v>
                </c:pt>
                <c:pt idx="166">
                  <c:v>99.648785471666585</c:v>
                </c:pt>
                <c:pt idx="167">
                  <c:v>100.79855601024575</c:v>
                </c:pt>
                <c:pt idx="168">
                  <c:v>101.95390149267392</c:v>
                </c:pt>
                <c:pt idx="169">
                  <c:v>103.11480299439731</c:v>
                </c:pt>
                <c:pt idx="170">
                  <c:v>104.28124156809086</c:v>
                </c:pt>
                <c:pt idx="171">
                  <c:v>105.45319824393022</c:v>
                </c:pt>
                <c:pt idx="172">
                  <c:v>106.63065402986365</c:v>
                </c:pt>
                <c:pt idx="173">
                  <c:v>107.81358991188395</c:v>
                </c:pt>
                <c:pt idx="174">
                  <c:v>109.00198685430033</c:v>
                </c:pt>
                <c:pt idx="175">
                  <c:v>110.19582580001023</c:v>
                </c:pt>
                <c:pt idx="176">
                  <c:v>111.39508767077106</c:v>
                </c:pt>
                <c:pt idx="177">
                  <c:v>112.59975336747193</c:v>
                </c:pt>
                <c:pt idx="178">
                  <c:v>113.80980377040517</c:v>
                </c:pt>
                <c:pt idx="179">
                  <c:v>115.02521973953775</c:v>
                </c:pt>
                <c:pt idx="180">
                  <c:v>116.24598211478263</c:v>
                </c:pt>
                <c:pt idx="181">
                  <c:v>117.47207171626994</c:v>
                </c:pt>
                <c:pt idx="182">
                  <c:v>118.70346934461783</c:v>
                </c:pt>
                <c:pt idx="183">
                  <c:v>119.94015578120342</c:v>
                </c:pt>
                <c:pt idx="184">
                  <c:v>121.18211178843325</c:v>
                </c:pt>
                <c:pt idx="185">
                  <c:v>122.42931811001372</c:v>
                </c:pt>
                <c:pt idx="186">
                  <c:v>123.68175547122119</c:v>
                </c:pt>
                <c:pt idx="187">
                  <c:v>124.93940457917186</c:v>
                </c:pt>
                <c:pt idx="188">
                  <c:v>126.20224612309134</c:v>
                </c:pt>
                <c:pt idx="189">
                  <c:v>127.47026077458401</c:v>
                </c:pt>
                <c:pt idx="190">
                  <c:v>128.743429187902</c:v>
                </c:pt>
                <c:pt idx="191">
                  <c:v>130.02173200021394</c:v>
                </c:pt>
                <c:pt idx="192">
                  <c:v>131.30514983187334</c:v>
                </c:pt>
                <c:pt idx="193">
                  <c:v>132.59366328668654</c:v>
                </c:pt>
                <c:pt idx="194">
                  <c:v>133.88725295218046</c:v>
                </c:pt>
                <c:pt idx="195">
                  <c:v>135.18589939986992</c:v>
                </c:pt>
                <c:pt idx="196">
                  <c:v>136.48958318552445</c:v>
                </c:pt>
                <c:pt idx="197">
                  <c:v>137.79828484943494</c:v>
                </c:pt>
                <c:pt idx="198">
                  <c:v>139.11198491667957</c:v>
                </c:pt>
                <c:pt idx="199">
                  <c:v>140.43066389738965</c:v>
                </c:pt>
                <c:pt idx="200">
                  <c:v>141.75430228701472</c:v>
                </c:pt>
                <c:pt idx="201">
                  <c:v>143.08288056658739</c:v>
                </c:pt>
                <c:pt idx="202">
                  <c:v>144.4163792029876</c:v>
                </c:pt>
                <c:pt idx="203">
                  <c:v>145.75477864920646</c:v>
                </c:pt>
                <c:pt idx="204">
                  <c:v>147.09805934460957</c:v>
                </c:pt>
                <c:pt idx="205">
                  <c:v>148.44620171519983</c:v>
                </c:pt>
                <c:pt idx="206">
                  <c:v>149.79918617387975</c:v>
                </c:pt>
                <c:pt idx="207">
                  <c:v>151.15699312071314</c:v>
                </c:pt>
                <c:pt idx="208">
                  <c:v>152.51960294318641</c:v>
                </c:pt>
                <c:pt idx="209">
                  <c:v>153.8869960164692</c:v>
                </c:pt>
                <c:pt idx="210">
                  <c:v>155.25915270367437</c:v>
                </c:pt>
                <c:pt idx="211">
                  <c:v>156.63605335611771</c:v>
                </c:pt>
                <c:pt idx="212">
                  <c:v>158.0176783135766</c:v>
                </c:pt>
                <c:pt idx="213">
                  <c:v>159.40400790454851</c:v>
                </c:pt>
                <c:pt idx="214">
                  <c:v>160.79502244650854</c:v>
                </c:pt>
                <c:pt idx="215">
                  <c:v>162.19070224616658</c:v>
                </c:pt>
                <c:pt idx="216">
                  <c:v>163.59102759972367</c:v>
                </c:pt>
                <c:pt idx="217">
                  <c:v>164.99597879312779</c:v>
                </c:pt>
                <c:pt idx="218">
                  <c:v>166.40553610232888</c:v>
                </c:pt>
                <c:pt idx="219">
                  <c:v>167.8196797935334</c:v>
                </c:pt>
                <c:pt idx="220">
                  <c:v>169.23839012345795</c:v>
                </c:pt>
                <c:pt idx="221">
                  <c:v>170.6616473395824</c:v>
                </c:pt>
                <c:pt idx="222">
                  <c:v>172.08943168040216</c:v>
                </c:pt>
                <c:pt idx="223">
                  <c:v>173.52172337567987</c:v>
                </c:pt>
                <c:pt idx="224">
                  <c:v>174.95850264669625</c:v>
                </c:pt>
                <c:pt idx="225">
                  <c:v>176.3997497065003</c:v>
                </c:pt>
                <c:pt idx="226">
                  <c:v>177.8454447601587</c:v>
                </c:pt>
                <c:pt idx="227">
                  <c:v>179.2955680050045</c:v>
                </c:pt>
                <c:pt idx="228">
                  <c:v>180.75009963088493</c:v>
                </c:pt>
                <c:pt idx="229">
                  <c:v>182.20901982040863</c:v>
                </c:pt>
                <c:pt idx="230">
                  <c:v>183.6723087491919</c:v>
                </c:pt>
                <c:pt idx="231">
                  <c:v>185.13994658610432</c:v>
                </c:pt>
                <c:pt idx="232">
                  <c:v>186.61191349351341</c:v>
                </c:pt>
                <c:pt idx="233">
                  <c:v>188.08818962752864</c:v>
                </c:pt>
                <c:pt idx="234">
                  <c:v>189.56875513824446</c:v>
                </c:pt>
                <c:pt idx="235">
                  <c:v>191.05359016998258</c:v>
                </c:pt>
                <c:pt idx="236">
                  <c:v>192.5426748615335</c:v>
                </c:pt>
                <c:pt idx="237">
                  <c:v>194.03598934639697</c:v>
                </c:pt>
                <c:pt idx="238">
                  <c:v>195.53351375302185</c:v>
                </c:pt>
                <c:pt idx="239">
                  <c:v>197.03522820504486</c:v>
                </c:pt>
                <c:pt idx="240">
                  <c:v>198.54111282152866</c:v>
                </c:pt>
                <c:pt idx="241">
                  <c:v>200.05114771719892</c:v>
                </c:pt>
                <c:pt idx="242">
                  <c:v>201.5653130026806</c:v>
                </c:pt>
                <c:pt idx="243">
                  <c:v>203.08358878473322</c:v>
                </c:pt>
                <c:pt idx="244">
                  <c:v>204.60595516648539</c:v>
                </c:pt>
                <c:pt idx="245">
                  <c:v>206.13239224766815</c:v>
                </c:pt>
                <c:pt idx="246">
                  <c:v>207.66288012484779</c:v>
                </c:pt>
                <c:pt idx="247">
                  <c:v>209.19739889165731</c:v>
                </c:pt>
                <c:pt idx="248">
                  <c:v>210.73592863902732</c:v>
                </c:pt>
                <c:pt idx="249">
                  <c:v>212.27844945541574</c:v>
                </c:pt>
                <c:pt idx="250">
                  <c:v>213.82494142703666</c:v>
                </c:pt>
                <c:pt idx="251">
                  <c:v>215.37538297758087</c:v>
                </c:pt>
                <c:pt idx="252">
                  <c:v>216.92974920816016</c:v>
                </c:pt>
                <c:pt idx="253">
                  <c:v>218.48801355941092</c:v>
                </c:pt>
                <c:pt idx="254">
                  <c:v>220.05014947342033</c:v>
                </c:pt>
                <c:pt idx="255">
                  <c:v>221.61613039404745</c:v>
                </c:pt>
                <c:pt idx="256">
                  <c:v>223.18592976724236</c:v>
                </c:pt>
                <c:pt idx="257">
                  <c:v>224.75952104136377</c:v>
                </c:pt>
                <c:pt idx="258">
                  <c:v>226.33687766749455</c:v>
                </c:pt>
                <c:pt idx="259">
                  <c:v>227.9179730997557</c:v>
                </c:pt>
                <c:pt idx="260">
                  <c:v>229.50278079561838</c:v>
                </c:pt>
                <c:pt idx="261">
                  <c:v>231.09127421621412</c:v>
                </c:pt>
                <c:pt idx="262">
                  <c:v>232.68342682664326</c:v>
                </c:pt>
                <c:pt idx="263">
                  <c:v>234.27921209628161</c:v>
                </c:pt>
                <c:pt idx="264">
                  <c:v>235.87860349908507</c:v>
                </c:pt>
                <c:pt idx="265">
                  <c:v>237.48157451389264</c:v>
                </c:pt>
                <c:pt idx="266">
                  <c:v>239.08809862472737</c:v>
                </c:pt>
                <c:pt idx="267">
                  <c:v>240.69814932109557</c:v>
                </c:pt>
                <c:pt idx="268">
                  <c:v>242.31170009828421</c:v>
                </c:pt>
                <c:pt idx="269">
                  <c:v>243.92872445765616</c:v>
                </c:pt>
                <c:pt idx="270">
                  <c:v>245.54919590694396</c:v>
                </c:pt>
                <c:pt idx="271">
                  <c:v>247.1730879605413</c:v>
                </c:pt>
                <c:pt idx="272">
                  <c:v>248.80037413979289</c:v>
                </c:pt>
                <c:pt idx="273">
                  <c:v>250.43102797328234</c:v>
                </c:pt>
                <c:pt idx="274">
                  <c:v>252.06502299711804</c:v>
                </c:pt>
                <c:pt idx="275">
                  <c:v>253.70233275521727</c:v>
                </c:pt>
                <c:pt idx="276">
                  <c:v>255.34293079958832</c:v>
                </c:pt>
                <c:pt idx="277">
                  <c:v>256.98679069061069</c:v>
                </c:pt>
                <c:pt idx="278">
                  <c:v>258.63388599731343</c:v>
                </c:pt>
                <c:pt idx="279">
                  <c:v>260.28419029765138</c:v>
                </c:pt>
                <c:pt idx="280">
                  <c:v>261.93767717877972</c:v>
                </c:pt>
                <c:pt idx="281">
                  <c:v>263.59432023732637</c:v>
                </c:pt>
                <c:pt idx="282">
                  <c:v>265.25409307966254</c:v>
                </c:pt>
                <c:pt idx="283">
                  <c:v>266.91696932217133</c:v>
                </c:pt>
                <c:pt idx="284">
                  <c:v>268.58292259151432</c:v>
                </c:pt>
                <c:pt idx="285">
                  <c:v>270.25192652489631</c:v>
                </c:pt>
                <c:pt idx="286">
                  <c:v>271.92395477032801</c:v>
                </c:pt>
                <c:pt idx="287">
                  <c:v>273.59898098688683</c:v>
                </c:pt>
                <c:pt idx="288">
                  <c:v>275.27697884497559</c:v>
                </c:pt>
                <c:pt idx="289">
                  <c:v>276.95792202657935</c:v>
                </c:pt>
                <c:pt idx="290">
                  <c:v>278.64178422552044</c:v>
                </c:pt>
                <c:pt idx="291">
                  <c:v>280.32853914771118</c:v>
                </c:pt>
                <c:pt idx="292">
                  <c:v>282.01816051140474</c:v>
                </c:pt>
                <c:pt idx="293">
                  <c:v>283.71062204744419</c:v>
                </c:pt>
                <c:pt idx="294">
                  <c:v>285.40589749950936</c:v>
                </c:pt>
                <c:pt idx="295">
                  <c:v>287.10396062436195</c:v>
                </c:pt>
                <c:pt idx="296">
                  <c:v>288.80478519208827</c:v>
                </c:pt>
                <c:pt idx="297">
                  <c:v>290.50834498634043</c:v>
                </c:pt>
                <c:pt idx="298">
                  <c:v>292.21459562740074</c:v>
                </c:pt>
                <c:pt idx="299">
                  <c:v>293.92345640434559</c:v>
                </c:pt>
                <c:pt idx="300">
                  <c:v>295.63482847891555</c:v>
                </c:pt>
                <c:pt idx="301">
                  <c:v>297.34861308113682</c:v>
                </c:pt>
                <c:pt idx="302">
                  <c:v>299.06471151124941</c:v>
                </c:pt>
                <c:pt idx="303">
                  <c:v>300.7830251416097</c:v>
                </c:pt>
                <c:pt idx="304">
                  <c:v>302.50345541856706</c:v>
                </c:pt>
                <c:pt idx="305">
                  <c:v>304.22590386431477</c:v>
                </c:pt>
                <c:pt idx="306">
                  <c:v>305.95027207871522</c:v>
                </c:pt>
                <c:pt idx="307">
                  <c:v>307.67646174109876</c:v>
                </c:pt>
                <c:pt idx="308">
                  <c:v>309.40437461203737</c:v>
                </c:pt>
                <c:pt idx="309">
                  <c:v>311.13391253509172</c:v>
                </c:pt>
                <c:pt idx="310">
                  <c:v>312.86497743853306</c:v>
                </c:pt>
                <c:pt idx="311">
                  <c:v>314.59747133703848</c:v>
                </c:pt>
                <c:pt idx="312">
                  <c:v>316.33129633336114</c:v>
                </c:pt>
                <c:pt idx="313">
                  <c:v>318.06635461997382</c:v>
                </c:pt>
                <c:pt idx="314">
                  <c:v>319.80254848068722</c:v>
                </c:pt>
                <c:pt idx="315">
                  <c:v>321.53978029224214</c:v>
                </c:pt>
                <c:pt idx="316">
                  <c:v>323.277952525876</c:v>
                </c:pt>
                <c:pt idx="317">
                  <c:v>325.01696774886341</c:v>
                </c:pt>
                <c:pt idx="318">
                  <c:v>326.75672862603125</c:v>
                </c:pt>
                <c:pt idx="319">
                  <c:v>328.49713792124788</c:v>
                </c:pt>
                <c:pt idx="320">
                  <c:v>330.23809849888659</c:v>
                </c:pt>
                <c:pt idx="321">
                  <c:v>331.97952054574768</c:v>
                </c:pt>
                <c:pt idx="322">
                  <c:v>333.72132878576565</c:v>
                </c:pt>
                <c:pt idx="323">
                  <c:v>335.46345524492074</c:v>
                </c:pt>
                <c:pt idx="324">
                  <c:v>337.20583202296518</c:v>
                </c:pt>
                <c:pt idx="325">
                  <c:v>338.94839129406768</c:v>
                </c:pt>
                <c:pt idx="326">
                  <c:v>340.6910653074454</c:v>
                </c:pt>
                <c:pt idx="327">
                  <c:v>342.43378638798373</c:v>
                </c:pt>
                <c:pt idx="328">
                  <c:v>344.17648693684345</c:v>
                </c:pt>
                <c:pt idx="329">
                  <c:v>345.91909943205548</c:v>
                </c:pt>
                <c:pt idx="330">
                  <c:v>347.66155642910371</c:v>
                </c:pt>
                <c:pt idx="331">
                  <c:v>349.40379056149516</c:v>
                </c:pt>
                <c:pt idx="332">
                  <c:v>351.14573454131818</c:v>
                </c:pt>
                <c:pt idx="333">
                  <c:v>352.88732115978831</c:v>
                </c:pt>
                <c:pt idx="334">
                  <c:v>354.62848328778222</c:v>
                </c:pt>
                <c:pt idx="335">
                  <c:v>356.36915387635946</c:v>
                </c:pt>
                <c:pt idx="336">
                  <c:v>358.1092659572721</c:v>
                </c:pt>
                <c:pt idx="337">
                  <c:v>359.84875264346272</c:v>
                </c:pt>
                <c:pt idx="338">
                  <c:v>361.58754712955016</c:v>
                </c:pt>
                <c:pt idx="339">
                  <c:v>363.32558269230356</c:v>
                </c:pt>
                <c:pt idx="340">
                  <c:v>365.06279269110468</c:v>
                </c:pt>
                <c:pt idx="341">
                  <c:v>366.79911056839825</c:v>
                </c:pt>
                <c:pt idx="342">
                  <c:v>368.53446985013079</c:v>
                </c:pt>
                <c:pt idx="343">
                  <c:v>370.26880414617773</c:v>
                </c:pt>
                <c:pt idx="344">
                  <c:v>372.0020471507591</c:v>
                </c:pt>
                <c:pt idx="345">
                  <c:v>373.73413264284341</c:v>
                </c:pt>
                <c:pt idx="346">
                  <c:v>375.46499448654032</c:v>
                </c:pt>
                <c:pt idx="347">
                  <c:v>377.19456663148173</c:v>
                </c:pt>
                <c:pt idx="348">
                  <c:v>378.92278389100528</c:v>
                </c:pt>
                <c:pt idx="349">
                  <c:v>380.64958271927298</c:v>
                </c:pt>
                <c:pt idx="350">
                  <c:v>382.37490043167992</c:v>
                </c:pt>
                <c:pt idx="351">
                  <c:v>384.09867442628308</c:v>
                </c:pt>
                <c:pt idx="352">
                  <c:v>385.82084218408227</c:v>
                </c:pt>
                <c:pt idx="353">
                  <c:v>387.5413412692908</c:v>
                </c:pt>
                <c:pt idx="354">
                  <c:v>389.26010932959645</c:v>
                </c:pt>
                <c:pt idx="355">
                  <c:v>390.97708409641268</c:v>
                </c:pt>
                <c:pt idx="356">
                  <c:v>392.69220338511985</c:v>
                </c:pt>
                <c:pt idx="357">
                  <c:v>394.40540509529683</c:v>
                </c:pt>
                <c:pt idx="358">
                  <c:v>396.11662721094297</c:v>
                </c:pt>
                <c:pt idx="359">
                  <c:v>397.82580780069031</c:v>
                </c:pt>
                <c:pt idx="360">
                  <c:v>399.53290118753068</c:v>
                </c:pt>
                <c:pt idx="361">
                  <c:v>401.23789409457908</c:v>
                </c:pt>
                <c:pt idx="362">
                  <c:v>402.94078942892975</c:v>
                </c:pt>
                <c:pt idx="363">
                  <c:v>404.64159008938776</c:v>
                </c:pt>
                <c:pt idx="364">
                  <c:v>406.34029896649952</c:v>
                </c:pt>
                <c:pt idx="365">
                  <c:v>408.03691894258321</c:v>
                </c:pt>
                <c:pt idx="366">
                  <c:v>409.73145289175909</c:v>
                </c:pt>
                <c:pt idx="367">
                  <c:v>411.42390367997967</c:v>
                </c:pt>
                <c:pt idx="368">
                  <c:v>413.11427416505956</c:v>
                </c:pt>
                <c:pt idx="369">
                  <c:v>414.80256719670552</c:v>
                </c:pt>
                <c:pt idx="370">
                  <c:v>416.48878561654618</c:v>
                </c:pt>
                <c:pt idx="371">
                  <c:v>418.17293225816144</c:v>
                </c:pt>
                <c:pt idx="372">
                  <c:v>419.85500994711202</c:v>
                </c:pt>
                <c:pt idx="373">
                  <c:v>421.53502150096887</c:v>
                </c:pt>
                <c:pt idx="374">
                  <c:v>423.21296972934221</c:v>
                </c:pt>
                <c:pt idx="375">
                  <c:v>424.88885743391057</c:v>
                </c:pt>
                <c:pt idx="376">
                  <c:v>426.56268740844979</c:v>
                </c:pt>
                <c:pt idx="377">
                  <c:v>428.23446243886167</c:v>
                </c:pt>
                <c:pt idx="378">
                  <c:v>429.90418530320267</c:v>
                </c:pt>
                <c:pt idx="379">
                  <c:v>431.57185877171247</c:v>
                </c:pt>
                <c:pt idx="380">
                  <c:v>433.23748560684214</c:v>
                </c:pt>
                <c:pt idx="381">
                  <c:v>434.90106856328259</c:v>
                </c:pt>
                <c:pt idx="382">
                  <c:v>436.56261038799261</c:v>
                </c:pt>
                <c:pt idx="383">
                  <c:v>438.22211382022675</c:v>
                </c:pt>
                <c:pt idx="384">
                  <c:v>439.87958159156329</c:v>
                </c:pt>
                <c:pt idx="385">
                  <c:v>441.53501642593193</c:v>
                </c:pt>
                <c:pt idx="386">
                  <c:v>443.18842103964136</c:v>
                </c:pt>
                <c:pt idx="387">
                  <c:v>444.83979814140667</c:v>
                </c:pt>
                <c:pt idx="388">
                  <c:v>446.48915043237685</c:v>
                </c:pt>
                <c:pt idx="389">
                  <c:v>448.1364806061618</c:v>
                </c:pt>
                <c:pt idx="390">
                  <c:v>449.7817913488596</c:v>
                </c:pt>
                <c:pt idx="391">
                  <c:v>451.42508533908335</c:v>
                </c:pt>
                <c:pt idx="392">
                  <c:v>453.06636524798802</c:v>
                </c:pt>
                <c:pt idx="393">
                  <c:v>454.70563373929724</c:v>
                </c:pt>
                <c:pt idx="394">
                  <c:v>456.34289346932991</c:v>
                </c:pt>
                <c:pt idx="395">
                  <c:v>457.97814708702646</c:v>
                </c:pt>
                <c:pt idx="396">
                  <c:v>459.61139723397554</c:v>
                </c:pt>
                <c:pt idx="397">
                  <c:v>461.24264654443994</c:v>
                </c:pt>
                <c:pt idx="398">
                  <c:v>462.87189764538289</c:v>
                </c:pt>
                <c:pt idx="399">
                  <c:v>464.49915315649395</c:v>
                </c:pt>
                <c:pt idx="400">
                  <c:v>466.12441569021502</c:v>
                </c:pt>
                <c:pt idx="401">
                  <c:v>482.26762909441067</c:v>
                </c:pt>
                <c:pt idx="402">
                  <c:v>498.21322366661008</c:v>
                </c:pt>
                <c:pt idx="403">
                  <c:v>513.96374087047525</c:v>
                </c:pt>
                <c:pt idx="404">
                  <c:v>529.5216531012386</c:v>
                </c:pt>
                <c:pt idx="405">
                  <c:v>544.88936607434357</c:v>
                </c:pt>
                <c:pt idx="406">
                  <c:v>560.06922110912296</c:v>
                </c:pt>
                <c:pt idx="407">
                  <c:v>575.06349731301066</c:v>
                </c:pt>
                <c:pt idx="408">
                  <c:v>589.87441367144777</c:v>
                </c:pt>
                <c:pt idx="409">
                  <c:v>604.5041310483316</c:v>
                </c:pt>
                <c:pt idx="410">
                  <c:v>618.95475410156632</c:v>
                </c:pt>
                <c:pt idx="411">
                  <c:v>633.2283331180048</c:v>
                </c:pt>
                <c:pt idx="412">
                  <c:v>647.32686577181698</c:v>
                </c:pt>
                <c:pt idx="413">
                  <c:v>661.25229881008613</c:v>
                </c:pt>
                <c:pt idx="414">
                  <c:v>675.00652966921575</c:v>
                </c:pt>
                <c:pt idx="415">
                  <c:v>688.59140802552099</c:v>
                </c:pt>
                <c:pt idx="416">
                  <c:v>702.00873728319118</c:v>
                </c:pt>
                <c:pt idx="417">
                  <c:v>715.26027600262648</c:v>
                </c:pt>
                <c:pt idx="418">
                  <c:v>728.34773927198694</c:v>
                </c:pt>
                <c:pt idx="419">
                  <c:v>741.27280002463226</c:v>
                </c:pt>
                <c:pt idx="420">
                  <c:v>754.0370903049851</c:v>
                </c:pt>
                <c:pt idx="421">
                  <c:v>766.64220248521178</c:v>
                </c:pt>
                <c:pt idx="422">
                  <c:v>779.08969043498473</c:v>
                </c:pt>
                <c:pt idx="423">
                  <c:v>791.38107064646954</c:v>
                </c:pt>
                <c:pt idx="424">
                  <c:v>803.51782331656466</c:v>
                </c:pt>
                <c:pt idx="425">
                  <c:v>815.50139338831616</c:v>
                </c:pt>
                <c:pt idx="426">
                  <c:v>827.3331915533272</c:v>
                </c:pt>
                <c:pt idx="427">
                  <c:v>839.01459521688798</c:v>
                </c:pt>
                <c:pt idx="428">
                  <c:v>850.54694942746346</c:v>
                </c:pt>
                <c:pt idx="429">
                  <c:v>861.93156777209072</c:v>
                </c:pt>
                <c:pt idx="430">
                  <c:v>873.16973323916022</c:v>
                </c:pt>
                <c:pt idx="431">
                  <c:v>884.26269904997946</c:v>
                </c:pt>
                <c:pt idx="432">
                  <c:v>895.21168946044918</c:v>
                </c:pt>
                <c:pt idx="433">
                  <c:v>906.01790053411366</c:v>
                </c:pt>
                <c:pt idx="434">
                  <c:v>916.68250088778677</c:v>
                </c:pt>
                <c:pt idx="435">
                  <c:v>927.20663241089471</c:v>
                </c:pt>
                <c:pt idx="436">
                  <c:v>937.59141095962218</c:v>
                </c:pt>
                <c:pt idx="437">
                  <c:v>947.83792702689436</c:v>
                </c:pt>
                <c:pt idx="438">
                  <c:v>957.94724638918046</c:v>
                </c:pt>
                <c:pt idx="439">
                  <c:v>967.92041073105418</c:v>
                </c:pt>
                <c:pt idx="440">
                  <c:v>977.7584382484049</c:v>
                </c:pt>
                <c:pt idx="441">
                  <c:v>987.46232423115055</c:v>
                </c:pt>
                <c:pt idx="442">
                  <c:v>997.03304162626307</c:v>
                </c:pt>
                <c:pt idx="443">
                  <c:v>1006.4715415818803</c:v>
                </c:pt>
                <c:pt idx="444">
                  <c:v>1015.7787539732424</c:v>
                </c:pt>
                <c:pt idx="445">
                  <c:v>1024.9555879111581</c:v>
                </c:pt>
                <c:pt idx="446">
                  <c:v>1034.0029322336723</c:v>
                </c:pt>
                <c:pt idx="447">
                  <c:v>1042.9216559815782</c:v>
                </c:pt>
                <c:pt idx="448">
                  <c:v>1051.7126088583896</c:v>
                </c:pt>
                <c:pt idx="449">
                  <c:v>1060.3766216753556</c:v>
                </c:pt>
                <c:pt idx="450">
                  <c:v>1068.9145067820843</c:v>
                </c:pt>
                <c:pt idx="451">
                  <c:v>1077.327058483309</c:v>
                </c:pt>
                <c:pt idx="452">
                  <c:v>1085.6150534423095</c:v>
                </c:pt>
                <c:pt idx="453">
                  <c:v>1093.7792510714855</c:v>
                </c:pt>
                <c:pt idx="454">
                  <c:v>1101.8203939105454</c:v>
                </c:pt>
                <c:pt idx="455">
                  <c:v>1109.7392079927683</c:v>
                </c:pt>
                <c:pt idx="456">
                  <c:v>1117.5364031997685</c:v>
                </c:pt>
                <c:pt idx="457">
                  <c:v>1125.2126736051773</c:v>
                </c:pt>
                <c:pt idx="458">
                  <c:v>1132.7686978076408</c:v>
                </c:pt>
                <c:pt idx="459">
                  <c:v>1140.2051392535166</c:v>
                </c:pt>
                <c:pt idx="460">
                  <c:v>1147.522646549633</c:v>
                </c:pt>
                <c:pt idx="461">
                  <c:v>1154.7218537664683</c:v>
                </c:pt>
                <c:pt idx="462">
                  <c:v>1161.803380732084</c:v>
                </c:pt>
                <c:pt idx="463">
                  <c:v>1168.7678333171432</c:v>
                </c:pt>
                <c:pt idx="464">
                  <c:v>1175.6158037113244</c:v>
                </c:pt>
                <c:pt idx="465">
                  <c:v>1182.3478706914366</c:v>
                </c:pt>
                <c:pt idx="466">
                  <c:v>1188.9645998815265</c:v>
                </c:pt>
                <c:pt idx="467">
                  <c:v>1195.4665440052604</c:v>
                </c:pt>
                <c:pt idx="468">
                  <c:v>1201.8542431308522</c:v>
                </c:pt>
                <c:pt idx="469">
                  <c:v>1208.1282249088044</c:v>
                </c:pt>
                <c:pt idx="470">
                  <c:v>1214.289004802715</c:v>
                </c:pt>
                <c:pt idx="471">
                  <c:v>1220.3370863133994</c:v>
                </c:pt>
                <c:pt idx="472">
                  <c:v>1226.2729611965688</c:v>
                </c:pt>
                <c:pt idx="473">
                  <c:v>1232.097109674299</c:v>
                </c:pt>
                <c:pt idx="474">
                  <c:v>1237.8100006405195</c:v>
                </c:pt>
                <c:pt idx="475">
                  <c:v>1243.4120918607452</c:v>
                </c:pt>
                <c:pt idx="476">
                  <c:v>1248.9038301662704</c:v>
                </c:pt>
                <c:pt idx="477">
                  <c:v>1254.2856516430397</c:v>
                </c:pt>
                <c:pt idx="478">
                  <c:v>1259.557981815409</c:v>
                </c:pt>
                <c:pt idx="479">
                  <c:v>1264.7212358250022</c:v>
                </c:pt>
                <c:pt idx="480">
                  <c:v>1269.7758186048732</c:v>
                </c:pt>
                <c:pt idx="481">
                  <c:v>1274.722125049178</c:v>
                </c:pt>
                <c:pt idx="482">
                  <c:v>1279.5605401785608</c:v>
                </c:pt>
                <c:pt idx="483">
                  <c:v>1284.2914393014594</c:v>
                </c:pt>
                <c:pt idx="484">
                  <c:v>1288.9151881715366</c:v>
                </c:pt>
                <c:pt idx="485">
                  <c:v>1293.4321431414439</c:v>
                </c:pt>
                <c:pt idx="486">
                  <c:v>1297.8426513131305</c:v>
                </c:pt>
                <c:pt idx="487">
                  <c:v>1302.1470506849078</c:v>
                </c:pt>
                <c:pt idx="488">
                  <c:v>1306.345670295492</c:v>
                </c:pt>
                <c:pt idx="489">
                  <c:v>1310.4388303652486</c:v>
                </c:pt>
                <c:pt idx="490">
                  <c:v>1314.4268424348691</c:v>
                </c:pt>
                <c:pt idx="491">
                  <c:v>1318.3100095017223</c:v>
                </c:pt>
                <c:pt idx="492">
                  <c:v>1322.0886261541293</c:v>
                </c:pt>
                <c:pt idx="493">
                  <c:v>1325.7629787038215</c:v>
                </c:pt>
                <c:pt idx="494">
                  <c:v>1329.3333453168586</c:v>
                </c:pt>
                <c:pt idx="495">
                  <c:v>1332.7999961432915</c:v>
                </c:pt>
                <c:pt idx="496">
                  <c:v>1336.1631934458751</c:v>
                </c:pt>
                <c:pt idx="497">
                  <c:v>1339.423191728152</c:v>
                </c:pt>
                <c:pt idx="498">
                  <c:v>1342.5802378622491</c:v>
                </c:pt>
                <c:pt idx="499">
                  <c:v>1345.6345712167463</c:v>
                </c:pt>
                <c:pt idx="500">
                  <c:v>1348.5864237850069</c:v>
                </c:pt>
                <c:pt idx="501">
                  <c:v>1351.4360203143751</c:v>
                </c:pt>
                <c:pt idx="502">
                  <c:v>1354.1835784366808</c:v>
                </c:pt>
                <c:pt idx="503">
                  <c:v>1356.8293088005134</c:v>
                </c:pt>
                <c:pt idx="504">
                  <c:v>1359.3734152057607</c:v>
                </c:pt>
                <c:pt idx="505">
                  <c:v>1361.8160947409333</c:v>
                </c:pt>
                <c:pt idx="506">
                  <c:v>1364.1575379238325</c:v>
                </c:pt>
                <c:pt idx="507">
                  <c:v>1366.3979288461414</c:v>
                </c:pt>
                <c:pt idx="508">
                  <c:v>1368.5374453225545</c:v>
                </c:pt>
                <c:pt idx="509">
                  <c:v>1370.576259045082</c:v>
                </c:pt>
                <c:pt idx="510">
                  <c:v>1372.5145357431929</c:v>
                </c:pt>
                <c:pt idx="511">
                  <c:v>1374.3524353504743</c:v>
                </c:pt>
                <c:pt idx="512">
                  <c:v>1376.0901121784964</c:v>
                </c:pt>
                <c:pt idx="513">
                  <c:v>1377.7277150985763</c:v>
                </c:pt>
                <c:pt idx="514">
                  <c:v>1379.2653877321204</c:v>
                </c:pt>
                <c:pt idx="515">
                  <c:v>1380.7032686502066</c:v>
                </c:pt>
                <c:pt idx="516">
                  <c:v>1382.0414915830236</c:v>
                </c:pt>
                <c:pt idx="517">
                  <c:v>1383.2801856397311</c:v>
                </c:pt>
                <c:pt idx="518">
                  <c:v>1384.419475539225</c:v>
                </c:pt>
                <c:pt idx="519">
                  <c:v>1385.4594818521884</c:v>
                </c:pt>
                <c:pt idx="520">
                  <c:v>1386.4003212546877</c:v>
                </c:pt>
                <c:pt idx="521">
                  <c:v>1387.2421067934235</c:v>
                </c:pt>
                <c:pt idx="522">
                  <c:v>1387.9849481625736</c:v>
                </c:pt>
                <c:pt idx="523">
                  <c:v>1388.6289519919696</c:v>
                </c:pt>
                <c:pt idx="524">
                  <c:v>1389.1742221461436</c:v>
                </c:pt>
                <c:pt idx="525">
                  <c:v>1389.6208600335501</c:v>
                </c:pt>
                <c:pt idx="526">
                  <c:v>1389.9689649250452</c:v>
                </c:pt>
                <c:pt idx="527">
                  <c:v>1390.2186342804728</c:v>
                </c:pt>
                <c:pt idx="528">
                  <c:v>1390.3699640819921</c:v>
                </c:pt>
                <c:pt idx="529">
                  <c:v>1390.4230491725832</c:v>
                </c:pt>
                <c:pt idx="530">
                  <c:v>1390.377983597999</c:v>
                </c:pt>
                <c:pt idx="531">
                  <c:v>1390.234860950301</c:v>
                </c:pt>
                <c:pt idx="532">
                  <c:v>1389.9937747110268</c:v>
                </c:pt>
                <c:pt idx="533">
                  <c:v>1389.6548185920028</c:v>
                </c:pt>
                <c:pt idx="534">
                  <c:v>1389.2180868718222</c:v>
                </c:pt>
                <c:pt idx="535">
                  <c:v>1388.6836747260729</c:v>
                </c:pt>
                <c:pt idx="536">
                  <c:v>1388.0516785495095</c:v>
                </c:pt>
                <c:pt idx="537">
                  <c:v>1387.3221962685086</c:v>
                </c:pt>
                <c:pt idx="538">
                  <c:v>1386.4953276423366</c:v>
                </c:pt>
                <c:pt idx="539">
                  <c:v>1385.5711745519613</c:v>
                </c:pt>
                <c:pt idx="540">
                  <c:v>1384.5498412753682</c:v>
                </c:pt>
                <c:pt idx="541">
                  <c:v>1383.431434748569</c:v>
                </c:pt>
                <c:pt idx="542">
                  <c:v>1382.216064811724</c:v>
                </c:pt>
                <c:pt idx="543">
                  <c:v>1380.9038444400121</c:v>
                </c:pt>
                <c:pt idx="544">
                  <c:v>1379.4948899590952</c:v>
                </c:pt>
                <c:pt idx="545">
                  <c:v>1377.9893212451982</c:v>
                </c:pt>
                <c:pt idx="546">
                  <c:v>1376.3872619099966</c:v>
                </c:pt>
                <c:pt idx="547">
                  <c:v>1374.6888394706323</c:v>
                </c:pt>
                <c:pt idx="548">
                  <c:v>1372.894185505296</c:v>
                </c:pt>
                <c:pt idx="549">
                  <c:v>1371.0034357949</c:v>
                </c:pt>
                <c:pt idx="550">
                  <c:v>1369.0167304514337</c:v>
                </c:pt>
                <c:pt idx="551">
                  <c:v>1366.9342140336373</c:v>
                </c:pt>
                <c:pt idx="552">
                  <c:v>1364.7560356506622</c:v>
                </c:pt>
                <c:pt idx="553">
                  <c:v>1362.4823490543934</c:v>
                </c:pt>
                <c:pt idx="554">
                  <c:v>1360.1133127211176</c:v>
                </c:pt>
                <c:pt idx="555">
                  <c:v>1357.6490899232031</c:v>
                </c:pt>
                <c:pt idx="556">
                  <c:v>1355.0898487914467</c:v>
                </c:pt>
                <c:pt idx="557">
                  <c:v>1352.4357623687149</c:v>
                </c:pt>
                <c:pt idx="558">
                  <c:v>1349.6870086554788</c:v>
                </c:pt>
                <c:pt idx="559">
                  <c:v>1346.8437706478139</c:v>
                </c:pt>
                <c:pt idx="560">
                  <c:v>1343.9062363683984</c:v>
                </c:pt>
                <c:pt idx="561">
                  <c:v>1340.8745988910157</c:v>
                </c:pt>
                <c:pt idx="562">
                  <c:v>1337.7490563590279</c:v>
                </c:pt>
                <c:pt idx="563">
                  <c:v>1334.5298119982567</c:v>
                </c:pt>
                <c:pt idx="564">
                  <c:v>1331.2170741246766</c:v>
                </c:pt>
                <c:pt idx="565">
                  <c:v>1327.8110561472938</c:v>
                </c:pt>
                <c:pt idx="566">
                  <c:v>1324.3119765665542</c:v>
                </c:pt>
                <c:pt idx="567">
                  <c:v>1320.7200589686001</c:v>
                </c:pt>
                <c:pt idx="568">
                  <c:v>1317.0355320156652</c:v>
                </c:pt>
                <c:pt idx="569">
                  <c:v>1313.2586294328767</c:v>
                </c:pt>
                <c:pt idx="570">
                  <c:v>1309.3895899917118</c:v>
                </c:pt>
                <c:pt idx="571">
                  <c:v>1305.4286574903344</c:v>
                </c:pt>
                <c:pt idx="572">
                  <c:v>1301.376080731018</c:v>
                </c:pt>
                <c:pt idx="573">
                  <c:v>1297.2321134948468</c:v>
                </c:pt>
                <c:pt idx="574">
                  <c:v>1292.9970145138705</c:v>
                </c:pt>
                <c:pt idx="575">
                  <c:v>1288.6710474408726</c:v>
                </c:pt>
                <c:pt idx="576">
                  <c:v>1284.2544808169002</c:v>
                </c:pt>
                <c:pt idx="577">
                  <c:v>1279.7475880366935</c:v>
                </c:pt>
                <c:pt idx="578">
                  <c:v>1275.1506473121383</c:v>
                </c:pt>
                <c:pt idx="579">
                  <c:v>1270.4639416338596</c:v>
                </c:pt>
                <c:pt idx="580">
                  <c:v>1265.6877587310619</c:v>
                </c:pt>
                <c:pt idx="581">
                  <c:v>1260.8223910297183</c:v>
                </c:pt>
                <c:pt idx="582">
                  <c:v>1255.8681356091984</c:v>
                </c:pt>
                <c:pt idx="583">
                  <c:v>1250.8252941574206</c:v>
                </c:pt>
                <c:pt idx="584">
                  <c:v>1245.6941729246118</c:v>
                </c:pt>
                <c:pt idx="585">
                  <c:v>1240.4750826757468</c:v>
                </c:pt>
                <c:pt idx="586">
                  <c:v>1235.1683386417365</c:v>
                </c:pt>
                <c:pt idx="587">
                  <c:v>1229.774260469434</c:v>
                </c:pt>
                <c:pt idx="588">
                  <c:v>1224.2931721705161</c:v>
                </c:pt>
                <c:pt idx="589">
                  <c:v>1218.7254020693015</c:v>
                </c:pt>
                <c:pt idx="590">
                  <c:v>1213.0712827495588</c:v>
                </c:pt>
                <c:pt idx="591">
                  <c:v>1207.3311510003568</c:v>
                </c:pt>
                <c:pt idx="592">
                  <c:v>1201.5053477610068</c:v>
                </c:pt>
                <c:pt idx="593">
                  <c:v>1195.5942180651418</c:v>
                </c:pt>
                <c:pt idx="594">
                  <c:v>1189.5981109839809</c:v>
                </c:pt>
                <c:pt idx="595">
                  <c:v>1183.5173795688168</c:v>
                </c:pt>
                <c:pt idx="596">
                  <c:v>1177.3523807927718</c:v>
                </c:pt>
                <c:pt idx="597">
                  <c:v>1171.1034754918589</c:v>
                </c:pt>
                <c:pt idx="598">
                  <c:v>1164.7710283053855</c:v>
                </c:pt>
                <c:pt idx="599">
                  <c:v>1158.3554076157377</c:v>
                </c:pt>
                <c:pt idx="600">
                  <c:v>1151.8569854875784</c:v>
                </c:pt>
                <c:pt idx="601">
                  <c:v>1145.2761376064941</c:v>
                </c:pt>
                <c:pt idx="602">
                  <c:v>1138.6132432171232</c:v>
                </c:pt>
                <c:pt idx="603">
                  <c:v>1131.8686850607962</c:v>
                </c:pt>
                <c:pt idx="604">
                  <c:v>1125.042849312721</c:v>
                </c:pt>
                <c:pt idx="605">
                  <c:v>1118.1361255187408</c:v>
                </c:pt>
                <c:pt idx="606">
                  <c:v>1111.148906531695</c:v>
                </c:pt>
                <c:pt idx="607">
                  <c:v>1104.0815884474132</c:v>
                </c:pt>
                <c:pt idx="608">
                  <c:v>1096.9345705403655</c:v>
                </c:pt>
                <c:pt idx="609">
                  <c:v>1089.708255199002</c:v>
                </c:pt>
                <c:pt idx="610">
                  <c:v>1082.4030478608031</c:v>
                </c:pt>
                <c:pt idx="611">
                  <c:v>1075.01935694707</c:v>
                </c:pt>
                <c:pt idx="612">
                  <c:v>1067.5575937974784</c:v>
                </c:pt>
                <c:pt idx="613">
                  <c:v>1060.018172604422</c:v>
                </c:pt>
                <c:pt idx="614">
                  <c:v>1052.4015103471704</c:v>
                </c:pt>
                <c:pt idx="615">
                  <c:v>1044.7080267258625</c:v>
                </c:pt>
                <c:pt idx="616">
                  <c:v>1036.938144095363</c:v>
                </c:pt>
                <c:pt idx="617">
                  <c:v>1029.0922873990025</c:v>
                </c:pt>
                <c:pt idx="618">
                  <c:v>1021.170884102224</c:v>
                </c:pt>
                <c:pt idx="619">
                  <c:v>1013.174364126159</c:v>
                </c:pt>
                <c:pt idx="620">
                  <c:v>1005.1031597811551</c:v>
                </c:pt>
                <c:pt idx="621">
                  <c:v>996.95770570027526</c:v>
                </c:pt>
                <c:pt idx="622">
                  <c:v>988.73843877279148</c:v>
                </c:pt>
                <c:pt idx="623">
                  <c:v>980.44579807769298</c:v>
                </c:pt>
                <c:pt idx="624">
                  <c:v>972.08022481722924</c:v>
                </c:pt>
                <c:pt idx="625">
                  <c:v>963.64216225050768</c:v>
                </c:pt>
                <c:pt idx="626">
                  <c:v>955.13205562716678</c:v>
                </c:pt>
                <c:pt idx="627">
                  <c:v>946.55035212114331</c:v>
                </c:pt>
                <c:pt idx="628">
                  <c:v>937.89750076455232</c:v>
                </c:pt>
                <c:pt idx="629">
                  <c:v>929.17395238169945</c:v>
                </c:pt>
                <c:pt idx="630">
                  <c:v>920.38015952324383</c:v>
                </c:pt>
                <c:pt idx="631">
                  <c:v>911.51657640052917</c:v>
                </c:pt>
                <c:pt idx="632">
                  <c:v>902.58365882010105</c:v>
                </c:pt>
                <c:pt idx="633">
                  <c:v>893.58186411842803</c:v>
                </c:pt>
                <c:pt idx="634">
                  <c:v>884.51165109684314</c:v>
                </c:pt>
                <c:pt idx="635">
                  <c:v>875.3734799567236</c:v>
                </c:pt>
                <c:pt idx="636">
                  <c:v>866.16781223492353</c:v>
                </c:pt>
                <c:pt idx="637">
                  <c:v>856.89511073947767</c:v>
                </c:pt>
                <c:pt idx="638">
                  <c:v>847.55583948559013</c:v>
                </c:pt>
                <c:pt idx="639">
                  <c:v>838.15046363192528</c:v>
                </c:pt>
                <c:pt idx="640">
                  <c:v>828.67944941721453</c:v>
                </c:pt>
                <c:pt idx="641">
                  <c:v>819.14326409719513</c:v>
                </c:pt>
                <c:pt idx="642">
                  <c:v>809.54237588189403</c:v>
                </c:pt>
                <c:pt idx="643">
                  <c:v>799.87725387327259</c:v>
                </c:pt>
                <c:pt idx="644">
                  <c:v>790.14836800324474</c:v>
                </c:pt>
                <c:pt idx="645">
                  <c:v>780.35618897208258</c:v>
                </c:pt>
                <c:pt idx="646">
                  <c:v>770.50118818722319</c:v>
                </c:pt>
                <c:pt idx="647">
                  <c:v>760.58383770248827</c:v>
                </c:pt>
                <c:pt idx="648">
                  <c:v>750.60461015773069</c:v>
                </c:pt>
                <c:pt idx="649">
                  <c:v>740.56397871891875</c:v>
                </c:pt>
                <c:pt idx="650">
                  <c:v>730.46241701867143</c:v>
                </c:pt>
                <c:pt idx="651">
                  <c:v>720.30039909725474</c:v>
                </c:pt>
                <c:pt idx="652">
                  <c:v>710.07839934405229</c:v>
                </c:pt>
                <c:pt idx="653">
                  <c:v>699.79689243951896</c:v>
                </c:pt>
                <c:pt idx="654">
                  <c:v>689.45635329763013</c:v>
                </c:pt>
                <c:pt idx="655">
                  <c:v>679.05725700883556</c:v>
                </c:pt>
                <c:pt idx="656">
                  <c:v>668.6000787835286</c:v>
                </c:pt>
                <c:pt idx="657">
                  <c:v>658.08529389603962</c:v>
                </c:pt>
                <c:pt idx="658">
                  <c:v>647.51337762916421</c:v>
                </c:pt>
                <c:pt idx="659">
                  <c:v>636.88480521923395</c:v>
                </c:pt>
                <c:pt idx="660">
                  <c:v>626.20005180173894</c:v>
                </c:pt>
                <c:pt idx="661">
                  <c:v>615.45959235751104</c:v>
                </c:pt>
                <c:pt idx="662">
                  <c:v>604.6639016594745</c:v>
                </c:pt>
                <c:pt idx="663">
                  <c:v>593.81345421997321</c:v>
                </c:pt>
                <c:pt idx="664">
                  <c:v>582.90872423868143</c:v>
                </c:pt>
                <c:pt idx="665">
                  <c:v>571.95018555110425</c:v>
                </c:pt>
                <c:pt idx="666">
                  <c:v>560.93831157767636</c:v>
                </c:pt>
                <c:pt idx="667">
                  <c:v>549.87357527346433</c:v>
                </c:pt>
                <c:pt idx="668">
                  <c:v>538.75644907847845</c:v>
                </c:pt>
                <c:pt idx="669">
                  <c:v>527.58740486860154</c:v>
                </c:pt>
                <c:pt idx="670">
                  <c:v>516.36691390713838</c:v>
                </c:pt>
                <c:pt idx="671">
                  <c:v>505.09544679699235</c:v>
                </c:pt>
                <c:pt idx="672">
                  <c:v>493.77347343347412</c:v>
                </c:pt>
                <c:pt idx="673">
                  <c:v>482.40146295774645</c:v>
                </c:pt>
                <c:pt idx="674">
                  <c:v>470.97988371091014</c:v>
                </c:pt>
                <c:pt idx="675">
                  <c:v>459.50920318873517</c:v>
                </c:pt>
                <c:pt idx="676">
                  <c:v>447.98988799704034</c:v>
                </c:pt>
                <c:pt idx="677">
                  <c:v>436.42240380772569</c:v>
                </c:pt>
                <c:pt idx="678">
                  <c:v>424.80721531546044</c:v>
                </c:pt>
                <c:pt idx="679">
                  <c:v>413.14478619502961</c:v>
                </c:pt>
                <c:pt idx="680">
                  <c:v>401.4355790593421</c:v>
                </c:pt>
                <c:pt idx="681">
                  <c:v>389.68005541810243</c:v>
                </c:pt>
                <c:pt idx="682">
                  <c:v>377.87867563714849</c:v>
                </c:pt>
                <c:pt idx="683">
                  <c:v>366.03189889845743</c:v>
                </c:pt>
                <c:pt idx="684">
                  <c:v>354.14018316082058</c:v>
                </c:pt>
                <c:pt idx="685">
                  <c:v>342.20398512118987</c:v>
                </c:pt>
                <c:pt idx="686">
                  <c:v>330.22376017669575</c:v>
                </c:pt>
                <c:pt idx="687">
                  <c:v>318.1999623873383</c:v>
                </c:pt>
                <c:pt idx="688">
                  <c:v>306.13304443935198</c:v>
                </c:pt>
                <c:pt idx="689">
                  <c:v>294.02345760924391</c:v>
                </c:pt>
                <c:pt idx="690">
                  <c:v>281.87165172850666</c:v>
                </c:pt>
                <c:pt idx="691">
                  <c:v>269.67807514900488</c:v>
                </c:pt>
                <c:pt idx="692">
                  <c:v>257.44317470903559</c:v>
                </c:pt>
                <c:pt idx="693">
                  <c:v>245.16739570006141</c:v>
                </c:pt>
                <c:pt idx="694">
                  <c:v>232.85118183411663</c:v>
                </c:pt>
                <c:pt idx="695">
                  <c:v>220.49497521188422</c:v>
                </c:pt>
                <c:pt idx="696">
                  <c:v>208.0992162914433</c:v>
                </c:pt>
                <c:pt idx="697">
                  <c:v>195.66434385768514</c:v>
                </c:pt>
                <c:pt idx="698">
                  <c:v>183.19079499239663</c:v>
                </c:pt>
                <c:pt idx="699">
                  <c:v>170.67900504500875</c:v>
                </c:pt>
                <c:pt idx="700">
                  <c:v>158.12940760400866</c:v>
                </c:pt>
                <c:pt idx="701">
                  <c:v>145.54243446901273</c:v>
                </c:pt>
                <c:pt idx="702">
                  <c:v>132.91851562349831</c:v>
                </c:pt>
                <c:pt idx="703">
                  <c:v>120.25807920819173</c:v>
                </c:pt>
                <c:pt idx="704">
                  <c:v>107.56155149510964</c:v>
                </c:pt>
                <c:pt idx="705">
                  <c:v>94.829356862250748</c:v>
                </c:pt>
                <c:pt idx="706">
                  <c:v>82.061917768934947</c:v>
                </c:pt>
                <c:pt idx="707">
                  <c:v>69.259654731786497</c:v>
                </c:pt>
                <c:pt idx="708">
                  <c:v>56.422986301357888</c:v>
                </c:pt>
                <c:pt idx="709">
                  <c:v>43.552329039390642</c:v>
                </c:pt>
                <c:pt idx="710">
                  <c:v>30.648097496709511</c:v>
                </c:pt>
                <c:pt idx="711">
                  <c:v>17.710704191746018</c:v>
                </c:pt>
                <c:pt idx="712">
                  <c:v>4.7405595896873951</c:v>
                </c:pt>
                <c:pt idx="713">
                  <c:v>-8.261927917753324</c:v>
                </c:pt>
                <c:pt idx="714">
                  <c:v>-8.2749464907429484</c:v>
                </c:pt>
                <c:pt idx="715">
                  <c:v>-8.2879650954663546</c:v>
                </c:pt>
                <c:pt idx="716">
                  <c:v>-8.3009837319231412</c:v>
                </c:pt>
                <c:pt idx="717">
                  <c:v>-8.3140024001129049</c:v>
                </c:pt>
                <c:pt idx="718">
                  <c:v>-8.3270211000352443</c:v>
                </c:pt>
                <c:pt idx="719">
                  <c:v>-8.3400398316897579</c:v>
                </c:pt>
                <c:pt idx="720">
                  <c:v>-8.3530585950760425</c:v>
                </c:pt>
                <c:pt idx="721">
                  <c:v>-8.3660773901936967</c:v>
                </c:pt>
                <c:pt idx="722">
                  <c:v>-8.3790962170423171</c:v>
                </c:pt>
                <c:pt idx="723">
                  <c:v>-8.3921150756215024</c:v>
                </c:pt>
                <c:pt idx="724">
                  <c:v>-8.405133965930851</c:v>
                </c:pt>
                <c:pt idx="725">
                  <c:v>-8.4181528879699599</c:v>
                </c:pt>
                <c:pt idx="726">
                  <c:v>-8.4311718417384274</c:v>
                </c:pt>
                <c:pt idx="727">
                  <c:v>-8.4441908272358521</c:v>
                </c:pt>
                <c:pt idx="728">
                  <c:v>-8.4572098444618309</c:v>
                </c:pt>
                <c:pt idx="729">
                  <c:v>-8.4702288934159622</c:v>
                </c:pt>
                <c:pt idx="730">
                  <c:v>-8.4832479740978428</c:v>
                </c:pt>
                <c:pt idx="731">
                  <c:v>-8.4962670865070713</c:v>
                </c:pt>
                <c:pt idx="732">
                  <c:v>-8.5092862306432462</c:v>
                </c:pt>
                <c:pt idx="733">
                  <c:v>-8.5223054065059642</c:v>
                </c:pt>
                <c:pt idx="734">
                  <c:v>-8.535324614094824</c:v>
                </c:pt>
                <c:pt idx="735">
                  <c:v>-8.548343853409424</c:v>
                </c:pt>
                <c:pt idx="736">
                  <c:v>-8.5613631244493611</c:v>
                </c:pt>
                <c:pt idx="737">
                  <c:v>-8.5743824272142337</c:v>
                </c:pt>
                <c:pt idx="738">
                  <c:v>-8.5874017617036387</c:v>
                </c:pt>
                <c:pt idx="739">
                  <c:v>-8.6004211279171745</c:v>
                </c:pt>
                <c:pt idx="740">
                  <c:v>-8.6134405258544398</c:v>
                </c:pt>
                <c:pt idx="741">
                  <c:v>-8.6264599555150312</c:v>
                </c:pt>
                <c:pt idx="742">
                  <c:v>-8.6394794168985491</c:v>
                </c:pt>
                <c:pt idx="743">
                  <c:v>-8.6524989100045886</c:v>
                </c:pt>
                <c:pt idx="744">
                  <c:v>-8.6655184348327499</c:v>
                </c:pt>
                <c:pt idx="745">
                  <c:v>-8.6785379913826297</c:v>
                </c:pt>
                <c:pt idx="746">
                  <c:v>-8.6915575796538249</c:v>
                </c:pt>
                <c:pt idx="747">
                  <c:v>-8.704577199645934</c:v>
                </c:pt>
                <c:pt idx="748">
                  <c:v>-8.7175968513585556</c:v>
                </c:pt>
                <c:pt idx="749">
                  <c:v>-8.7306165347912881</c:v>
                </c:pt>
                <c:pt idx="750">
                  <c:v>-8.7436362499437283</c:v>
                </c:pt>
                <c:pt idx="751">
                  <c:v>-8.7566559968154749</c:v>
                </c:pt>
                <c:pt idx="752">
                  <c:v>-8.7696757754061263</c:v>
                </c:pt>
                <c:pt idx="753">
                  <c:v>-8.7826955857152793</c:v>
                </c:pt>
                <c:pt idx="754">
                  <c:v>-8.7957154277425325</c:v>
                </c:pt>
                <c:pt idx="755">
                  <c:v>-8.8087353014874825</c:v>
                </c:pt>
                <c:pt idx="756">
                  <c:v>-8.821755206949728</c:v>
                </c:pt>
                <c:pt idx="757">
                  <c:v>-8.8347751441288676</c:v>
                </c:pt>
                <c:pt idx="758">
                  <c:v>-8.8477951130244996</c:v>
                </c:pt>
                <c:pt idx="759">
                  <c:v>-8.860815113636221</c:v>
                </c:pt>
                <c:pt idx="760">
                  <c:v>-8.8738351459636284</c:v>
                </c:pt>
                <c:pt idx="761">
                  <c:v>-8.8868552100063223</c:v>
                </c:pt>
                <c:pt idx="762">
                  <c:v>-8.8998753057638993</c:v>
                </c:pt>
                <c:pt idx="763">
                  <c:v>-8.912895433235958</c:v>
                </c:pt>
                <c:pt idx="764">
                  <c:v>-8.9259155924220952</c:v>
                </c:pt>
                <c:pt idx="765">
                  <c:v>-8.9389357833219094</c:v>
                </c:pt>
                <c:pt idx="766">
                  <c:v>-8.9519560059349992</c:v>
                </c:pt>
                <c:pt idx="767">
                  <c:v>-8.9649762602609631</c:v>
                </c:pt>
                <c:pt idx="768">
                  <c:v>-8.9779965462993978</c:v>
                </c:pt>
                <c:pt idx="769">
                  <c:v>-8.991016864049902</c:v>
                </c:pt>
                <c:pt idx="770">
                  <c:v>-9.0040372135120723</c:v>
                </c:pt>
                <c:pt idx="771">
                  <c:v>-9.0170575946855074</c:v>
                </c:pt>
                <c:pt idx="772">
                  <c:v>-9.0300780075698057</c:v>
                </c:pt>
                <c:pt idx="773">
                  <c:v>-9.0430984521645659</c:v>
                </c:pt>
                <c:pt idx="774">
                  <c:v>-9.0561189284693846</c:v>
                </c:pt>
                <c:pt idx="775">
                  <c:v>-9.0691394364838605</c:v>
                </c:pt>
                <c:pt idx="776">
                  <c:v>-9.082159976207592</c:v>
                </c:pt>
                <c:pt idx="777">
                  <c:v>-9.0951805476401759</c:v>
                </c:pt>
                <c:pt idx="778">
                  <c:v>-9.1082011507812108</c:v>
                </c:pt>
                <c:pt idx="779">
                  <c:v>-9.1212217856302935</c:v>
                </c:pt>
                <c:pt idx="780">
                  <c:v>-9.1342424521870242</c:v>
                </c:pt>
                <c:pt idx="781">
                  <c:v>-9.1472631504509998</c:v>
                </c:pt>
                <c:pt idx="782">
                  <c:v>-9.160283880421817</c:v>
                </c:pt>
                <c:pt idx="783">
                  <c:v>-9.173304642099076</c:v>
                </c:pt>
                <c:pt idx="784">
                  <c:v>-9.1863254354823738</c:v>
                </c:pt>
                <c:pt idx="785">
                  <c:v>-9.1993462605713088</c:v>
                </c:pt>
                <c:pt idx="786">
                  <c:v>-9.2123671173654778</c:v>
                </c:pt>
                <c:pt idx="787">
                  <c:v>-9.2253880058644793</c:v>
                </c:pt>
                <c:pt idx="788">
                  <c:v>-9.2384089260679119</c:v>
                </c:pt>
                <c:pt idx="789">
                  <c:v>-9.2514298779753741</c:v>
                </c:pt>
                <c:pt idx="790">
                  <c:v>-9.2644508615864627</c:v>
                </c:pt>
                <c:pt idx="791">
                  <c:v>-9.2774718769007762</c:v>
                </c:pt>
                <c:pt idx="792">
                  <c:v>-9.2904929239179133</c:v>
                </c:pt>
                <c:pt idx="793">
                  <c:v>-9.3035140026374705</c:v>
                </c:pt>
                <c:pt idx="794">
                  <c:v>-9.3165351130590466</c:v>
                </c:pt>
                <c:pt idx="795">
                  <c:v>-9.32955625518224</c:v>
                </c:pt>
                <c:pt idx="796">
                  <c:v>-9.3425774290066474</c:v>
                </c:pt>
                <c:pt idx="797">
                  <c:v>-9.3555986345318676</c:v>
                </c:pt>
                <c:pt idx="798">
                  <c:v>-9.3686198717574989</c:v>
                </c:pt>
                <c:pt idx="799">
                  <c:v>-9.3816411406831399</c:v>
                </c:pt>
                <c:pt idx="800">
                  <c:v>-9.3946624413083875</c:v>
                </c:pt>
                <c:pt idx="801">
                  <c:v>-9.40768377363284</c:v>
                </c:pt>
                <c:pt idx="802">
                  <c:v>-9.4207051376560962</c:v>
                </c:pt>
                <c:pt idx="803">
                  <c:v>-9.4337265333777527</c:v>
                </c:pt>
                <c:pt idx="804">
                  <c:v>-9.4467479607974099</c:v>
                </c:pt>
                <c:pt idx="805">
                  <c:v>-9.4597694199146627</c:v>
                </c:pt>
                <c:pt idx="806">
                  <c:v>-9.4727909107291115</c:v>
                </c:pt>
                <c:pt idx="807">
                  <c:v>-9.4858124332403531</c:v>
                </c:pt>
                <c:pt idx="808">
                  <c:v>-9.4988339874479859</c:v>
                </c:pt>
                <c:pt idx="809">
                  <c:v>-9.5118555733516086</c:v>
                </c:pt>
                <c:pt idx="810">
                  <c:v>-9.5248771909508196</c:v>
                </c:pt>
                <c:pt idx="811">
                  <c:v>-9.5378988402452158</c:v>
                </c:pt>
                <c:pt idx="812">
                  <c:v>-9.5509205212343957</c:v>
                </c:pt>
                <c:pt idx="813">
                  <c:v>-9.5639422339179561</c:v>
                </c:pt>
                <c:pt idx="814">
                  <c:v>-9.5769639782954972</c:v>
                </c:pt>
                <c:pt idx="815">
                  <c:v>-9.5899857543666158</c:v>
                </c:pt>
                <c:pt idx="816">
                  <c:v>-9.6030075621309106</c:v>
                </c:pt>
                <c:pt idx="817">
                  <c:v>-9.6160294015879781</c:v>
                </c:pt>
                <c:pt idx="818">
                  <c:v>-9.6290512727374189</c:v>
                </c:pt>
                <c:pt idx="819">
                  <c:v>-9.6420731755788296</c:v>
                </c:pt>
                <c:pt idx="820">
                  <c:v>-9.6550951101118088</c:v>
                </c:pt>
                <c:pt idx="821">
                  <c:v>-9.6681170763359532</c:v>
                </c:pt>
                <c:pt idx="822">
                  <c:v>-9.6811390742508614</c:v>
                </c:pt>
                <c:pt idx="823">
                  <c:v>-9.6941611038561319</c:v>
                </c:pt>
                <c:pt idx="824">
                  <c:v>-9.7071831651513634</c:v>
                </c:pt>
                <c:pt idx="825">
                  <c:v>-9.7202052581361524</c:v>
                </c:pt>
                <c:pt idx="826">
                  <c:v>-9.7332273828100995</c:v>
                </c:pt>
                <c:pt idx="827">
                  <c:v>-9.7462495391728012</c:v>
                </c:pt>
                <c:pt idx="828">
                  <c:v>-9.7592717272238545</c:v>
                </c:pt>
                <c:pt idx="829">
                  <c:v>-9.7722939469628596</c:v>
                </c:pt>
                <c:pt idx="830">
                  <c:v>-9.7853161983894132</c:v>
                </c:pt>
                <c:pt idx="831">
                  <c:v>-9.798338481503114</c:v>
                </c:pt>
                <c:pt idx="832">
                  <c:v>-9.8113607963035605</c:v>
                </c:pt>
                <c:pt idx="833">
                  <c:v>-9.8243831427903494</c:v>
                </c:pt>
                <c:pt idx="834">
                  <c:v>-9.8374055209630793</c:v>
                </c:pt>
                <c:pt idx="835">
                  <c:v>-9.8504279308213487</c:v>
                </c:pt>
                <c:pt idx="836">
                  <c:v>-9.8634503723647562</c:v>
                </c:pt>
                <c:pt idx="837">
                  <c:v>-9.8764728455928985</c:v>
                </c:pt>
                <c:pt idx="838">
                  <c:v>-9.8894953505053742</c:v>
                </c:pt>
                <c:pt idx="839">
                  <c:v>-9.9025178871017818</c:v>
                </c:pt>
                <c:pt idx="840">
                  <c:v>-9.9155404553817199</c:v>
                </c:pt>
                <c:pt idx="841">
                  <c:v>-9.928563055344787</c:v>
                </c:pt>
                <c:pt idx="842">
                  <c:v>-9.9415856869905799</c:v>
                </c:pt>
                <c:pt idx="843">
                  <c:v>-9.9546083503186971</c:v>
                </c:pt>
                <c:pt idx="844">
                  <c:v>-9.9676310453287371</c:v>
                </c:pt>
                <c:pt idx="845">
                  <c:v>-9.9806537720202968</c:v>
                </c:pt>
                <c:pt idx="846">
                  <c:v>-9.9936765303929747</c:v>
                </c:pt>
                <c:pt idx="847">
                  <c:v>-10.006699320446371</c:v>
                </c:pt>
                <c:pt idx="848">
                  <c:v>-10.019722142180081</c:v>
                </c:pt>
                <c:pt idx="849">
                  <c:v>-10.032744995593704</c:v>
                </c:pt>
                <c:pt idx="850">
                  <c:v>-10.045767880686839</c:v>
                </c:pt>
                <c:pt idx="851">
                  <c:v>-10.058790797459082</c:v>
                </c:pt>
                <c:pt idx="852">
                  <c:v>-10.071813745910033</c:v>
                </c:pt>
                <c:pt idx="853">
                  <c:v>-10.08483672603929</c:v>
                </c:pt>
                <c:pt idx="854">
                  <c:v>-10.09785973784645</c:v>
                </c:pt>
                <c:pt idx="855">
                  <c:v>-10.110882781331114</c:v>
                </c:pt>
                <c:pt idx="856">
                  <c:v>-10.123905856492877</c:v>
                </c:pt>
                <c:pt idx="857">
                  <c:v>-10.136928963331339</c:v>
                </c:pt>
                <c:pt idx="858">
                  <c:v>-10.149952101846097</c:v>
                </c:pt>
                <c:pt idx="859">
                  <c:v>-10.162975272036748</c:v>
                </c:pt>
                <c:pt idx="860">
                  <c:v>-10.175998473902894</c:v>
                </c:pt>
                <c:pt idx="861">
                  <c:v>-10.189021707444128</c:v>
                </c:pt>
                <c:pt idx="862">
                  <c:v>-10.202044972660053</c:v>
                </c:pt>
                <c:pt idx="863">
                  <c:v>-10.215068269550265</c:v>
                </c:pt>
                <c:pt idx="864">
                  <c:v>-10.228091598114363</c:v>
                </c:pt>
                <c:pt idx="865">
                  <c:v>-10.241114958351943</c:v>
                </c:pt>
                <c:pt idx="866">
                  <c:v>-10.254138350262606</c:v>
                </c:pt>
                <c:pt idx="867">
                  <c:v>-10.267161773845947</c:v>
                </c:pt>
                <c:pt idx="868">
                  <c:v>-10.280185229101567</c:v>
                </c:pt>
                <c:pt idx="869">
                  <c:v>-10.293208716029064</c:v>
                </c:pt>
                <c:pt idx="870">
                  <c:v>-10.306232234628034</c:v>
                </c:pt>
                <c:pt idx="871">
                  <c:v>-10.319255784898077</c:v>
                </c:pt>
                <c:pt idx="872">
                  <c:v>-10.332279366838792</c:v>
                </c:pt>
                <c:pt idx="873">
                  <c:v>-10.345302980449775</c:v>
                </c:pt>
                <c:pt idx="874">
                  <c:v>-10.358326625730625</c:v>
                </c:pt>
                <c:pt idx="875">
                  <c:v>-10.371350302680939</c:v>
                </c:pt>
                <c:pt idx="876">
                  <c:v>-10.384374011300318</c:v>
                </c:pt>
                <c:pt idx="877">
                  <c:v>-10.397397751588359</c:v>
                </c:pt>
                <c:pt idx="878">
                  <c:v>-10.41042152354466</c:v>
                </c:pt>
                <c:pt idx="879">
                  <c:v>-10.423445327168817</c:v>
                </c:pt>
                <c:pt idx="880">
                  <c:v>-10.436469162460432</c:v>
                </c:pt>
                <c:pt idx="881">
                  <c:v>-10.4494930294191</c:v>
                </c:pt>
                <c:pt idx="882">
                  <c:v>-10.462516928044423</c:v>
                </c:pt>
                <c:pt idx="883">
                  <c:v>-10.475540858335995</c:v>
                </c:pt>
                <c:pt idx="884">
                  <c:v>-10.488564820293416</c:v>
                </c:pt>
                <c:pt idx="885">
                  <c:v>-10.501588813916284</c:v>
                </c:pt>
                <c:pt idx="886">
                  <c:v>-10.514612839204197</c:v>
                </c:pt>
                <c:pt idx="887">
                  <c:v>-10.527636896156755</c:v>
                </c:pt>
                <c:pt idx="888">
                  <c:v>-10.540660984773556</c:v>
                </c:pt>
                <c:pt idx="889">
                  <c:v>-10.553685105054196</c:v>
                </c:pt>
                <c:pt idx="890">
                  <c:v>-10.566709256998275</c:v>
                </c:pt>
                <c:pt idx="891">
                  <c:v>-10.57973344060539</c:v>
                </c:pt>
                <c:pt idx="892">
                  <c:v>-10.59275765587514</c:v>
                </c:pt>
                <c:pt idx="893">
                  <c:v>-10.605781902807122</c:v>
                </c:pt>
                <c:pt idx="894">
                  <c:v>-10.618806181400936</c:v>
                </c:pt>
                <c:pt idx="895">
                  <c:v>-10.63183049165618</c:v>
                </c:pt>
                <c:pt idx="896">
                  <c:v>-10.644854833572451</c:v>
                </c:pt>
                <c:pt idx="897">
                  <c:v>-10.657879207149348</c:v>
                </c:pt>
                <c:pt idx="898">
                  <c:v>-10.67090361238647</c:v>
                </c:pt>
                <c:pt idx="899">
                  <c:v>-10.683928049283413</c:v>
                </c:pt>
                <c:pt idx="900">
                  <c:v>-10.696952517839778</c:v>
                </c:pt>
                <c:pt idx="901">
                  <c:v>-10.709977018055161</c:v>
                </c:pt>
                <c:pt idx="902">
                  <c:v>-10.723001549929162</c:v>
                </c:pt>
                <c:pt idx="903">
                  <c:v>-10.736026113461378</c:v>
                </c:pt>
                <c:pt idx="904">
                  <c:v>-10.749050708651408</c:v>
                </c:pt>
                <c:pt idx="905">
                  <c:v>-10.762075335498849</c:v>
                </c:pt>
                <c:pt idx="906">
                  <c:v>-10.775099994003302</c:v>
                </c:pt>
                <c:pt idx="907">
                  <c:v>-10.788124684164362</c:v>
                </c:pt>
                <c:pt idx="908">
                  <c:v>-10.801149405981629</c:v>
                </c:pt>
                <c:pt idx="909">
                  <c:v>-10.814174159454701</c:v>
                </c:pt>
                <c:pt idx="910">
                  <c:v>-10.827198944583175</c:v>
                </c:pt>
                <c:pt idx="911">
                  <c:v>-10.840223761366651</c:v>
                </c:pt>
                <c:pt idx="912">
                  <c:v>-10.853248609804726</c:v>
                </c:pt>
                <c:pt idx="913">
                  <c:v>-10.866273489897001</c:v>
                </c:pt>
                <c:pt idx="914">
                  <c:v>-10.879298401643071</c:v>
                </c:pt>
                <c:pt idx="915">
                  <c:v>-10.892323345042536</c:v>
                </c:pt>
                <c:pt idx="916">
                  <c:v>-10.905348320094994</c:v>
                </c:pt>
                <c:pt idx="917">
                  <c:v>-10.918373326800042</c:v>
                </c:pt>
                <c:pt idx="918">
                  <c:v>-10.93139836515728</c:v>
                </c:pt>
                <c:pt idx="919">
                  <c:v>-10.944423435166305</c:v>
                </c:pt>
                <c:pt idx="920">
                  <c:v>-10.957448536826716</c:v>
                </c:pt>
                <c:pt idx="921">
                  <c:v>-10.970473670138112</c:v>
                </c:pt>
                <c:pt idx="922">
                  <c:v>-10.98349883510009</c:v>
                </c:pt>
                <c:pt idx="923">
                  <c:v>-10.996524031712248</c:v>
                </c:pt>
                <c:pt idx="924">
                  <c:v>-11.009549259974186</c:v>
                </c:pt>
                <c:pt idx="925">
                  <c:v>-11.022574519885501</c:v>
                </c:pt>
                <c:pt idx="926">
                  <c:v>-11.035599811445792</c:v>
                </c:pt>
                <c:pt idx="927">
                  <c:v>-11.048625134654657</c:v>
                </c:pt>
                <c:pt idx="928">
                  <c:v>-11.061650489511694</c:v>
                </c:pt>
                <c:pt idx="929">
                  <c:v>-11.074675876016501</c:v>
                </c:pt>
                <c:pt idx="930">
                  <c:v>-11.087701294168678</c:v>
                </c:pt>
                <c:pt idx="931">
                  <c:v>-11.100726743967822</c:v>
                </c:pt>
                <c:pt idx="932">
                  <c:v>-11.113752225413531</c:v>
                </c:pt>
                <c:pt idx="933">
                  <c:v>-11.126777738505405</c:v>
                </c:pt>
                <c:pt idx="934">
                  <c:v>-11.13980328324304</c:v>
                </c:pt>
                <c:pt idx="935">
                  <c:v>-11.152828859626036</c:v>
                </c:pt>
                <c:pt idx="936">
                  <c:v>-11.16585446765399</c:v>
                </c:pt>
                <c:pt idx="937">
                  <c:v>-11.178880107326501</c:v>
                </c:pt>
                <c:pt idx="938">
                  <c:v>-11.191905778643168</c:v>
                </c:pt>
                <c:pt idx="939">
                  <c:v>-11.204931481603587</c:v>
                </c:pt>
                <c:pt idx="940">
                  <c:v>-11.21795721620736</c:v>
                </c:pt>
                <c:pt idx="941">
                  <c:v>-11.230982982454082</c:v>
                </c:pt>
                <c:pt idx="942">
                  <c:v>-11.244008780343353</c:v>
                </c:pt>
                <c:pt idx="943">
                  <c:v>-11.257034609874772</c:v>
                </c:pt>
                <c:pt idx="944">
                  <c:v>-11.270060471047936</c:v>
                </c:pt>
                <c:pt idx="945">
                  <c:v>-11.283086363862443</c:v>
                </c:pt>
                <c:pt idx="946">
                  <c:v>-11.296112288317893</c:v>
                </c:pt>
                <c:pt idx="947">
                  <c:v>-11.309138244413882</c:v>
                </c:pt>
                <c:pt idx="948">
                  <c:v>-11.32216423215001</c:v>
                </c:pt>
                <c:pt idx="949">
                  <c:v>-11.335190251525876</c:v>
                </c:pt>
                <c:pt idx="950">
                  <c:v>-11.348216302541077</c:v>
                </c:pt>
                <c:pt idx="951">
                  <c:v>-11.361242385195212</c:v>
                </c:pt>
                <c:pt idx="952">
                  <c:v>-11.374268499487878</c:v>
                </c:pt>
                <c:pt idx="953">
                  <c:v>-11.387294645418674</c:v>
                </c:pt>
                <c:pt idx="954">
                  <c:v>-11.400320822987199</c:v>
                </c:pt>
                <c:pt idx="955">
                  <c:v>-11.413347032193052</c:v>
                </c:pt>
                <c:pt idx="956">
                  <c:v>-11.42637327303583</c:v>
                </c:pt>
                <c:pt idx="957">
                  <c:v>-11.439399545515133</c:v>
                </c:pt>
                <c:pt idx="958">
                  <c:v>-11.452425849630558</c:v>
                </c:pt>
                <c:pt idx="959">
                  <c:v>-11.465452185381704</c:v>
                </c:pt>
                <c:pt idx="960">
                  <c:v>-11.478478552768168</c:v>
                </c:pt>
                <c:pt idx="961">
                  <c:v>-11.491504951789549</c:v>
                </c:pt>
                <c:pt idx="962">
                  <c:v>-11.504531382445446</c:v>
                </c:pt>
                <c:pt idx="963">
                  <c:v>-11.517557844735457</c:v>
                </c:pt>
                <c:pt idx="964">
                  <c:v>-11.53058433865918</c:v>
                </c:pt>
                <c:pt idx="965">
                  <c:v>-11.543610864216214</c:v>
                </c:pt>
                <c:pt idx="966">
                  <c:v>-11.556637421406158</c:v>
                </c:pt>
                <c:pt idx="967">
                  <c:v>-11.56966401022861</c:v>
                </c:pt>
                <c:pt idx="968">
                  <c:v>-11.582690630683167</c:v>
                </c:pt>
                <c:pt idx="969">
                  <c:v>-11.59571728276943</c:v>
                </c:pt>
                <c:pt idx="970">
                  <c:v>-11.608743966486994</c:v>
                </c:pt>
                <c:pt idx="971">
                  <c:v>-11.621770681835459</c:v>
                </c:pt>
                <c:pt idx="972">
                  <c:v>-11.634797428814425</c:v>
                </c:pt>
                <c:pt idx="973">
                  <c:v>-11.647824207423488</c:v>
                </c:pt>
                <c:pt idx="974">
                  <c:v>-11.660851017662248</c:v>
                </c:pt>
                <c:pt idx="975">
                  <c:v>-11.673877859530302</c:v>
                </c:pt>
                <c:pt idx="976">
                  <c:v>-11.68690473302725</c:v>
                </c:pt>
                <c:pt idx="977">
                  <c:v>-11.699931638152687</c:v>
                </c:pt>
                <c:pt idx="978">
                  <c:v>-11.712958574906216</c:v>
                </c:pt>
                <c:pt idx="979">
                  <c:v>-11.725985543287432</c:v>
                </c:pt>
                <c:pt idx="980">
                  <c:v>-11.739012543295937</c:v>
                </c:pt>
                <c:pt idx="981">
                  <c:v>-11.752039574931326</c:v>
                </c:pt>
                <c:pt idx="982">
                  <c:v>-11.765066638193197</c:v>
                </c:pt>
                <c:pt idx="983">
                  <c:v>-11.778093733081151</c:v>
                </c:pt>
                <c:pt idx="984">
                  <c:v>-11.791120859594786</c:v>
                </c:pt>
                <c:pt idx="985">
                  <c:v>-11.804148017733699</c:v>
                </c:pt>
                <c:pt idx="986">
                  <c:v>-11.81717520749749</c:v>
                </c:pt>
                <c:pt idx="987">
                  <c:v>-11.830202428885757</c:v>
                </c:pt>
                <c:pt idx="988">
                  <c:v>-11.843229681898098</c:v>
                </c:pt>
                <c:pt idx="989">
                  <c:v>-11.856256966534112</c:v>
                </c:pt>
                <c:pt idx="990">
                  <c:v>-11.869284282793396</c:v>
                </c:pt>
                <c:pt idx="991">
                  <c:v>-11.882311630675549</c:v>
                </c:pt>
                <c:pt idx="992">
                  <c:v>-11.895339010180169</c:v>
                </c:pt>
                <c:pt idx="993">
                  <c:v>-11.908366421306857</c:v>
                </c:pt>
                <c:pt idx="994">
                  <c:v>-11.92139386405521</c:v>
                </c:pt>
                <c:pt idx="995">
                  <c:v>-11.934421338424825</c:v>
                </c:pt>
                <c:pt idx="996">
                  <c:v>-11.947448844415302</c:v>
                </c:pt>
                <c:pt idx="997">
                  <c:v>-11.960476382026238</c:v>
                </c:pt>
                <c:pt idx="998">
                  <c:v>-11.973503951257234</c:v>
                </c:pt>
                <c:pt idx="999">
                  <c:v>-11.986531552107886</c:v>
                </c:pt>
                <c:pt idx="1000">
                  <c:v>-11.999559184577793</c:v>
                </c:pt>
              </c:numCache>
            </c:numRef>
          </c:yVal>
          <c:smooth val="1"/>
          <c:extLst>
            <c:ext xmlns:c16="http://schemas.microsoft.com/office/drawing/2014/chart" uri="{C3380CC4-5D6E-409C-BE32-E72D297353CC}">
              <c16:uniqueId val="{00000002-897D-40A6-9E02-3FCC294006C5}"/>
            </c:ext>
          </c:extLst>
        </c:ser>
        <c:ser>
          <c:idx val="2"/>
          <c:order val="3"/>
          <c:tx>
            <c:strRef>
              <c:f>Trajecto!$B$108</c:f>
              <c:strCache>
                <c:ptCount val="1"/>
                <c:pt idx="0">
                  <c:v>Fusée sous parachute</c:v>
                </c:pt>
              </c:strCache>
            </c:strRef>
          </c:tx>
          <c:spPr>
            <a:ln w="25400">
              <a:solidFill>
                <a:srgbClr val="008000"/>
              </a:solidFill>
              <a:prstDash val="solid"/>
            </a:ln>
          </c:spPr>
          <c:marker>
            <c:symbol val="none"/>
          </c:marker>
          <c:dLbls>
            <c:dLbl>
              <c:idx val="1"/>
              <c:layout/>
              <c:spPr>
                <a:noFill/>
                <a:ln w="25400">
                  <a:noFill/>
                </a:ln>
              </c:spPr>
              <c:txPr>
                <a:bodyPr/>
                <a:lstStyle/>
                <a:p>
                  <a:pPr>
                    <a:defRPr sz="700" b="1" i="0" u="none" strike="noStrike" baseline="0">
                      <a:solidFill>
                        <a:srgbClr val="008000"/>
                      </a:solidFill>
                      <a:latin typeface="Arial"/>
                      <a:ea typeface="Arial"/>
                      <a:cs typeface="Arial"/>
                    </a:defRPr>
                  </a:pPr>
                  <a:endParaRPr lang="fr-FR"/>
                </a:p>
              </c:txPr>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3-897D-40A6-9E02-3FCC294006C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Trajecto!$B$131:$B$137</c:f>
              <c:numCache>
                <c:formatCode>0.0</c:formatCode>
                <c:ptCount val="7"/>
                <c:pt idx="0">
                  <c:v>8</c:v>
                </c:pt>
                <c:pt idx="1">
                  <c:v>55.173847429346402</c:v>
                </c:pt>
                <c:pt idx="2">
                  <c:v>102.3476948586928</c:v>
                </c:pt>
                <c:pt idx="3">
                  <c:v>100.85861704764869</c:v>
                </c:pt>
                <c:pt idx="4">
                  <c:v>102.3476948586928</c:v>
                </c:pt>
                <c:pt idx="5">
                  <c:v>97.328617047648663</c:v>
                </c:pt>
                <c:pt idx="6">
                  <c:v>102.3476948586928</c:v>
                </c:pt>
              </c:numCache>
            </c:numRef>
          </c:xVal>
          <c:yVal>
            <c:numRef>
              <c:f>Trajecto!$C$129:$C$135</c:f>
              <c:numCache>
                <c:formatCode>0</c:formatCode>
                <c:ptCount val="7"/>
                <c:pt idx="0">
                  <c:v>977.7584382484049</c:v>
                </c:pt>
                <c:pt idx="1">
                  <c:v>488.87921912420245</c:v>
                </c:pt>
                <c:pt idx="2">
                  <c:v>0</c:v>
                </c:pt>
                <c:pt idx="3">
                  <c:v>70.059865731393543</c:v>
                </c:pt>
                <c:pt idx="4">
                  <c:v>0</c:v>
                </c:pt>
                <c:pt idx="5">
                  <c:v>25.8522770942125</c:v>
                </c:pt>
                <c:pt idx="6">
                  <c:v>0</c:v>
                </c:pt>
              </c:numCache>
            </c:numRef>
          </c:yVal>
          <c:smooth val="0"/>
          <c:extLst>
            <c:ext xmlns:c16="http://schemas.microsoft.com/office/drawing/2014/chart" uri="{C3380CC4-5D6E-409C-BE32-E72D297353CC}">
              <c16:uniqueId val="{00000004-897D-40A6-9E02-3FCC294006C5}"/>
            </c:ext>
          </c:extLst>
        </c:ser>
        <c:ser>
          <c:idx val="3"/>
          <c:order val="4"/>
          <c:tx>
            <c:strRef>
              <c:f>Trajecto!$B$109</c:f>
              <c:strCache>
                <c:ptCount val="1"/>
              </c:strCache>
            </c:strRef>
          </c:tx>
          <c:spPr>
            <a:ln w="25400">
              <a:solidFill>
                <a:srgbClr val="FF6600"/>
              </a:solidFill>
              <a:prstDash val="solid"/>
            </a:ln>
          </c:spPr>
          <c:marker>
            <c:symbol val="none"/>
          </c:marker>
          <c:dLbls>
            <c:dLbl>
              <c:idx val="1"/>
              <c:spPr>
                <a:noFill/>
                <a:ln w="25400">
                  <a:noFill/>
                </a:ln>
              </c:spPr>
              <c:txPr>
                <a:bodyPr/>
                <a:lstStyle/>
                <a:p>
                  <a:pPr>
                    <a:defRPr sz="700" b="1" i="0" u="none" strike="noStrike" baseline="0">
                      <a:solidFill>
                        <a:srgbClr val="FF66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97D-40A6-9E02-3FCC294006C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Trajecto!$B$148:$B$154</c:f>
              <c:numCache>
                <c:formatCode>0.0</c:formatCode>
                <c:ptCount val="7"/>
                <c:pt idx="0">
                  <c:v>0</c:v>
                </c:pt>
                <c:pt idx="1">
                  <c:v>0</c:v>
                </c:pt>
                <c:pt idx="2">
                  <c:v>0</c:v>
                </c:pt>
                <c:pt idx="3">
                  <c:v>0</c:v>
                </c:pt>
                <c:pt idx="4">
                  <c:v>0</c:v>
                </c:pt>
                <c:pt idx="5">
                  <c:v>0</c:v>
                </c:pt>
                <c:pt idx="6">
                  <c:v>0</c:v>
                </c:pt>
              </c:numCache>
            </c:numRef>
          </c:xVal>
          <c:yVal>
            <c:numRef>
              <c:f>Trajecto!$C$146:$C$152</c:f>
              <c:numCache>
                <c:formatCode>0</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6-897D-40A6-9E02-3FCC294006C5}"/>
            </c:ext>
          </c:extLst>
        </c:ser>
        <c:ser>
          <c:idx val="5"/>
          <c:order val="5"/>
          <c:tx>
            <c:strRef>
              <c:f>Trajecto!$B$106</c:f>
              <c:strCache>
                <c:ptCount val="1"/>
                <c:pt idx="0">
                  <c:v>Phase ascendante</c:v>
                </c:pt>
              </c:strCache>
            </c:strRef>
          </c:tx>
          <c:spPr>
            <a:ln w="25400">
              <a:solidFill>
                <a:srgbClr val="00008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Calculs!$AE$4:$AE$1004</c:f>
              <c:numCache>
                <c:formatCode>0</c:formatCode>
                <c:ptCount val="1001"/>
                <c:pt idx="0">
                  <c:v>0</c:v>
                </c:pt>
                <c:pt idx="1">
                  <c:v>0</c:v>
                </c:pt>
                <c:pt idx="2">
                  <c:v>9.256745468933812E-4</c:v>
                </c:pt>
                <c:pt idx="3">
                  <c:v>4.6375098159864465E-3</c:v>
                </c:pt>
                <c:pt idx="4">
                  <c:v>1.3005881763920295E-2</c:v>
                </c:pt>
                <c:pt idx="5">
                  <c:v>2.7902932677719018E-2</c:v>
                </c:pt>
                <c:pt idx="6">
                  <c:v>5.0729494037892092E-2</c:v>
                </c:pt>
                <c:pt idx="7">
                  <c:v>8.1940908218334885E-2</c:v>
                </c:pt>
                <c:pt idx="8">
                  <c:v>0.12151931462913008</c:v>
                </c:pt>
                <c:pt idx="9">
                  <c:v>0.16944677622685986</c:v>
                </c:pt>
                <c:pt idx="10">
                  <c:v>0.22570527978592239</c:v>
                </c:pt>
                <c:pt idx="11">
                  <c:v>0.29027673617222649</c:v>
                </c:pt>
                <c:pt idx="12">
                  <c:v>0.36314298061924566</c:v>
                </c:pt>
                <c:pt idx="13">
                  <c:v>0.44428577300641242</c:v>
                </c:pt>
                <c:pt idx="14">
                  <c:v>0.53368679813983388</c:v>
                </c:pt>
                <c:pt idx="15">
                  <c:v>0.63132766603530943</c:v>
                </c:pt>
                <c:pt idx="16">
                  <c:v>0.7371899122036305</c:v>
                </c:pt>
                <c:pt idx="17">
                  <c:v>0.85125499793814385</c:v>
                </c:pt>
                <c:pt idx="18">
                  <c:v>0.973504310604557</c:v>
                </c:pt>
                <c:pt idx="19">
                  <c:v>1.1039191639329675</c:v>
                </c:pt>
                <c:pt idx="20">
                  <c:v>1.2424807983120951</c:v>
                </c:pt>
                <c:pt idx="21">
                  <c:v>1.3891703810856959</c:v>
                </c:pt>
                <c:pt idx="22">
                  <c:v>1.5439690068511398</c:v>
                </c:pt>
                <c:pt idx="23">
                  <c:v>1.7068576977601289</c:v>
                </c:pt>
                <c:pt idx="24">
                  <c:v>1.8778174038215372</c:v>
                </c:pt>
                <c:pt idx="25">
                  <c:v>2.0568290032063508</c:v>
                </c:pt>
                <c:pt idx="26">
                  <c:v>2.2438733025546869</c:v>
                </c:pt>
                <c:pt idx="27">
                  <c:v>2.4389310372848709</c:v>
                </c:pt>
                <c:pt idx="28">
                  <c:v>2.6419828719045495</c:v>
                </c:pt>
                <c:pt idx="29">
                  <c:v>2.8530094003238204</c:v>
                </c:pt>
                <c:pt idx="30">
                  <c:v>3.0719911461703555</c:v>
                </c:pt>
                <c:pt idx="31">
                  <c:v>3.2989085631064961</c:v>
                </c:pt>
                <c:pt idx="32">
                  <c:v>3.5337420351482973</c:v>
                </c:pt>
                <c:pt idx="33">
                  <c:v>3.7764718769865033</c:v>
                </c:pt>
                <c:pt idx="34">
                  <c:v>4.0270783343094267</c:v>
                </c:pt>
                <c:pt idx="35">
                  <c:v>4.2855267870942164</c:v>
                </c:pt>
                <c:pt idx="36">
                  <c:v>4.5517820584966753</c:v>
                </c:pt>
                <c:pt idx="37">
                  <c:v>4.8258232181161596</c:v>
                </c:pt>
                <c:pt idx="38">
                  <c:v>5.1076292862374588</c:v>
                </c:pt>
                <c:pt idx="39">
                  <c:v>5.3971792401500984</c:v>
                </c:pt>
                <c:pt idx="40">
                  <c:v>5.6944520133574148</c:v>
                </c:pt>
                <c:pt idx="41">
                  <c:v>5.9994264948718143</c:v>
                </c:pt>
                <c:pt idx="42">
                  <c:v>6.3120815285877736</c:v>
                </c:pt>
                <c:pt idx="43">
                  <c:v>6.6323959127251593</c:v>
                </c:pt>
                <c:pt idx="44">
                  <c:v>6.960348399336354</c:v>
                </c:pt>
                <c:pt idx="45">
                  <c:v>7.2959176938714139</c:v>
                </c:pt>
                <c:pt idx="46">
                  <c:v>7.6390824547961556</c:v>
                </c:pt>
                <c:pt idx="47">
                  <c:v>7.9898212932586299</c:v>
                </c:pt>
                <c:pt idx="48">
                  <c:v>8.3481127727999347</c:v>
                </c:pt>
                <c:pt idx="49">
                  <c:v>8.7139354091057477</c:v>
                </c:pt>
                <c:pt idx="50">
                  <c:v>9.087267669795331</c:v>
                </c:pt>
                <c:pt idx="51">
                  <c:v>9.4680904607792051</c:v>
                </c:pt>
                <c:pt idx="52">
                  <c:v>9.8563896156349617</c:v>
                </c:pt>
                <c:pt idx="53">
                  <c:v>10.252153413149001</c:v>
                </c:pt>
                <c:pt idx="54">
                  <c:v>10.6553700918227</c:v>
                </c:pt>
                <c:pt idx="55">
                  <c:v>11.066027849655297</c:v>
                </c:pt>
                <c:pt idx="56">
                  <c:v>11.484114843947582</c:v>
                </c:pt>
                <c:pt idx="57">
                  <c:v>11.909619191125028</c:v>
                </c:pt>
                <c:pt idx="58">
                  <c:v>12.342528966579124</c:v>
                </c:pt>
                <c:pt idx="59">
                  <c:v>12.782832204525784</c:v>
                </c:pt>
                <c:pt idx="60">
                  <c:v>13.230516897879768</c:v>
                </c:pt>
                <c:pt idx="61">
                  <c:v>13.685570998144183</c:v>
                </c:pt>
                <c:pt idx="62">
                  <c:v>14.147982415314159</c:v>
                </c:pt>
                <c:pt idx="63">
                  <c:v>14.617739017793911</c:v>
                </c:pt>
                <c:pt idx="64">
                  <c:v>15.094828632326408</c:v>
                </c:pt>
                <c:pt idx="65">
                  <c:v>15.57923904393499</c:v>
                </c:pt>
                <c:pt idx="66">
                  <c:v>16.07095799587626</c:v>
                </c:pt>
                <c:pt idx="67">
                  <c:v>16.569973189603672</c:v>
                </c:pt>
                <c:pt idx="68">
                  <c:v>17.076272284741261</c:v>
                </c:pt>
                <c:pt idx="69">
                  <c:v>17.589842899067008</c:v>
                </c:pt>
                <c:pt idx="70">
                  <c:v>18.110672608505332</c:v>
                </c:pt>
                <c:pt idx="71">
                  <c:v>18.63874894712832</c:v>
                </c:pt>
                <c:pt idx="72">
                  <c:v>19.174059407165217</c:v>
                </c:pt>
                <c:pt idx="73">
                  <c:v>19.716591439019826</c:v>
                </c:pt>
                <c:pt idx="74">
                  <c:v>20.266332451295462</c:v>
                </c:pt>
                <c:pt idx="75">
                  <c:v>20.823269810827078</c:v>
                </c:pt>
                <c:pt idx="76">
                  <c:v>21.387390842720297</c:v>
                </c:pt>
                <c:pt idx="77">
                  <c:v>21.95868283039702</c:v>
                </c:pt>
                <c:pt idx="78">
                  <c:v>22.537133015647321</c:v>
                </c:pt>
                <c:pt idx="79">
                  <c:v>23.122728598687409</c:v>
                </c:pt>
                <c:pt idx="80">
                  <c:v>23.715456738223363</c:v>
                </c:pt>
                <c:pt idx="81">
                  <c:v>24.31530455152042</c:v>
                </c:pt>
                <c:pt idx="82">
                  <c:v>24.922259114477619</c:v>
                </c:pt>
                <c:pt idx="83">
                  <c:v>25.536307461707565</c:v>
                </c:pt>
                <c:pt idx="84">
                  <c:v>26.157436586621124</c:v>
                </c:pt>
                <c:pt idx="85">
                  <c:v>26.785633441516868</c:v>
                </c:pt>
                <c:pt idx="86">
                  <c:v>27.420884937675105</c:v>
                </c:pt>
                <c:pt idx="87">
                  <c:v>28.063177945456289</c:v>
                </c:pt>
                <c:pt idx="88">
                  <c:v>28.712499294403703</c:v>
                </c:pt>
                <c:pt idx="89">
                  <c:v>29.368835773350227</c:v>
                </c:pt>
                <c:pt idx="90">
                  <c:v>30.032174130529068</c:v>
                </c:pt>
                <c:pt idx="91">
                  <c:v>30.702501073688307</c:v>
                </c:pt>
                <c:pt idx="92">
                  <c:v>31.379803270209145</c:v>
                </c:pt>
                <c:pt idx="93">
                  <c:v>32.064067347227706</c:v>
                </c:pt>
                <c:pt idx="94">
                  <c:v>32.75527989176031</c:v>
                </c:pt>
                <c:pt idx="95">
                  <c:v>33.453427450832081</c:v>
                </c:pt>
                <c:pt idx="96">
                  <c:v>34.158496531608776</c:v>
                </c:pt>
                <c:pt idx="97">
                  <c:v>34.870473601531785</c:v>
                </c:pt>
                <c:pt idx="98">
                  <c:v>35.589345088456128</c:v>
                </c:pt>
                <c:pt idx="99">
                  <c:v>36.315097380791421</c:v>
                </c:pt>
                <c:pt idx="100">
                  <c:v>37.047716827645679</c:v>
                </c:pt>
                <c:pt idx="101">
                  <c:v>37.787188597185938</c:v>
                </c:pt>
                <c:pt idx="102">
                  <c:v>38.533495533942798</c:v>
                </c:pt>
                <c:pt idx="103">
                  <c:v>39.286619299474474</c:v>
                </c:pt>
                <c:pt idx="104">
                  <c:v>40.04654151413277</c:v>
                </c:pt>
                <c:pt idx="105">
                  <c:v>40.813243757301436</c:v>
                </c:pt>
                <c:pt idx="106">
                  <c:v>41.586707567636964</c:v>
                </c:pt>
                <c:pt idx="107">
                  <c:v>42.366914443311806</c:v>
                </c:pt>
                <c:pt idx="108">
                  <c:v>43.153845842259891</c:v>
                </c:pt>
                <c:pt idx="109">
                  <c:v>43.947483182424349</c:v>
                </c:pt>
                <c:pt idx="110">
                  <c:v>44.74780784200744</c:v>
                </c:pt>
                <c:pt idx="111">
                  <c:v>45.554801159722523</c:v>
                </c:pt>
                <c:pt idx="112">
                  <c:v>46.368444435048083</c:v>
                </c:pt>
                <c:pt idx="113">
                  <c:v>47.188718928483702</c:v>
                </c:pt>
                <c:pt idx="114">
                  <c:v>48.015605861807899</c:v>
                </c:pt>
                <c:pt idx="115">
                  <c:v>48.849086418337819</c:v>
                </c:pt>
                <c:pt idx="116">
                  <c:v>49.689141743190675</c:v>
                </c:pt>
                <c:pt idx="117">
                  <c:v>50.535752943546903</c:v>
                </c:pt>
                <c:pt idx="118">
                  <c:v>51.38890108891497</c:v>
                </c:pt>
                <c:pt idx="119">
                  <c:v>52.248567211397784</c:v>
                </c:pt>
                <c:pt idx="120">
                  <c:v>53.114732305960622</c:v>
                </c:pt>
                <c:pt idx="121">
                  <c:v>53.987377330700575</c:v>
                </c:pt>
                <c:pt idx="122">
                  <c:v>54.866483207117412</c:v>
                </c:pt>
                <c:pt idx="123">
                  <c:v>55.752030820385855</c:v>
                </c:pt>
                <c:pt idx="124">
                  <c:v>56.644001019629179</c:v>
                </c:pt>
                <c:pt idx="125">
                  <c:v>57.542374618194117</c:v>
                </c:pt>
                <c:pt idx="126">
                  <c:v>58.447132393927006</c:v>
                </c:pt>
                <c:pt idx="127">
                  <c:v>59.358255089451163</c:v>
                </c:pt>
                <c:pt idx="128">
                  <c:v>60.27572341244538</c:v>
                </c:pt>
                <c:pt idx="129">
                  <c:v>61.199518035923589</c:v>
                </c:pt>
                <c:pt idx="130">
                  <c:v>62.129619598515568</c:v>
                </c:pt>
                <c:pt idx="131">
                  <c:v>63.066008704748711</c:v>
                </c:pt>
                <c:pt idx="132">
                  <c:v>64.008665925330774</c:v>
                </c:pt>
                <c:pt idx="133">
                  <c:v>64.957571797433602</c:v>
                </c:pt>
                <c:pt idx="134">
                  <c:v>65.912706824977775</c:v>
                </c:pt>
                <c:pt idx="135">
                  <c:v>66.874051478918133</c:v>
                </c:pt>
                <c:pt idx="136">
                  <c:v>67.841586197530134</c:v>
                </c:pt>
                <c:pt idx="137">
                  <c:v>68.815291386697083</c:v>
                </c:pt>
                <c:pt idx="138">
                  <c:v>69.795147420198063</c:v>
                </c:pt>
                <c:pt idx="139">
                  <c:v>70.781134639996679</c:v>
                </c:pt>
                <c:pt idx="140">
                  <c:v>71.773233356530483</c:v>
                </c:pt>
                <c:pt idx="141">
                  <c:v>72.771423849001081</c:v>
                </c:pt>
                <c:pt idx="142">
                  <c:v>73.775686365664882</c:v>
                </c:pt>
                <c:pt idx="143">
                  <c:v>74.786001124124482</c:v>
                </c:pt>
                <c:pt idx="144">
                  <c:v>75.802348311620591</c:v>
                </c:pt>
                <c:pt idx="145">
                  <c:v>76.824708085324573</c:v>
                </c:pt>
                <c:pt idx="146">
                  <c:v>77.853060572631492</c:v>
                </c:pt>
                <c:pt idx="147">
                  <c:v>78.887385871453588</c:v>
                </c:pt>
                <c:pt idx="148">
                  <c:v>79.927664050514309</c:v>
                </c:pt>
                <c:pt idx="149">
                  <c:v>80.973875149642751</c:v>
                </c:pt>
                <c:pt idx="150">
                  <c:v>82.025999180068482</c:v>
                </c:pt>
                <c:pt idx="151">
                  <c:v>83.084016511940348</c:v>
                </c:pt>
                <c:pt idx="152">
                  <c:v>84.147908262059872</c:v>
                </c:pt>
                <c:pt idx="153">
                  <c:v>85.217655907115997</c:v>
                </c:pt>
                <c:pt idx="154">
                  <c:v>86.293240896692211</c:v>
                </c:pt>
                <c:pt idx="155">
                  <c:v>87.374644653535711</c:v>
                </c:pt>
                <c:pt idx="156">
                  <c:v>88.461848573826828</c:v>
                </c:pt>
                <c:pt idx="157">
                  <c:v>89.554834027448891</c:v>
                </c:pt>
                <c:pt idx="158">
                  <c:v>90.653582358258248</c:v>
                </c:pt>
                <c:pt idx="159">
                  <c:v>91.758074884354642</c:v>
                </c:pt>
                <c:pt idx="160">
                  <c:v>92.868292898351797</c:v>
                </c:pt>
                <c:pt idx="161">
                  <c:v>93.984217667648238</c:v>
                </c:pt>
                <c:pt idx="162">
                  <c:v>95.105830434698305</c:v>
                </c:pt>
                <c:pt idx="163">
                  <c:v>96.233112417283337</c:v>
                </c:pt>
                <c:pt idx="164">
                  <c:v>97.366044808783087</c:v>
                </c:pt>
                <c:pt idx="165">
                  <c:v>98.504608778447135</c:v>
                </c:pt>
                <c:pt idx="166">
                  <c:v>99.648785471666585</c:v>
                </c:pt>
                <c:pt idx="167">
                  <c:v>100.79855601024575</c:v>
                </c:pt>
                <c:pt idx="168">
                  <c:v>101.95390149267392</c:v>
                </c:pt>
                <c:pt idx="169">
                  <c:v>103.11480299439731</c:v>
                </c:pt>
                <c:pt idx="170">
                  <c:v>104.28124156809086</c:v>
                </c:pt>
                <c:pt idx="171">
                  <c:v>105.45319824393022</c:v>
                </c:pt>
                <c:pt idx="172">
                  <c:v>106.63065402986365</c:v>
                </c:pt>
                <c:pt idx="173">
                  <c:v>107.81358991188395</c:v>
                </c:pt>
                <c:pt idx="174">
                  <c:v>109.00198685430033</c:v>
                </c:pt>
                <c:pt idx="175">
                  <c:v>110.19582580001023</c:v>
                </c:pt>
                <c:pt idx="176">
                  <c:v>111.39508767077106</c:v>
                </c:pt>
                <c:pt idx="177">
                  <c:v>112.59975336747193</c:v>
                </c:pt>
                <c:pt idx="178">
                  <c:v>113.80980377040517</c:v>
                </c:pt>
                <c:pt idx="179">
                  <c:v>115.02521973953775</c:v>
                </c:pt>
                <c:pt idx="180">
                  <c:v>116.24598211478263</c:v>
                </c:pt>
                <c:pt idx="181">
                  <c:v>117.47207171626994</c:v>
                </c:pt>
                <c:pt idx="182">
                  <c:v>118.70346934461783</c:v>
                </c:pt>
                <c:pt idx="183">
                  <c:v>119.94015578120342</c:v>
                </c:pt>
                <c:pt idx="184">
                  <c:v>121.18211178843325</c:v>
                </c:pt>
                <c:pt idx="185">
                  <c:v>122.42931811001372</c:v>
                </c:pt>
                <c:pt idx="186">
                  <c:v>123.68175547122119</c:v>
                </c:pt>
                <c:pt idx="187">
                  <c:v>124.93940457917186</c:v>
                </c:pt>
                <c:pt idx="188">
                  <c:v>126.20224612309134</c:v>
                </c:pt>
                <c:pt idx="189">
                  <c:v>127.47026077458401</c:v>
                </c:pt>
                <c:pt idx="190">
                  <c:v>128.743429187902</c:v>
                </c:pt>
                <c:pt idx="191">
                  <c:v>130.02173200021394</c:v>
                </c:pt>
                <c:pt idx="192">
                  <c:v>131.30514983187334</c:v>
                </c:pt>
                <c:pt idx="193">
                  <c:v>132.59366328668654</c:v>
                </c:pt>
                <c:pt idx="194">
                  <c:v>133.88725295218046</c:v>
                </c:pt>
                <c:pt idx="195">
                  <c:v>135.18589939986992</c:v>
                </c:pt>
                <c:pt idx="196">
                  <c:v>136.48958318552445</c:v>
                </c:pt>
                <c:pt idx="197">
                  <c:v>137.79828484943494</c:v>
                </c:pt>
                <c:pt idx="198">
                  <c:v>139.11198491667957</c:v>
                </c:pt>
                <c:pt idx="199">
                  <c:v>140.43066389738965</c:v>
                </c:pt>
                <c:pt idx="200">
                  <c:v>141.75430228701472</c:v>
                </c:pt>
                <c:pt idx="201">
                  <c:v>143.08288056658739</c:v>
                </c:pt>
                <c:pt idx="202">
                  <c:v>144.4163792029876</c:v>
                </c:pt>
                <c:pt idx="203">
                  <c:v>145.75477864920646</c:v>
                </c:pt>
                <c:pt idx="204">
                  <c:v>147.09805934460957</c:v>
                </c:pt>
                <c:pt idx="205">
                  <c:v>148.44620171519983</c:v>
                </c:pt>
                <c:pt idx="206">
                  <c:v>149.79918617387975</c:v>
                </c:pt>
                <c:pt idx="207">
                  <c:v>151.15699312071314</c:v>
                </c:pt>
                <c:pt idx="208">
                  <c:v>152.51960294318641</c:v>
                </c:pt>
                <c:pt idx="209">
                  <c:v>153.8869960164692</c:v>
                </c:pt>
                <c:pt idx="210">
                  <c:v>155.25915270367437</c:v>
                </c:pt>
                <c:pt idx="211">
                  <c:v>156.63605335611771</c:v>
                </c:pt>
                <c:pt idx="212">
                  <c:v>158.0176783135766</c:v>
                </c:pt>
                <c:pt idx="213">
                  <c:v>159.40400790454851</c:v>
                </c:pt>
                <c:pt idx="214">
                  <c:v>160.79502244650854</c:v>
                </c:pt>
                <c:pt idx="215">
                  <c:v>162.19070224616658</c:v>
                </c:pt>
                <c:pt idx="216">
                  <c:v>163.59102759972367</c:v>
                </c:pt>
                <c:pt idx="217">
                  <c:v>164.99597879312779</c:v>
                </c:pt>
                <c:pt idx="218">
                  <c:v>166.40553610232888</c:v>
                </c:pt>
                <c:pt idx="219">
                  <c:v>167.8196797935334</c:v>
                </c:pt>
                <c:pt idx="220">
                  <c:v>169.23839012345795</c:v>
                </c:pt>
                <c:pt idx="221">
                  <c:v>170.6616473395824</c:v>
                </c:pt>
                <c:pt idx="222">
                  <c:v>172.08943168040216</c:v>
                </c:pt>
                <c:pt idx="223">
                  <c:v>173.52172337567987</c:v>
                </c:pt>
                <c:pt idx="224">
                  <c:v>174.95850264669625</c:v>
                </c:pt>
                <c:pt idx="225">
                  <c:v>176.3997497065003</c:v>
                </c:pt>
                <c:pt idx="226">
                  <c:v>177.8454447601587</c:v>
                </c:pt>
                <c:pt idx="227">
                  <c:v>179.2955680050045</c:v>
                </c:pt>
                <c:pt idx="228">
                  <c:v>180.75009963088493</c:v>
                </c:pt>
                <c:pt idx="229">
                  <c:v>182.20901982040863</c:v>
                </c:pt>
                <c:pt idx="230">
                  <c:v>183.6723087491919</c:v>
                </c:pt>
                <c:pt idx="231">
                  <c:v>185.13994658610432</c:v>
                </c:pt>
                <c:pt idx="232">
                  <c:v>186.61191349351341</c:v>
                </c:pt>
                <c:pt idx="233">
                  <c:v>188.08818962752864</c:v>
                </c:pt>
                <c:pt idx="234">
                  <c:v>189.56875513824446</c:v>
                </c:pt>
                <c:pt idx="235">
                  <c:v>191.05359016998258</c:v>
                </c:pt>
                <c:pt idx="236">
                  <c:v>192.5426748615335</c:v>
                </c:pt>
                <c:pt idx="237">
                  <c:v>194.03598934639697</c:v>
                </c:pt>
                <c:pt idx="238">
                  <c:v>195.53351375302185</c:v>
                </c:pt>
                <c:pt idx="239">
                  <c:v>197.03522820504486</c:v>
                </c:pt>
                <c:pt idx="240">
                  <c:v>198.54111282152866</c:v>
                </c:pt>
                <c:pt idx="241">
                  <c:v>200.05114771719892</c:v>
                </c:pt>
                <c:pt idx="242">
                  <c:v>201.5653130026806</c:v>
                </c:pt>
                <c:pt idx="243">
                  <c:v>203.08358878473322</c:v>
                </c:pt>
                <c:pt idx="244">
                  <c:v>204.60595516648539</c:v>
                </c:pt>
                <c:pt idx="245">
                  <c:v>206.13239224766815</c:v>
                </c:pt>
                <c:pt idx="246">
                  <c:v>207.66288012484779</c:v>
                </c:pt>
                <c:pt idx="247">
                  <c:v>209.19739889165731</c:v>
                </c:pt>
                <c:pt idx="248">
                  <c:v>210.73592863902732</c:v>
                </c:pt>
                <c:pt idx="249">
                  <c:v>212.27844945541574</c:v>
                </c:pt>
                <c:pt idx="250">
                  <c:v>213.82494142703666</c:v>
                </c:pt>
                <c:pt idx="251">
                  <c:v>215.37538297758087</c:v>
                </c:pt>
                <c:pt idx="252">
                  <c:v>216.92974920816016</c:v>
                </c:pt>
                <c:pt idx="253">
                  <c:v>218.48801355941092</c:v>
                </c:pt>
                <c:pt idx="254">
                  <c:v>220.05014947342033</c:v>
                </c:pt>
                <c:pt idx="255">
                  <c:v>221.61613039404745</c:v>
                </c:pt>
                <c:pt idx="256">
                  <c:v>223.18592976724236</c:v>
                </c:pt>
                <c:pt idx="257">
                  <c:v>224.75952104136377</c:v>
                </c:pt>
                <c:pt idx="258">
                  <c:v>226.33687766749455</c:v>
                </c:pt>
                <c:pt idx="259">
                  <c:v>227.9179730997557</c:v>
                </c:pt>
                <c:pt idx="260">
                  <c:v>229.50278079561838</c:v>
                </c:pt>
                <c:pt idx="261">
                  <c:v>231.09127421621412</c:v>
                </c:pt>
                <c:pt idx="262">
                  <c:v>232.68342682664326</c:v>
                </c:pt>
                <c:pt idx="263">
                  <c:v>234.27921209628161</c:v>
                </c:pt>
                <c:pt idx="264">
                  <c:v>235.87860349908507</c:v>
                </c:pt>
                <c:pt idx="265">
                  <c:v>237.48157451389264</c:v>
                </c:pt>
                <c:pt idx="266">
                  <c:v>239.08809862472737</c:v>
                </c:pt>
                <c:pt idx="267">
                  <c:v>240.69814932109557</c:v>
                </c:pt>
                <c:pt idx="268">
                  <c:v>242.31170009828421</c:v>
                </c:pt>
                <c:pt idx="269">
                  <c:v>243.92872445765616</c:v>
                </c:pt>
                <c:pt idx="270">
                  <c:v>245.54919590694396</c:v>
                </c:pt>
                <c:pt idx="271">
                  <c:v>247.1730879605413</c:v>
                </c:pt>
                <c:pt idx="272">
                  <c:v>248.80037413979289</c:v>
                </c:pt>
                <c:pt idx="273">
                  <c:v>250.43102797328234</c:v>
                </c:pt>
                <c:pt idx="274">
                  <c:v>252.06502299711804</c:v>
                </c:pt>
                <c:pt idx="275">
                  <c:v>253.70233275521727</c:v>
                </c:pt>
                <c:pt idx="276">
                  <c:v>255.34293079958832</c:v>
                </c:pt>
                <c:pt idx="277">
                  <c:v>256.98679069061069</c:v>
                </c:pt>
                <c:pt idx="278">
                  <c:v>258.63388599731343</c:v>
                </c:pt>
                <c:pt idx="279">
                  <c:v>260.28419029765138</c:v>
                </c:pt>
                <c:pt idx="280">
                  <c:v>261.93767717877972</c:v>
                </c:pt>
                <c:pt idx="281">
                  <c:v>263.59432023732637</c:v>
                </c:pt>
                <c:pt idx="282">
                  <c:v>265.25409307966254</c:v>
                </c:pt>
                <c:pt idx="283">
                  <c:v>266.91696932217133</c:v>
                </c:pt>
                <c:pt idx="284">
                  <c:v>268.58292259151432</c:v>
                </c:pt>
                <c:pt idx="285">
                  <c:v>270.25192652489631</c:v>
                </c:pt>
                <c:pt idx="286">
                  <c:v>271.92395477032801</c:v>
                </c:pt>
                <c:pt idx="287">
                  <c:v>273.59898098688683</c:v>
                </c:pt>
                <c:pt idx="288">
                  <c:v>275.27697884497559</c:v>
                </c:pt>
                <c:pt idx="289">
                  <c:v>276.95792202657935</c:v>
                </c:pt>
                <c:pt idx="290">
                  <c:v>278.64178422552044</c:v>
                </c:pt>
                <c:pt idx="291">
                  <c:v>280.32853914771118</c:v>
                </c:pt>
                <c:pt idx="292">
                  <c:v>282.01816051140474</c:v>
                </c:pt>
                <c:pt idx="293">
                  <c:v>283.71062204744419</c:v>
                </c:pt>
                <c:pt idx="294">
                  <c:v>285.40589749950936</c:v>
                </c:pt>
                <c:pt idx="295">
                  <c:v>287.10396062436195</c:v>
                </c:pt>
                <c:pt idx="296">
                  <c:v>288.80478519208827</c:v>
                </c:pt>
                <c:pt idx="297">
                  <c:v>290.50834498634043</c:v>
                </c:pt>
                <c:pt idx="298">
                  <c:v>292.21459562740074</c:v>
                </c:pt>
                <c:pt idx="299">
                  <c:v>293.92345640434559</c:v>
                </c:pt>
                <c:pt idx="300">
                  <c:v>295.63482847891555</c:v>
                </c:pt>
                <c:pt idx="301">
                  <c:v>297.34861308113682</c:v>
                </c:pt>
                <c:pt idx="302">
                  <c:v>299.06471151124941</c:v>
                </c:pt>
                <c:pt idx="303">
                  <c:v>300.7830251416097</c:v>
                </c:pt>
                <c:pt idx="304">
                  <c:v>302.50345541856706</c:v>
                </c:pt>
                <c:pt idx="305">
                  <c:v>304.22590386431477</c:v>
                </c:pt>
                <c:pt idx="306">
                  <c:v>305.95027207871522</c:v>
                </c:pt>
                <c:pt idx="307">
                  <c:v>307.67646174109876</c:v>
                </c:pt>
                <c:pt idx="308">
                  <c:v>309.40437461203737</c:v>
                </c:pt>
                <c:pt idx="309">
                  <c:v>311.13391253509172</c:v>
                </c:pt>
                <c:pt idx="310">
                  <c:v>312.86497743853306</c:v>
                </c:pt>
                <c:pt idx="311">
                  <c:v>314.59747133703848</c:v>
                </c:pt>
                <c:pt idx="312">
                  <c:v>316.33129633336114</c:v>
                </c:pt>
                <c:pt idx="313">
                  <c:v>318.06635461997382</c:v>
                </c:pt>
                <c:pt idx="314">
                  <c:v>319.80254848068722</c:v>
                </c:pt>
                <c:pt idx="315">
                  <c:v>321.53978029224214</c:v>
                </c:pt>
                <c:pt idx="316">
                  <c:v>323.277952525876</c:v>
                </c:pt>
                <c:pt idx="317">
                  <c:v>325.01696774886341</c:v>
                </c:pt>
                <c:pt idx="318">
                  <c:v>326.75672862603125</c:v>
                </c:pt>
                <c:pt idx="319">
                  <c:v>328.49713792124788</c:v>
                </c:pt>
                <c:pt idx="320">
                  <c:v>330.23809849888659</c:v>
                </c:pt>
                <c:pt idx="321">
                  <c:v>331.97952054574768</c:v>
                </c:pt>
                <c:pt idx="322">
                  <c:v>333.72132878576565</c:v>
                </c:pt>
                <c:pt idx="323">
                  <c:v>335.46345524492074</c:v>
                </c:pt>
                <c:pt idx="324">
                  <c:v>337.20583202296518</c:v>
                </c:pt>
                <c:pt idx="325">
                  <c:v>338.94839129406768</c:v>
                </c:pt>
                <c:pt idx="326">
                  <c:v>340.6910653074454</c:v>
                </c:pt>
                <c:pt idx="327">
                  <c:v>342.43378638798373</c:v>
                </c:pt>
                <c:pt idx="328">
                  <c:v>344.17648693684345</c:v>
                </c:pt>
                <c:pt idx="329">
                  <c:v>345.91909943205548</c:v>
                </c:pt>
                <c:pt idx="330">
                  <c:v>347.66155642910371</c:v>
                </c:pt>
                <c:pt idx="331">
                  <c:v>349.40379056149516</c:v>
                </c:pt>
                <c:pt idx="332">
                  <c:v>351.14573454131818</c:v>
                </c:pt>
                <c:pt idx="333">
                  <c:v>352.88732115978831</c:v>
                </c:pt>
                <c:pt idx="334">
                  <c:v>354.62848328778222</c:v>
                </c:pt>
                <c:pt idx="335">
                  <c:v>356.36915387635946</c:v>
                </c:pt>
                <c:pt idx="336">
                  <c:v>358.1092659572721</c:v>
                </c:pt>
                <c:pt idx="337">
                  <c:v>359.84875264346272</c:v>
                </c:pt>
                <c:pt idx="338">
                  <c:v>361.58754712955016</c:v>
                </c:pt>
                <c:pt idx="339">
                  <c:v>363.32558269230356</c:v>
                </c:pt>
                <c:pt idx="340">
                  <c:v>365.06279269110468</c:v>
                </c:pt>
                <c:pt idx="341">
                  <c:v>366.79911056839825</c:v>
                </c:pt>
                <c:pt idx="342">
                  <c:v>368.53446985013079</c:v>
                </c:pt>
                <c:pt idx="343">
                  <c:v>370.26880414617773</c:v>
                </c:pt>
                <c:pt idx="344">
                  <c:v>372.0020471507591</c:v>
                </c:pt>
                <c:pt idx="345">
                  <c:v>373.73413264284341</c:v>
                </c:pt>
                <c:pt idx="346">
                  <c:v>375.46499448654032</c:v>
                </c:pt>
                <c:pt idx="347">
                  <c:v>377.19456663148173</c:v>
                </c:pt>
                <c:pt idx="348">
                  <c:v>378.92278389100528</c:v>
                </c:pt>
                <c:pt idx="349">
                  <c:v>380.64958271927298</c:v>
                </c:pt>
                <c:pt idx="350">
                  <c:v>382.37490043167992</c:v>
                </c:pt>
                <c:pt idx="351">
                  <c:v>384.09867442628308</c:v>
                </c:pt>
                <c:pt idx="352">
                  <c:v>385.82084218408227</c:v>
                </c:pt>
                <c:pt idx="353">
                  <c:v>387.5413412692908</c:v>
                </c:pt>
                <c:pt idx="354">
                  <c:v>389.26010932959645</c:v>
                </c:pt>
                <c:pt idx="355">
                  <c:v>390.97708409641268</c:v>
                </c:pt>
                <c:pt idx="356">
                  <c:v>392.69220338511985</c:v>
                </c:pt>
                <c:pt idx="357">
                  <c:v>394.40540509529683</c:v>
                </c:pt>
                <c:pt idx="358">
                  <c:v>396.11662721094297</c:v>
                </c:pt>
                <c:pt idx="359">
                  <c:v>397.82580780069031</c:v>
                </c:pt>
                <c:pt idx="360">
                  <c:v>399.53290118753068</c:v>
                </c:pt>
                <c:pt idx="361">
                  <c:v>401.23789409457908</c:v>
                </c:pt>
                <c:pt idx="362">
                  <c:v>402.94078942892975</c:v>
                </c:pt>
                <c:pt idx="363">
                  <c:v>404.64159008938776</c:v>
                </c:pt>
                <c:pt idx="364">
                  <c:v>406.34029896649952</c:v>
                </c:pt>
                <c:pt idx="365">
                  <c:v>408.03691894258321</c:v>
                </c:pt>
                <c:pt idx="366">
                  <c:v>409.73145289175909</c:v>
                </c:pt>
                <c:pt idx="367">
                  <c:v>411.42390367997967</c:v>
                </c:pt>
                <c:pt idx="368">
                  <c:v>413.11427416505956</c:v>
                </c:pt>
                <c:pt idx="369">
                  <c:v>414.80256719670552</c:v>
                </c:pt>
                <c:pt idx="370">
                  <c:v>416.48878561654618</c:v>
                </c:pt>
                <c:pt idx="371">
                  <c:v>418.17293225816144</c:v>
                </c:pt>
                <c:pt idx="372">
                  <c:v>419.85500994711202</c:v>
                </c:pt>
                <c:pt idx="373">
                  <c:v>421.53502150096887</c:v>
                </c:pt>
                <c:pt idx="374">
                  <c:v>423.21296972934221</c:v>
                </c:pt>
                <c:pt idx="375">
                  <c:v>424.88885743391057</c:v>
                </c:pt>
                <c:pt idx="376">
                  <c:v>426.56268740844979</c:v>
                </c:pt>
                <c:pt idx="377">
                  <c:v>428.23446243886167</c:v>
                </c:pt>
                <c:pt idx="378">
                  <c:v>429.90418530320267</c:v>
                </c:pt>
                <c:pt idx="379">
                  <c:v>431.57185877171247</c:v>
                </c:pt>
                <c:pt idx="380">
                  <c:v>433.23748560684214</c:v>
                </c:pt>
                <c:pt idx="381">
                  <c:v>434.90106856328259</c:v>
                </c:pt>
                <c:pt idx="382">
                  <c:v>436.56261038799261</c:v>
                </c:pt>
                <c:pt idx="383">
                  <c:v>438.22211382022675</c:v>
                </c:pt>
                <c:pt idx="384">
                  <c:v>439.87958159156329</c:v>
                </c:pt>
                <c:pt idx="385">
                  <c:v>441.53501642593193</c:v>
                </c:pt>
                <c:pt idx="386">
                  <c:v>443.18842103964136</c:v>
                </c:pt>
                <c:pt idx="387">
                  <c:v>444.83979814140667</c:v>
                </c:pt>
                <c:pt idx="388">
                  <c:v>446.48915043237685</c:v>
                </c:pt>
                <c:pt idx="389">
                  <c:v>448.1364806061618</c:v>
                </c:pt>
                <c:pt idx="390">
                  <c:v>449.7817913488596</c:v>
                </c:pt>
                <c:pt idx="391">
                  <c:v>451.42508533908335</c:v>
                </c:pt>
                <c:pt idx="392">
                  <c:v>453.06636524798802</c:v>
                </c:pt>
                <c:pt idx="393">
                  <c:v>454.70563373929724</c:v>
                </c:pt>
                <c:pt idx="394">
                  <c:v>456.34289346932991</c:v>
                </c:pt>
                <c:pt idx="395">
                  <c:v>457.97814708702646</c:v>
                </c:pt>
                <c:pt idx="396">
                  <c:v>459.61139723397554</c:v>
                </c:pt>
                <c:pt idx="397">
                  <c:v>461.24264654443994</c:v>
                </c:pt>
                <c:pt idx="398">
                  <c:v>462.87189764538289</c:v>
                </c:pt>
                <c:pt idx="399">
                  <c:v>464.49915315649395</c:v>
                </c:pt>
                <c:pt idx="400">
                  <c:v>466.12441569021502</c:v>
                </c:pt>
                <c:pt idx="401">
                  <c:v>482.26762909441067</c:v>
                </c:pt>
                <c:pt idx="402">
                  <c:v>498.21322366661008</c:v>
                </c:pt>
                <c:pt idx="403">
                  <c:v>513.96374087047525</c:v>
                </c:pt>
                <c:pt idx="404">
                  <c:v>529.5216531012386</c:v>
                </c:pt>
                <c:pt idx="405">
                  <c:v>544.88936607434357</c:v>
                </c:pt>
                <c:pt idx="406">
                  <c:v>560.06922110912296</c:v>
                </c:pt>
                <c:pt idx="407">
                  <c:v>575.06349731301066</c:v>
                </c:pt>
                <c:pt idx="408">
                  <c:v>589.87441367144777</c:v>
                </c:pt>
                <c:pt idx="409">
                  <c:v>604.5041310483316</c:v>
                </c:pt>
                <c:pt idx="410">
                  <c:v>618.95475410156632</c:v>
                </c:pt>
                <c:pt idx="411">
                  <c:v>633.2283331180048</c:v>
                </c:pt>
                <c:pt idx="412">
                  <c:v>647.32686577181698</c:v>
                </c:pt>
                <c:pt idx="413">
                  <c:v>661.25229881008613</c:v>
                </c:pt>
                <c:pt idx="414">
                  <c:v>675.00652966921575</c:v>
                </c:pt>
                <c:pt idx="415">
                  <c:v>688.59140802552099</c:v>
                </c:pt>
                <c:pt idx="416">
                  <c:v>702.00873728319118</c:v>
                </c:pt>
                <c:pt idx="417">
                  <c:v>715.26027600262648</c:v>
                </c:pt>
                <c:pt idx="418">
                  <c:v>728.34773927198694</c:v>
                </c:pt>
                <c:pt idx="419">
                  <c:v>741.27280002463226</c:v>
                </c:pt>
                <c:pt idx="420">
                  <c:v>754.0370903049851</c:v>
                </c:pt>
                <c:pt idx="421">
                  <c:v>766.64220248521178</c:v>
                </c:pt>
                <c:pt idx="422">
                  <c:v>779.08969043498473</c:v>
                </c:pt>
                <c:pt idx="423">
                  <c:v>791.38107064646954</c:v>
                </c:pt>
                <c:pt idx="424">
                  <c:v>803.51782331656466</c:v>
                </c:pt>
                <c:pt idx="425">
                  <c:v>815.50139338831616</c:v>
                </c:pt>
                <c:pt idx="426">
                  <c:v>827.3331915533272</c:v>
                </c:pt>
                <c:pt idx="427">
                  <c:v>839.01459521688798</c:v>
                </c:pt>
                <c:pt idx="428">
                  <c:v>850.54694942746346</c:v>
                </c:pt>
                <c:pt idx="429">
                  <c:v>861.93156777209072</c:v>
                </c:pt>
                <c:pt idx="430">
                  <c:v>873.16973323916022</c:v>
                </c:pt>
                <c:pt idx="431">
                  <c:v>884.26269904997946</c:v>
                </c:pt>
                <c:pt idx="432">
                  <c:v>895.21168946044918</c:v>
                </c:pt>
                <c:pt idx="433">
                  <c:v>906.01790053411366</c:v>
                </c:pt>
                <c:pt idx="434">
                  <c:v>916.68250088778677</c:v>
                </c:pt>
                <c:pt idx="435">
                  <c:v>927.20663241089471</c:v>
                </c:pt>
                <c:pt idx="436">
                  <c:v>937.59141095962218</c:v>
                </c:pt>
                <c:pt idx="437">
                  <c:v>947.83792702689436</c:v>
                </c:pt>
                <c:pt idx="438">
                  <c:v>957.94724638918046</c:v>
                </c:pt>
                <c:pt idx="439">
                  <c:v>967.92041073105418</c:v>
                </c:pt>
                <c:pt idx="440">
                  <c:v>977.7584382484049</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yVal>
          <c:smooth val="0"/>
          <c:extLst>
            <c:ext xmlns:c16="http://schemas.microsoft.com/office/drawing/2014/chart" uri="{C3380CC4-5D6E-409C-BE32-E72D297353CC}">
              <c16:uniqueId val="{00000007-897D-40A6-9E02-3FCC294006C5}"/>
            </c:ext>
          </c:extLst>
        </c:ser>
        <c:ser>
          <c:idx val="6"/>
          <c:order val="6"/>
          <c:tx>
            <c:strRef>
              <c:f>Trajecto!$B$106</c:f>
              <c:strCache>
                <c:ptCount val="1"/>
                <c:pt idx="0">
                  <c:v>Phase ascendante</c:v>
                </c:pt>
              </c:strCache>
            </c:strRef>
          </c:tx>
          <c:spPr>
            <a:ln w="28575">
              <a:noFill/>
            </a:ln>
          </c:spPr>
          <c:marker>
            <c:symbol val="none"/>
          </c:marker>
          <c:dLbls>
            <c:spPr>
              <a:noFill/>
              <a:ln w="25400">
                <a:noFill/>
              </a:ln>
            </c:spPr>
            <c:txPr>
              <a:bodyPr/>
              <a:lstStyle/>
              <a:p>
                <a:pPr>
                  <a:defRPr sz="700" b="1" i="0" u="none" strike="noStrike" baseline="0">
                    <a:solidFill>
                      <a:srgbClr val="000080"/>
                    </a:solidFill>
                    <a:latin typeface="Arial"/>
                    <a:ea typeface="Arial"/>
                    <a:cs typeface="Arial"/>
                  </a:defRPr>
                </a:pPr>
                <a:endParaRPr lang="fr-FR"/>
              </a:p>
            </c:txP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Trajecto!$B$157</c:f>
              <c:numCache>
                <c:formatCode>General</c:formatCode>
                <c:ptCount val="1"/>
                <c:pt idx="0">
                  <c:v>2</c:v>
                </c:pt>
              </c:numCache>
            </c:numRef>
          </c:xVal>
          <c:yVal>
            <c:numRef>
              <c:f>Trajecto!$C$155</c:f>
              <c:numCache>
                <c:formatCode>0</c:formatCode>
                <c:ptCount val="1"/>
                <c:pt idx="0">
                  <c:v>488.87921912420245</c:v>
                </c:pt>
              </c:numCache>
            </c:numRef>
          </c:yVal>
          <c:smooth val="0"/>
          <c:extLst>
            <c:ext xmlns:c16="http://schemas.microsoft.com/office/drawing/2014/chart" uri="{C3380CC4-5D6E-409C-BE32-E72D297353CC}">
              <c16:uniqueId val="{00000008-897D-40A6-9E02-3FCC294006C5}"/>
            </c:ext>
          </c:extLst>
        </c:ser>
        <c:ser>
          <c:idx val="7"/>
          <c:order val="7"/>
          <c:tx>
            <c:strRef>
              <c:f>Trajecto!$B$107</c:f>
              <c:strCache>
                <c:ptCount val="1"/>
                <c:pt idx="0">
                  <c:v>Descente balistique</c:v>
                </c:pt>
              </c:strCache>
            </c:strRef>
          </c:tx>
          <c:spPr>
            <a:ln w="28575">
              <a:noFill/>
            </a:ln>
          </c:spPr>
          <c:marker>
            <c:symbol val="none"/>
          </c:marker>
          <c:dLbls>
            <c:spPr>
              <a:noFill/>
              <a:ln w="25400">
                <a:noFill/>
              </a:ln>
            </c:spPr>
            <c:txPr>
              <a:bodyPr/>
              <a:lstStyle/>
              <a:p>
                <a:pPr>
                  <a:defRPr sz="700" b="1" i="0" u="none" strike="noStrike" baseline="0">
                    <a:solidFill>
                      <a:srgbClr val="808080"/>
                    </a:solidFill>
                    <a:latin typeface="Arial"/>
                    <a:ea typeface="Arial"/>
                    <a:cs typeface="Arial"/>
                  </a:defRPr>
                </a:pPr>
                <a:endParaRPr lang="fr-FR"/>
              </a:p>
            </c:txP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Trajecto!$B$158</c:f>
              <c:numCache>
                <c:formatCode>General</c:formatCode>
                <c:ptCount val="1"/>
                <c:pt idx="0">
                  <c:v>26.100000000000058</c:v>
                </c:pt>
              </c:numCache>
            </c:numRef>
          </c:xVal>
          <c:yVal>
            <c:numRef>
              <c:f>Trajecto!$C$156</c:f>
              <c:numCache>
                <c:formatCode>0</c:formatCode>
                <c:ptCount val="1"/>
                <c:pt idx="0">
                  <c:v>695.2115245862916</c:v>
                </c:pt>
              </c:numCache>
            </c:numRef>
          </c:yVal>
          <c:smooth val="0"/>
          <c:extLst>
            <c:ext xmlns:c16="http://schemas.microsoft.com/office/drawing/2014/chart" uri="{C3380CC4-5D6E-409C-BE32-E72D297353CC}">
              <c16:uniqueId val="{00000009-897D-40A6-9E02-3FCC294006C5}"/>
            </c:ext>
          </c:extLst>
        </c:ser>
        <c:dLbls>
          <c:showLegendKey val="0"/>
          <c:showVal val="0"/>
          <c:showCatName val="0"/>
          <c:showSerName val="0"/>
          <c:showPercent val="0"/>
          <c:showBubbleSize val="0"/>
        </c:dLbls>
        <c:axId val="149275008"/>
        <c:axId val="149276928"/>
      </c:scatterChart>
      <c:valAx>
        <c:axId val="149275008"/>
        <c:scaling>
          <c:orientation val="minMax"/>
          <c:min val="0"/>
        </c:scaling>
        <c:delete val="0"/>
        <c:axPos val="b"/>
        <c:majorGridlines>
          <c:spPr>
            <a:ln w="3175">
              <a:solidFill>
                <a:srgbClr val="000000"/>
              </a:solidFill>
              <a:prstDash val="sysDash"/>
            </a:ln>
          </c:spPr>
        </c:majorGridlines>
        <c:title>
          <c:tx>
            <c:strRef>
              <c:f>Trajecto!$B$112</c:f>
              <c:strCache>
                <c:ptCount val="1"/>
                <c:pt idx="0">
                  <c:v>Temps [s]</c:v>
                </c:pt>
              </c:strCache>
            </c:strRef>
          </c:tx>
          <c:layout>
            <c:manualLayout>
              <c:xMode val="edge"/>
              <c:yMode val="edge"/>
              <c:x val="0.60555551848391842"/>
              <c:y val="0.8513930569999506"/>
            </c:manualLayout>
          </c:layout>
          <c:overlay val="0"/>
          <c:spPr>
            <a:solidFill>
              <a:srgbClr val="FFFFFF"/>
            </a:solidFill>
            <a:ln w="25400">
              <a:noFill/>
            </a:ln>
          </c:spPr>
          <c:txPr>
            <a:bodyPr/>
            <a:lstStyle/>
            <a:p>
              <a:pPr>
                <a:defRPr sz="800" b="1" i="0" u="none" strike="noStrike" baseline="0">
                  <a:solidFill>
                    <a:srgbClr val="0000FF"/>
                  </a:solidFill>
                  <a:latin typeface="Arial"/>
                  <a:ea typeface="Arial"/>
                  <a:cs typeface="Arial"/>
                </a:defRPr>
              </a:pPr>
              <a:endParaRPr lang="fr-FR"/>
            </a:p>
          </c:txPr>
        </c:title>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9276928"/>
        <c:crosses val="autoZero"/>
        <c:crossBetween val="midCat"/>
      </c:valAx>
      <c:valAx>
        <c:axId val="149276928"/>
        <c:scaling>
          <c:orientation val="minMax"/>
          <c:min val="0"/>
        </c:scaling>
        <c:delete val="0"/>
        <c:axPos val="l"/>
        <c:majorGridlines>
          <c:spPr>
            <a:ln w="3175">
              <a:solidFill>
                <a:srgbClr val="000000"/>
              </a:solidFill>
              <a:prstDash val="sysDash"/>
            </a:ln>
          </c:spPr>
        </c:majorGridlines>
        <c:title>
          <c:tx>
            <c:rich>
              <a:bodyPr/>
              <a:lstStyle/>
              <a:p>
                <a:pPr>
                  <a:defRPr sz="800" b="1" i="0" u="none" strike="noStrike" baseline="0">
                    <a:solidFill>
                      <a:srgbClr val="0000FF"/>
                    </a:solidFill>
                    <a:latin typeface="Arial"/>
                    <a:ea typeface="Arial"/>
                    <a:cs typeface="Arial"/>
                  </a:defRPr>
                </a:pPr>
                <a:r>
                  <a:rPr lang="fr-FR"/>
                  <a:t>Altitude z [m]</a:t>
                </a:r>
              </a:p>
            </c:rich>
          </c:tx>
          <c:layout>
            <c:manualLayout>
              <c:xMode val="edge"/>
              <c:yMode val="edge"/>
              <c:x val="9.0000333644735087E-2"/>
              <c:y val="6.8111391736410315E-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9275008"/>
        <c:crosses val="autoZero"/>
        <c:crossBetween val="midCat"/>
      </c:valAx>
      <c:spPr>
        <a:gradFill rotWithShape="0">
          <a:gsLst>
            <a:gs pos="0">
              <a:srgbClr val="99CCFF"/>
            </a:gs>
            <a:gs pos="100000">
              <a:srgbClr val="FFFFFF"/>
            </a:gs>
          </a:gsLst>
          <a:lin ang="5400000" scaled="1"/>
        </a:gradFill>
        <a:ln w="12700">
          <a:solidFill>
            <a:srgbClr val="80808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1180555555555562" footer="0.51180555555555562"/>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FR"/>
              <a:t>Forces</a:t>
            </a:r>
          </a:p>
        </c:rich>
      </c:tx>
      <c:overlay val="1"/>
    </c:title>
    <c:autoTitleDeleted val="0"/>
    <c:plotArea>
      <c:layout>
        <c:manualLayout>
          <c:layoutTarget val="inner"/>
          <c:xMode val="edge"/>
          <c:yMode val="edge"/>
          <c:x val="0.11674528301886802"/>
          <c:y val="9.4771544282144501E-2"/>
          <c:w val="0.86438679245283023"/>
          <c:h val="0.74183243282920064"/>
        </c:manualLayout>
      </c:layout>
      <c:scatterChart>
        <c:scatterStyle val="lineMarker"/>
        <c:varyColors val="0"/>
        <c:ser>
          <c:idx val="1"/>
          <c:order val="0"/>
          <c:tx>
            <c:strRef>
              <c:f>Courbes!$B$134</c:f>
              <c:strCache>
                <c:ptCount val="1"/>
                <c:pt idx="0">
                  <c:v>Poussée</c:v>
                </c:pt>
              </c:strCache>
            </c:strRef>
          </c:tx>
          <c:spPr>
            <a:ln w="25400">
              <a:solidFill>
                <a:srgbClr val="00800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Calculs!$Q$4:$Q$1004</c:f>
              <c:numCache>
                <c:formatCode>0.00</c:formatCode>
                <c:ptCount val="1001"/>
                <c:pt idx="0">
                  <c:v>0</c:v>
                </c:pt>
                <c:pt idx="1">
                  <c:v>89.3</c:v>
                </c:pt>
                <c:pt idx="2">
                  <c:v>267.89999999999998</c:v>
                </c:pt>
                <c:pt idx="3">
                  <c:v>446.49999999999994</c:v>
                </c:pt>
                <c:pt idx="4">
                  <c:v>625.1</c:v>
                </c:pt>
                <c:pt idx="5">
                  <c:v>803.7</c:v>
                </c:pt>
                <c:pt idx="6">
                  <c:v>891.94444444444446</c:v>
                </c:pt>
                <c:pt idx="7">
                  <c:v>889.83333333333337</c:v>
                </c:pt>
                <c:pt idx="8">
                  <c:v>887.72222222222217</c:v>
                </c:pt>
                <c:pt idx="9">
                  <c:v>885.61111111111109</c:v>
                </c:pt>
                <c:pt idx="10">
                  <c:v>883.5</c:v>
                </c:pt>
                <c:pt idx="11">
                  <c:v>881.38888888888891</c:v>
                </c:pt>
                <c:pt idx="12">
                  <c:v>879.27777777777783</c:v>
                </c:pt>
                <c:pt idx="13">
                  <c:v>877.16666666666663</c:v>
                </c:pt>
                <c:pt idx="14">
                  <c:v>875.05555555555554</c:v>
                </c:pt>
                <c:pt idx="15">
                  <c:v>872.94444444444446</c:v>
                </c:pt>
                <c:pt idx="16">
                  <c:v>870.83333333333337</c:v>
                </c:pt>
                <c:pt idx="17">
                  <c:v>868.72222222222217</c:v>
                </c:pt>
                <c:pt idx="18">
                  <c:v>866.61111111111109</c:v>
                </c:pt>
                <c:pt idx="19">
                  <c:v>864.5</c:v>
                </c:pt>
                <c:pt idx="20">
                  <c:v>862.38888888888891</c:v>
                </c:pt>
                <c:pt idx="21">
                  <c:v>860.27777777777783</c:v>
                </c:pt>
                <c:pt idx="22">
                  <c:v>858.16666666666663</c:v>
                </c:pt>
                <c:pt idx="23">
                  <c:v>856.05555555555554</c:v>
                </c:pt>
                <c:pt idx="24">
                  <c:v>853.94444444444446</c:v>
                </c:pt>
                <c:pt idx="25">
                  <c:v>851.83333333333337</c:v>
                </c:pt>
                <c:pt idx="26">
                  <c:v>849.72222222222217</c:v>
                </c:pt>
                <c:pt idx="27">
                  <c:v>847.61111111111109</c:v>
                </c:pt>
                <c:pt idx="28">
                  <c:v>845.5</c:v>
                </c:pt>
                <c:pt idx="29">
                  <c:v>843.38888888888891</c:v>
                </c:pt>
                <c:pt idx="30">
                  <c:v>841.27777777777771</c:v>
                </c:pt>
                <c:pt idx="31">
                  <c:v>839.16666666666663</c:v>
                </c:pt>
                <c:pt idx="32">
                  <c:v>837.05555555555554</c:v>
                </c:pt>
                <c:pt idx="33">
                  <c:v>834.94444444444446</c:v>
                </c:pt>
                <c:pt idx="34">
                  <c:v>832.83333333333326</c:v>
                </c:pt>
                <c:pt idx="35">
                  <c:v>830.72222222222217</c:v>
                </c:pt>
                <c:pt idx="36">
                  <c:v>828.61111111111109</c:v>
                </c:pt>
                <c:pt idx="37">
                  <c:v>826.5</c:v>
                </c:pt>
                <c:pt idx="38">
                  <c:v>824.38888888888891</c:v>
                </c:pt>
                <c:pt idx="39">
                  <c:v>822.27777777777771</c:v>
                </c:pt>
                <c:pt idx="40">
                  <c:v>820.16666666666663</c:v>
                </c:pt>
                <c:pt idx="41">
                  <c:v>818.05555555555554</c:v>
                </c:pt>
                <c:pt idx="42">
                  <c:v>815.94444444444434</c:v>
                </c:pt>
                <c:pt idx="43">
                  <c:v>813.83333333333326</c:v>
                </c:pt>
                <c:pt idx="44">
                  <c:v>811.72222222222217</c:v>
                </c:pt>
                <c:pt idx="45">
                  <c:v>809.61111111111109</c:v>
                </c:pt>
                <c:pt idx="46">
                  <c:v>807.5</c:v>
                </c:pt>
                <c:pt idx="47">
                  <c:v>805.3888888888888</c:v>
                </c:pt>
                <c:pt idx="48">
                  <c:v>803.27777777777771</c:v>
                </c:pt>
                <c:pt idx="49">
                  <c:v>801.16666666666663</c:v>
                </c:pt>
                <c:pt idx="50">
                  <c:v>799.05555555555554</c:v>
                </c:pt>
                <c:pt idx="51">
                  <c:v>797.41</c:v>
                </c:pt>
                <c:pt idx="52">
                  <c:v>796.23</c:v>
                </c:pt>
                <c:pt idx="53">
                  <c:v>795.05</c:v>
                </c:pt>
                <c:pt idx="54">
                  <c:v>793.87</c:v>
                </c:pt>
                <c:pt idx="55">
                  <c:v>792.68999999999994</c:v>
                </c:pt>
                <c:pt idx="56">
                  <c:v>791.51</c:v>
                </c:pt>
                <c:pt idx="57">
                  <c:v>790.32999999999993</c:v>
                </c:pt>
                <c:pt idx="58">
                  <c:v>789.15</c:v>
                </c:pt>
                <c:pt idx="59">
                  <c:v>787.96999999999991</c:v>
                </c:pt>
                <c:pt idx="60">
                  <c:v>786.79</c:v>
                </c:pt>
                <c:pt idx="61">
                  <c:v>785.61</c:v>
                </c:pt>
                <c:pt idx="62">
                  <c:v>784.43</c:v>
                </c:pt>
                <c:pt idx="63">
                  <c:v>783.25</c:v>
                </c:pt>
                <c:pt idx="64">
                  <c:v>782.06999999999994</c:v>
                </c:pt>
                <c:pt idx="65">
                  <c:v>780.89</c:v>
                </c:pt>
                <c:pt idx="66">
                  <c:v>779.70999999999992</c:v>
                </c:pt>
                <c:pt idx="67">
                  <c:v>778.53</c:v>
                </c:pt>
                <c:pt idx="68">
                  <c:v>777.34999999999991</c:v>
                </c:pt>
                <c:pt idx="69">
                  <c:v>776.17</c:v>
                </c:pt>
                <c:pt idx="70">
                  <c:v>774.99</c:v>
                </c:pt>
                <c:pt idx="71">
                  <c:v>773.81</c:v>
                </c:pt>
                <c:pt idx="72">
                  <c:v>772.63</c:v>
                </c:pt>
                <c:pt idx="73">
                  <c:v>771.44999999999993</c:v>
                </c:pt>
                <c:pt idx="74">
                  <c:v>770.27</c:v>
                </c:pt>
                <c:pt idx="75">
                  <c:v>769.08999999999992</c:v>
                </c:pt>
                <c:pt idx="76">
                  <c:v>767.91</c:v>
                </c:pt>
                <c:pt idx="77">
                  <c:v>766.7299999999999</c:v>
                </c:pt>
                <c:pt idx="78">
                  <c:v>765.55</c:v>
                </c:pt>
                <c:pt idx="79">
                  <c:v>764.36999999999989</c:v>
                </c:pt>
                <c:pt idx="80">
                  <c:v>763.18999999999994</c:v>
                </c:pt>
                <c:pt idx="81">
                  <c:v>762.01</c:v>
                </c:pt>
                <c:pt idx="82">
                  <c:v>760.82999999999993</c:v>
                </c:pt>
                <c:pt idx="83">
                  <c:v>759.65</c:v>
                </c:pt>
                <c:pt idx="84">
                  <c:v>758.46999999999991</c:v>
                </c:pt>
                <c:pt idx="85">
                  <c:v>757.29</c:v>
                </c:pt>
                <c:pt idx="86">
                  <c:v>756.1099999999999</c:v>
                </c:pt>
                <c:pt idx="87">
                  <c:v>754.93</c:v>
                </c:pt>
                <c:pt idx="88">
                  <c:v>753.74999999999989</c:v>
                </c:pt>
                <c:pt idx="89">
                  <c:v>752.56999999999994</c:v>
                </c:pt>
                <c:pt idx="90">
                  <c:v>751.38999999999987</c:v>
                </c:pt>
                <c:pt idx="91">
                  <c:v>750.20999999999992</c:v>
                </c:pt>
                <c:pt idx="92">
                  <c:v>749.03</c:v>
                </c:pt>
                <c:pt idx="93">
                  <c:v>747.84999999999991</c:v>
                </c:pt>
                <c:pt idx="94">
                  <c:v>746.67</c:v>
                </c:pt>
                <c:pt idx="95">
                  <c:v>745.4899999999999</c:v>
                </c:pt>
                <c:pt idx="96">
                  <c:v>744.31</c:v>
                </c:pt>
                <c:pt idx="97">
                  <c:v>743.12999999999988</c:v>
                </c:pt>
                <c:pt idx="98">
                  <c:v>741.94999999999993</c:v>
                </c:pt>
                <c:pt idx="99">
                  <c:v>740.77</c:v>
                </c:pt>
                <c:pt idx="100">
                  <c:v>739.58999999999992</c:v>
                </c:pt>
                <c:pt idx="101">
                  <c:v>738.19999999999982</c:v>
                </c:pt>
                <c:pt idx="102">
                  <c:v>736.59999999999991</c:v>
                </c:pt>
                <c:pt idx="103">
                  <c:v>734.99999999999989</c:v>
                </c:pt>
                <c:pt idx="104">
                  <c:v>733.39999999999986</c:v>
                </c:pt>
                <c:pt idx="105">
                  <c:v>731.79999999999984</c:v>
                </c:pt>
                <c:pt idx="106">
                  <c:v>730.19999999999982</c:v>
                </c:pt>
                <c:pt idx="107">
                  <c:v>728.59999999999991</c:v>
                </c:pt>
                <c:pt idx="108">
                  <c:v>726.99999999999989</c:v>
                </c:pt>
                <c:pt idx="109">
                  <c:v>725.39999999999986</c:v>
                </c:pt>
                <c:pt idx="110">
                  <c:v>723.79999999999984</c:v>
                </c:pt>
                <c:pt idx="111">
                  <c:v>722.19999999999982</c:v>
                </c:pt>
                <c:pt idx="112">
                  <c:v>720.59999999999991</c:v>
                </c:pt>
                <c:pt idx="113">
                  <c:v>718.99999999999989</c:v>
                </c:pt>
                <c:pt idx="114">
                  <c:v>717.39999999999986</c:v>
                </c:pt>
                <c:pt idx="115">
                  <c:v>715.79999999999984</c:v>
                </c:pt>
                <c:pt idx="116">
                  <c:v>714.19999999999982</c:v>
                </c:pt>
                <c:pt idx="117">
                  <c:v>712.59999999999991</c:v>
                </c:pt>
                <c:pt idx="118">
                  <c:v>710.99999999999989</c:v>
                </c:pt>
                <c:pt idx="119">
                  <c:v>709.39999999999986</c:v>
                </c:pt>
                <c:pt idx="120">
                  <c:v>707.79999999999984</c:v>
                </c:pt>
                <c:pt idx="121">
                  <c:v>706.19999999999982</c:v>
                </c:pt>
                <c:pt idx="122">
                  <c:v>704.5999999999998</c:v>
                </c:pt>
                <c:pt idx="123">
                  <c:v>702.99999999999989</c:v>
                </c:pt>
                <c:pt idx="124">
                  <c:v>701.39999999999986</c:v>
                </c:pt>
                <c:pt idx="125">
                  <c:v>699.79999999999984</c:v>
                </c:pt>
                <c:pt idx="126">
                  <c:v>698.19999999999982</c:v>
                </c:pt>
                <c:pt idx="127">
                  <c:v>696.5999999999998</c:v>
                </c:pt>
                <c:pt idx="128">
                  <c:v>694.99999999999989</c:v>
                </c:pt>
                <c:pt idx="129">
                  <c:v>693.39999999999986</c:v>
                </c:pt>
                <c:pt idx="130">
                  <c:v>691.79999999999984</c:v>
                </c:pt>
                <c:pt idx="131">
                  <c:v>690.19999999999982</c:v>
                </c:pt>
                <c:pt idx="132">
                  <c:v>688.5999999999998</c:v>
                </c:pt>
                <c:pt idx="133">
                  <c:v>686.99999999999977</c:v>
                </c:pt>
                <c:pt idx="134">
                  <c:v>685.39999999999986</c:v>
                </c:pt>
                <c:pt idx="135">
                  <c:v>683.79999999999984</c:v>
                </c:pt>
                <c:pt idx="136">
                  <c:v>682.19999999999982</c:v>
                </c:pt>
                <c:pt idx="137">
                  <c:v>680.5999999999998</c:v>
                </c:pt>
                <c:pt idx="138">
                  <c:v>678.99999999999977</c:v>
                </c:pt>
                <c:pt idx="139">
                  <c:v>677.39999999999986</c:v>
                </c:pt>
                <c:pt idx="140">
                  <c:v>675.79999999999984</c:v>
                </c:pt>
                <c:pt idx="141">
                  <c:v>674.19999999999982</c:v>
                </c:pt>
                <c:pt idx="142">
                  <c:v>672.5999999999998</c:v>
                </c:pt>
                <c:pt idx="143">
                  <c:v>670.99999999999977</c:v>
                </c:pt>
                <c:pt idx="144">
                  <c:v>669.39999999999986</c:v>
                </c:pt>
                <c:pt idx="145">
                  <c:v>667.79999999999984</c:v>
                </c:pt>
                <c:pt idx="146">
                  <c:v>666.19999999999982</c:v>
                </c:pt>
                <c:pt idx="147">
                  <c:v>664.5999999999998</c:v>
                </c:pt>
                <c:pt idx="148">
                  <c:v>662.99999999999977</c:v>
                </c:pt>
                <c:pt idx="149">
                  <c:v>661.39999999999986</c:v>
                </c:pt>
                <c:pt idx="150">
                  <c:v>659.79999999999984</c:v>
                </c:pt>
                <c:pt idx="151">
                  <c:v>658.26999999999987</c:v>
                </c:pt>
                <c:pt idx="152">
                  <c:v>656.80999999999983</c:v>
                </c:pt>
                <c:pt idx="153">
                  <c:v>655.3499999999998</c:v>
                </c:pt>
                <c:pt idx="154">
                  <c:v>653.88999999999987</c:v>
                </c:pt>
                <c:pt idx="155">
                  <c:v>652.42999999999984</c:v>
                </c:pt>
                <c:pt idx="156">
                  <c:v>650.9699999999998</c:v>
                </c:pt>
                <c:pt idx="157">
                  <c:v>649.50999999999976</c:v>
                </c:pt>
                <c:pt idx="158">
                  <c:v>648.04999999999984</c:v>
                </c:pt>
                <c:pt idx="159">
                  <c:v>646.5899999999998</c:v>
                </c:pt>
                <c:pt idx="160">
                  <c:v>645.12999999999977</c:v>
                </c:pt>
                <c:pt idx="161">
                  <c:v>643.66999999999985</c:v>
                </c:pt>
                <c:pt idx="162">
                  <c:v>642.20999999999981</c:v>
                </c:pt>
                <c:pt idx="163">
                  <c:v>640.74999999999977</c:v>
                </c:pt>
                <c:pt idx="164">
                  <c:v>639.28999999999985</c:v>
                </c:pt>
                <c:pt idx="165">
                  <c:v>637.82999999999981</c:v>
                </c:pt>
                <c:pt idx="166">
                  <c:v>636.36999999999978</c:v>
                </c:pt>
                <c:pt idx="167">
                  <c:v>634.90999999999985</c:v>
                </c:pt>
                <c:pt idx="168">
                  <c:v>633.44999999999982</c:v>
                </c:pt>
                <c:pt idx="169">
                  <c:v>631.98999999999978</c:v>
                </c:pt>
                <c:pt idx="170">
                  <c:v>630.52999999999975</c:v>
                </c:pt>
                <c:pt idx="171">
                  <c:v>629.06999999999982</c:v>
                </c:pt>
                <c:pt idx="172">
                  <c:v>627.60999999999979</c:v>
                </c:pt>
                <c:pt idx="173">
                  <c:v>626.14999999999975</c:v>
                </c:pt>
                <c:pt idx="174">
                  <c:v>624.68999999999983</c:v>
                </c:pt>
                <c:pt idx="175">
                  <c:v>623.22999999999979</c:v>
                </c:pt>
                <c:pt idx="176">
                  <c:v>621.76999999999975</c:v>
                </c:pt>
                <c:pt idx="177">
                  <c:v>620.30999999999983</c:v>
                </c:pt>
                <c:pt idx="178">
                  <c:v>618.8499999999998</c:v>
                </c:pt>
                <c:pt idx="179">
                  <c:v>617.38999999999976</c:v>
                </c:pt>
                <c:pt idx="180">
                  <c:v>615.92999999999984</c:v>
                </c:pt>
                <c:pt idx="181">
                  <c:v>614.4699999999998</c:v>
                </c:pt>
                <c:pt idx="182">
                  <c:v>613.00999999999976</c:v>
                </c:pt>
                <c:pt idx="183">
                  <c:v>611.54999999999973</c:v>
                </c:pt>
                <c:pt idx="184">
                  <c:v>610.0899999999998</c:v>
                </c:pt>
                <c:pt idx="185">
                  <c:v>608.62999999999977</c:v>
                </c:pt>
                <c:pt idx="186">
                  <c:v>607.16999999999973</c:v>
                </c:pt>
                <c:pt idx="187">
                  <c:v>605.70999999999981</c:v>
                </c:pt>
                <c:pt idx="188">
                  <c:v>604.24999999999977</c:v>
                </c:pt>
                <c:pt idx="189">
                  <c:v>602.78999999999974</c:v>
                </c:pt>
                <c:pt idx="190">
                  <c:v>601.32999999999981</c:v>
                </c:pt>
                <c:pt idx="191">
                  <c:v>599.86999999999978</c:v>
                </c:pt>
                <c:pt idx="192">
                  <c:v>598.40999999999974</c:v>
                </c:pt>
                <c:pt idx="193">
                  <c:v>596.94999999999982</c:v>
                </c:pt>
                <c:pt idx="194">
                  <c:v>595.48999999999978</c:v>
                </c:pt>
                <c:pt idx="195">
                  <c:v>594.02999999999975</c:v>
                </c:pt>
                <c:pt idx="196">
                  <c:v>592.56999999999971</c:v>
                </c:pt>
                <c:pt idx="197">
                  <c:v>591.10999999999979</c:v>
                </c:pt>
                <c:pt idx="198">
                  <c:v>589.64999999999975</c:v>
                </c:pt>
                <c:pt idx="199">
                  <c:v>588.18999999999971</c:v>
                </c:pt>
                <c:pt idx="200">
                  <c:v>586.72999999999979</c:v>
                </c:pt>
                <c:pt idx="201">
                  <c:v>585.26999999999987</c:v>
                </c:pt>
                <c:pt idx="202">
                  <c:v>583.80999999999983</c:v>
                </c:pt>
                <c:pt idx="203">
                  <c:v>582.34999999999991</c:v>
                </c:pt>
                <c:pt idx="204">
                  <c:v>580.88999999999987</c:v>
                </c:pt>
                <c:pt idx="205">
                  <c:v>579.42999999999995</c:v>
                </c:pt>
                <c:pt idx="206">
                  <c:v>577.97</c:v>
                </c:pt>
                <c:pt idx="207">
                  <c:v>576.51</c:v>
                </c:pt>
                <c:pt idx="208">
                  <c:v>575.05000000000007</c:v>
                </c:pt>
                <c:pt idx="209">
                  <c:v>573.59</c:v>
                </c:pt>
                <c:pt idx="210">
                  <c:v>572.13000000000011</c:v>
                </c:pt>
                <c:pt idx="211">
                  <c:v>570.67000000000019</c:v>
                </c:pt>
                <c:pt idx="212">
                  <c:v>569.21000000000015</c:v>
                </c:pt>
                <c:pt idx="213">
                  <c:v>567.75000000000023</c:v>
                </c:pt>
                <c:pt idx="214">
                  <c:v>566.29000000000019</c:v>
                </c:pt>
                <c:pt idx="215">
                  <c:v>564.83000000000027</c:v>
                </c:pt>
                <c:pt idx="216">
                  <c:v>563.37000000000035</c:v>
                </c:pt>
                <c:pt idx="217">
                  <c:v>561.91000000000031</c:v>
                </c:pt>
                <c:pt idx="218">
                  <c:v>560.45000000000039</c:v>
                </c:pt>
                <c:pt idx="219">
                  <c:v>558.99000000000035</c:v>
                </c:pt>
                <c:pt idx="220">
                  <c:v>557.53000000000043</c:v>
                </c:pt>
                <c:pt idx="221">
                  <c:v>556.07000000000039</c:v>
                </c:pt>
                <c:pt idx="222">
                  <c:v>554.61000000000047</c:v>
                </c:pt>
                <c:pt idx="223">
                  <c:v>553.15000000000055</c:v>
                </c:pt>
                <c:pt idx="224">
                  <c:v>551.69000000000051</c:v>
                </c:pt>
                <c:pt idx="225">
                  <c:v>550.23000000000059</c:v>
                </c:pt>
                <c:pt idx="226">
                  <c:v>548.77000000000055</c:v>
                </c:pt>
                <c:pt idx="227">
                  <c:v>547.31000000000063</c:v>
                </c:pt>
                <c:pt idx="228">
                  <c:v>545.8500000000007</c:v>
                </c:pt>
                <c:pt idx="229">
                  <c:v>544.39000000000067</c:v>
                </c:pt>
                <c:pt idx="230">
                  <c:v>542.93000000000075</c:v>
                </c:pt>
                <c:pt idx="231">
                  <c:v>541.47000000000071</c:v>
                </c:pt>
                <c:pt idx="232">
                  <c:v>540.01000000000079</c:v>
                </c:pt>
                <c:pt idx="233">
                  <c:v>538.55000000000086</c:v>
                </c:pt>
                <c:pt idx="234">
                  <c:v>537.09000000000083</c:v>
                </c:pt>
                <c:pt idx="235">
                  <c:v>535.6300000000009</c:v>
                </c:pt>
                <c:pt idx="236">
                  <c:v>534.17000000000087</c:v>
                </c:pt>
                <c:pt idx="237">
                  <c:v>532.71000000000095</c:v>
                </c:pt>
                <c:pt idx="238">
                  <c:v>531.25000000000102</c:v>
                </c:pt>
                <c:pt idx="239">
                  <c:v>529.79000000000099</c:v>
                </c:pt>
                <c:pt idx="240">
                  <c:v>528.33000000000106</c:v>
                </c:pt>
                <c:pt idx="241">
                  <c:v>526.87000000000103</c:v>
                </c:pt>
                <c:pt idx="242">
                  <c:v>525.41000000000111</c:v>
                </c:pt>
                <c:pt idx="243">
                  <c:v>523.95000000000118</c:v>
                </c:pt>
                <c:pt idx="244">
                  <c:v>522.49000000000115</c:v>
                </c:pt>
                <c:pt idx="245">
                  <c:v>521.03000000000122</c:v>
                </c:pt>
                <c:pt idx="246">
                  <c:v>519.57000000000119</c:v>
                </c:pt>
                <c:pt idx="247">
                  <c:v>518.11000000000126</c:v>
                </c:pt>
                <c:pt idx="248">
                  <c:v>516.65000000000123</c:v>
                </c:pt>
                <c:pt idx="249">
                  <c:v>515.19000000000131</c:v>
                </c:pt>
                <c:pt idx="250">
                  <c:v>513.73000000000138</c:v>
                </c:pt>
                <c:pt idx="251">
                  <c:v>511.97872340425727</c:v>
                </c:pt>
                <c:pt idx="252">
                  <c:v>509.93617021276793</c:v>
                </c:pt>
                <c:pt idx="253">
                  <c:v>507.8936170212786</c:v>
                </c:pt>
                <c:pt idx="254">
                  <c:v>505.85106382978927</c:v>
                </c:pt>
                <c:pt idx="255">
                  <c:v>503.80851063829999</c:v>
                </c:pt>
                <c:pt idx="256">
                  <c:v>501.76595744681066</c:v>
                </c:pt>
                <c:pt idx="257">
                  <c:v>499.72340425532133</c:v>
                </c:pt>
                <c:pt idx="258">
                  <c:v>497.68085106383205</c:v>
                </c:pt>
                <c:pt idx="259">
                  <c:v>495.63829787234272</c:v>
                </c:pt>
                <c:pt idx="260">
                  <c:v>493.59574468085339</c:v>
                </c:pt>
                <c:pt idx="261">
                  <c:v>491.55319148936405</c:v>
                </c:pt>
                <c:pt idx="262">
                  <c:v>489.51063829787478</c:v>
                </c:pt>
                <c:pt idx="263">
                  <c:v>487.46808510638544</c:v>
                </c:pt>
                <c:pt idx="264">
                  <c:v>485.42553191489611</c:v>
                </c:pt>
                <c:pt idx="265">
                  <c:v>483.38297872340678</c:v>
                </c:pt>
                <c:pt idx="266">
                  <c:v>481.3404255319175</c:v>
                </c:pt>
                <c:pt idx="267">
                  <c:v>479.29787234042817</c:v>
                </c:pt>
                <c:pt idx="268">
                  <c:v>477.25531914893884</c:v>
                </c:pt>
                <c:pt idx="269">
                  <c:v>475.21276595744951</c:v>
                </c:pt>
                <c:pt idx="270">
                  <c:v>473.17021276596023</c:v>
                </c:pt>
                <c:pt idx="271">
                  <c:v>471.1276595744709</c:v>
                </c:pt>
                <c:pt idx="272">
                  <c:v>469.08510638298156</c:v>
                </c:pt>
                <c:pt idx="273">
                  <c:v>467.04255319149229</c:v>
                </c:pt>
                <c:pt idx="274">
                  <c:v>465.00000000000296</c:v>
                </c:pt>
                <c:pt idx="275">
                  <c:v>462.95744680851362</c:v>
                </c:pt>
                <c:pt idx="276">
                  <c:v>460.91489361702429</c:v>
                </c:pt>
                <c:pt idx="277">
                  <c:v>458.87234042553501</c:v>
                </c:pt>
                <c:pt idx="278">
                  <c:v>456.82978723404568</c:v>
                </c:pt>
                <c:pt idx="279">
                  <c:v>454.78723404255635</c:v>
                </c:pt>
                <c:pt idx="280">
                  <c:v>452.74468085106707</c:v>
                </c:pt>
                <c:pt idx="281">
                  <c:v>450.70212765957774</c:v>
                </c:pt>
                <c:pt idx="282">
                  <c:v>448.65957446808841</c:v>
                </c:pt>
                <c:pt idx="283">
                  <c:v>446.61702127659908</c:v>
                </c:pt>
                <c:pt idx="284">
                  <c:v>444.57446808510974</c:v>
                </c:pt>
                <c:pt idx="285">
                  <c:v>442.53191489362047</c:v>
                </c:pt>
                <c:pt idx="286">
                  <c:v>440.48936170213113</c:v>
                </c:pt>
                <c:pt idx="287">
                  <c:v>438.44680851064186</c:v>
                </c:pt>
                <c:pt idx="288">
                  <c:v>436.40425531915253</c:v>
                </c:pt>
                <c:pt idx="289">
                  <c:v>434.36170212766319</c:v>
                </c:pt>
                <c:pt idx="290">
                  <c:v>432.31914893617386</c:v>
                </c:pt>
                <c:pt idx="291">
                  <c:v>430.27659574468453</c:v>
                </c:pt>
                <c:pt idx="292">
                  <c:v>428.23404255319525</c:v>
                </c:pt>
                <c:pt idx="293">
                  <c:v>426.19148936170592</c:v>
                </c:pt>
                <c:pt idx="294">
                  <c:v>424.14893617021659</c:v>
                </c:pt>
                <c:pt idx="295">
                  <c:v>422.10638297872731</c:v>
                </c:pt>
                <c:pt idx="296">
                  <c:v>420.06382978723798</c:v>
                </c:pt>
                <c:pt idx="297">
                  <c:v>418.02127659574865</c:v>
                </c:pt>
                <c:pt idx="298">
                  <c:v>412.82608695653812</c:v>
                </c:pt>
                <c:pt idx="299">
                  <c:v>404.47826086958179</c:v>
                </c:pt>
                <c:pt idx="300">
                  <c:v>396.13043478262546</c:v>
                </c:pt>
                <c:pt idx="301">
                  <c:v>387.78260869566913</c:v>
                </c:pt>
                <c:pt idx="302">
                  <c:v>379.43478260871274</c:v>
                </c:pt>
                <c:pt idx="303">
                  <c:v>371.08695652175641</c:v>
                </c:pt>
                <c:pt idx="304">
                  <c:v>362.73913043480007</c:v>
                </c:pt>
                <c:pt idx="305">
                  <c:v>354.39130434784374</c:v>
                </c:pt>
                <c:pt idx="306">
                  <c:v>346.04347826088735</c:v>
                </c:pt>
                <c:pt idx="307">
                  <c:v>337.69565217393102</c:v>
                </c:pt>
                <c:pt idx="308">
                  <c:v>329.34782608697469</c:v>
                </c:pt>
                <c:pt idx="309">
                  <c:v>321.00000000001836</c:v>
                </c:pt>
                <c:pt idx="310">
                  <c:v>312.65217391306203</c:v>
                </c:pt>
                <c:pt idx="311">
                  <c:v>304.30434782610564</c:v>
                </c:pt>
                <c:pt idx="312">
                  <c:v>295.95652173914931</c:v>
                </c:pt>
                <c:pt idx="313">
                  <c:v>287.60869565219298</c:v>
                </c:pt>
                <c:pt idx="314">
                  <c:v>279.26086956523659</c:v>
                </c:pt>
                <c:pt idx="315">
                  <c:v>270.91304347828031</c:v>
                </c:pt>
                <c:pt idx="316">
                  <c:v>262.56521739132393</c:v>
                </c:pt>
                <c:pt idx="317">
                  <c:v>254.2173913043676</c:v>
                </c:pt>
                <c:pt idx="318">
                  <c:v>245.86956521741126</c:v>
                </c:pt>
                <c:pt idx="319">
                  <c:v>237.5217391304549</c:v>
                </c:pt>
                <c:pt idx="320">
                  <c:v>229.17391304349857</c:v>
                </c:pt>
                <c:pt idx="321">
                  <c:v>222.07407407408843</c:v>
                </c:pt>
                <c:pt idx="322">
                  <c:v>216.2222222222367</c:v>
                </c:pt>
                <c:pt idx="323">
                  <c:v>210.37037037038499</c:v>
                </c:pt>
                <c:pt idx="324">
                  <c:v>204.51851851853326</c:v>
                </c:pt>
                <c:pt idx="325">
                  <c:v>198.66666666668152</c:v>
                </c:pt>
                <c:pt idx="326">
                  <c:v>192.81481481482979</c:v>
                </c:pt>
                <c:pt idx="327">
                  <c:v>186.96296296297808</c:v>
                </c:pt>
                <c:pt idx="328">
                  <c:v>181.11111111112635</c:v>
                </c:pt>
                <c:pt idx="329">
                  <c:v>175.25925925927461</c:v>
                </c:pt>
                <c:pt idx="330">
                  <c:v>169.40740740742291</c:v>
                </c:pt>
                <c:pt idx="331">
                  <c:v>163.55555555557117</c:v>
                </c:pt>
                <c:pt idx="332">
                  <c:v>157.70370370371944</c:v>
                </c:pt>
                <c:pt idx="333">
                  <c:v>151.85185185186771</c:v>
                </c:pt>
                <c:pt idx="334">
                  <c:v>146.00000000001597</c:v>
                </c:pt>
                <c:pt idx="335">
                  <c:v>140.14814814816427</c:v>
                </c:pt>
                <c:pt idx="336">
                  <c:v>134.29629629631253</c:v>
                </c:pt>
                <c:pt idx="337">
                  <c:v>128.44444444446083</c:v>
                </c:pt>
                <c:pt idx="338">
                  <c:v>122.59259259260908</c:v>
                </c:pt>
                <c:pt idx="339">
                  <c:v>116.74074074075736</c:v>
                </c:pt>
                <c:pt idx="340">
                  <c:v>110.88888888890563</c:v>
                </c:pt>
                <c:pt idx="341">
                  <c:v>105.03703703705391</c:v>
                </c:pt>
                <c:pt idx="342">
                  <c:v>99.185185185202172</c:v>
                </c:pt>
                <c:pt idx="343">
                  <c:v>93.333333333350453</c:v>
                </c:pt>
                <c:pt idx="344">
                  <c:v>87.481481481498719</c:v>
                </c:pt>
                <c:pt idx="345">
                  <c:v>81.629629629646985</c:v>
                </c:pt>
                <c:pt idx="346">
                  <c:v>75.777777777795279</c:v>
                </c:pt>
                <c:pt idx="347">
                  <c:v>69.925925925943545</c:v>
                </c:pt>
                <c:pt idx="348">
                  <c:v>64.20833333335024</c:v>
                </c:pt>
                <c:pt idx="349">
                  <c:v>58.625000000017017</c:v>
                </c:pt>
                <c:pt idx="350">
                  <c:v>53.041666666683788</c:v>
                </c:pt>
                <c:pt idx="351">
                  <c:v>47.458333333350552</c:v>
                </c:pt>
                <c:pt idx="352">
                  <c:v>41.875000000017323</c:v>
                </c:pt>
                <c:pt idx="353">
                  <c:v>36.291666666684094</c:v>
                </c:pt>
                <c:pt idx="354">
                  <c:v>30.708333333350872</c:v>
                </c:pt>
                <c:pt idx="355">
                  <c:v>25.125000000017643</c:v>
                </c:pt>
                <c:pt idx="356">
                  <c:v>19.541666666684407</c:v>
                </c:pt>
                <c:pt idx="357">
                  <c:v>13.958333333351177</c:v>
                </c:pt>
                <c:pt idx="358">
                  <c:v>8.3750000000179483</c:v>
                </c:pt>
                <c:pt idx="359">
                  <c:v>2.7916666666847192</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0"/>
          <c:extLst>
            <c:ext xmlns:c16="http://schemas.microsoft.com/office/drawing/2014/chart" uri="{C3380CC4-5D6E-409C-BE32-E72D297353CC}">
              <c16:uniqueId val="{00000000-1935-44BE-AC4A-45F8EA7F0D69}"/>
            </c:ext>
          </c:extLst>
        </c:ser>
        <c:ser>
          <c:idx val="2"/>
          <c:order val="1"/>
          <c:tx>
            <c:strRef>
              <c:f>Courbes!$B$135</c:f>
              <c:strCache>
                <c:ptCount val="1"/>
                <c:pt idx="0">
                  <c:v>Poids</c:v>
                </c:pt>
              </c:strCache>
            </c:strRef>
          </c:tx>
          <c:spPr>
            <a:ln w="25400">
              <a:solidFill>
                <a:srgbClr val="0000FF"/>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Calculs!$T$4:$T$1004</c:f>
              <c:numCache>
                <c:formatCode>0.00</c:formatCode>
                <c:ptCount val="1001"/>
                <c:pt idx="0">
                  <c:v>92.361150000000009</c:v>
                </c:pt>
                <c:pt idx="1">
                  <c:v>92.356753598531867</c:v>
                </c:pt>
                <c:pt idx="2">
                  <c:v>92.343564394127398</c:v>
                </c:pt>
                <c:pt idx="3">
                  <c:v>92.321582386786645</c:v>
                </c:pt>
                <c:pt idx="4">
                  <c:v>92.290807576509579</c:v>
                </c:pt>
                <c:pt idx="5">
                  <c:v>92.2512399632962</c:v>
                </c:pt>
                <c:pt idx="6">
                  <c:v>92.207327915535117</c:v>
                </c:pt>
                <c:pt idx="7">
                  <c:v>92.163519801614868</c:v>
                </c:pt>
                <c:pt idx="8">
                  <c:v>92.11981562153548</c:v>
                </c:pt>
                <c:pt idx="9">
                  <c:v>92.076215375296968</c:v>
                </c:pt>
                <c:pt idx="10">
                  <c:v>92.032719062899289</c:v>
                </c:pt>
                <c:pt idx="11">
                  <c:v>91.989326684342473</c:v>
                </c:pt>
                <c:pt idx="12">
                  <c:v>91.946038239626503</c:v>
                </c:pt>
                <c:pt idx="13">
                  <c:v>91.902853728751396</c:v>
                </c:pt>
                <c:pt idx="14">
                  <c:v>91.859773151717135</c:v>
                </c:pt>
                <c:pt idx="15">
                  <c:v>91.816796508523751</c:v>
                </c:pt>
                <c:pt idx="16">
                  <c:v>91.7739237991712</c:v>
                </c:pt>
                <c:pt idx="17">
                  <c:v>91.731155023659497</c:v>
                </c:pt>
                <c:pt idx="18">
                  <c:v>91.688490181988655</c:v>
                </c:pt>
                <c:pt idx="19">
                  <c:v>91.645929274158689</c:v>
                </c:pt>
                <c:pt idx="20">
                  <c:v>91.603472300169557</c:v>
                </c:pt>
                <c:pt idx="21">
                  <c:v>91.561119260021286</c:v>
                </c:pt>
                <c:pt idx="22">
                  <c:v>91.518870153713863</c:v>
                </c:pt>
                <c:pt idx="23">
                  <c:v>91.476724981247287</c:v>
                </c:pt>
                <c:pt idx="24">
                  <c:v>91.434683742621587</c:v>
                </c:pt>
                <c:pt idx="25">
                  <c:v>91.392746437836735</c:v>
                </c:pt>
                <c:pt idx="26">
                  <c:v>91.35091306689273</c:v>
                </c:pt>
                <c:pt idx="27">
                  <c:v>91.309183629789587</c:v>
                </c:pt>
                <c:pt idx="28">
                  <c:v>91.267558126527305</c:v>
                </c:pt>
                <c:pt idx="29">
                  <c:v>91.226036557105871</c:v>
                </c:pt>
                <c:pt idx="30">
                  <c:v>91.184618921525299</c:v>
                </c:pt>
                <c:pt idx="31">
                  <c:v>91.14330521978556</c:v>
                </c:pt>
                <c:pt idx="32">
                  <c:v>91.102095451886683</c:v>
                </c:pt>
                <c:pt idx="33">
                  <c:v>91.060989617828682</c:v>
                </c:pt>
                <c:pt idx="34">
                  <c:v>91.019987717611514</c:v>
                </c:pt>
                <c:pt idx="35">
                  <c:v>90.979089751235207</c:v>
                </c:pt>
                <c:pt idx="36">
                  <c:v>90.938295718699763</c:v>
                </c:pt>
                <c:pt idx="37">
                  <c:v>90.897605620005152</c:v>
                </c:pt>
                <c:pt idx="38">
                  <c:v>90.857019455151416</c:v>
                </c:pt>
                <c:pt idx="39">
                  <c:v>90.816537224138528</c:v>
                </c:pt>
                <c:pt idx="40">
                  <c:v>90.776158926966488</c:v>
                </c:pt>
                <c:pt idx="41">
                  <c:v>90.73588456363531</c:v>
                </c:pt>
                <c:pt idx="42">
                  <c:v>90.695714134144978</c:v>
                </c:pt>
                <c:pt idx="43">
                  <c:v>90.655647638495509</c:v>
                </c:pt>
                <c:pt idx="44">
                  <c:v>90.615685076686901</c:v>
                </c:pt>
                <c:pt idx="45">
                  <c:v>90.575826448719141</c:v>
                </c:pt>
                <c:pt idx="46">
                  <c:v>90.536071754592228</c:v>
                </c:pt>
                <c:pt idx="47">
                  <c:v>90.496420994306177</c:v>
                </c:pt>
                <c:pt idx="48">
                  <c:v>90.456874167860988</c:v>
                </c:pt>
                <c:pt idx="49">
                  <c:v>90.417431275256646</c:v>
                </c:pt>
                <c:pt idx="50">
                  <c:v>90.378092316493166</c:v>
                </c:pt>
                <c:pt idx="51">
                  <c:v>90.338834371423516</c:v>
                </c:pt>
                <c:pt idx="52">
                  <c:v>90.299634519900707</c:v>
                </c:pt>
                <c:pt idx="53">
                  <c:v>90.260492761924752</c:v>
                </c:pt>
                <c:pt idx="54">
                  <c:v>90.221409097495609</c:v>
                </c:pt>
                <c:pt idx="55">
                  <c:v>90.182383526613307</c:v>
                </c:pt>
                <c:pt idx="56">
                  <c:v>90.143416049277832</c:v>
                </c:pt>
                <c:pt idx="57">
                  <c:v>90.104506665489211</c:v>
                </c:pt>
                <c:pt idx="58">
                  <c:v>90.065655375247417</c:v>
                </c:pt>
                <c:pt idx="59">
                  <c:v>90.026862178552463</c:v>
                </c:pt>
                <c:pt idx="60">
                  <c:v>89.988127075404336</c:v>
                </c:pt>
                <c:pt idx="61">
                  <c:v>89.949450065803049</c:v>
                </c:pt>
                <c:pt idx="62">
                  <c:v>89.910831149748603</c:v>
                </c:pt>
                <c:pt idx="63">
                  <c:v>89.872270327240997</c:v>
                </c:pt>
                <c:pt idx="64">
                  <c:v>89.833767598280204</c:v>
                </c:pt>
                <c:pt idx="65">
                  <c:v>89.795322962866265</c:v>
                </c:pt>
                <c:pt idx="66">
                  <c:v>89.756936420999153</c:v>
                </c:pt>
                <c:pt idx="67">
                  <c:v>89.718607972678882</c:v>
                </c:pt>
                <c:pt idx="68">
                  <c:v>89.680337617905451</c:v>
                </c:pt>
                <c:pt idx="69">
                  <c:v>89.642125356678847</c:v>
                </c:pt>
                <c:pt idx="70">
                  <c:v>89.603971188999083</c:v>
                </c:pt>
                <c:pt idx="71">
                  <c:v>89.565875114866159</c:v>
                </c:pt>
                <c:pt idx="72">
                  <c:v>89.527837134280063</c:v>
                </c:pt>
                <c:pt idx="73">
                  <c:v>89.489857247240806</c:v>
                </c:pt>
                <c:pt idx="74">
                  <c:v>89.451935453748376</c:v>
                </c:pt>
                <c:pt idx="75">
                  <c:v>89.414071753802787</c:v>
                </c:pt>
                <c:pt idx="76">
                  <c:v>89.376266147404039</c:v>
                </c:pt>
                <c:pt idx="77">
                  <c:v>89.338518634552116</c:v>
                </c:pt>
                <c:pt idx="78">
                  <c:v>89.300829215247035</c:v>
                </c:pt>
                <c:pt idx="79">
                  <c:v>89.263197889488779</c:v>
                </c:pt>
                <c:pt idx="80">
                  <c:v>89.225624657277379</c:v>
                </c:pt>
                <c:pt idx="81">
                  <c:v>89.188109518612805</c:v>
                </c:pt>
                <c:pt idx="82">
                  <c:v>89.150652473495057</c:v>
                </c:pt>
                <c:pt idx="83">
                  <c:v>89.11325352192415</c:v>
                </c:pt>
                <c:pt idx="84">
                  <c:v>89.075912663900098</c:v>
                </c:pt>
                <c:pt idx="85">
                  <c:v>89.038629899422872</c:v>
                </c:pt>
                <c:pt idx="86">
                  <c:v>89.001405228492473</c:v>
                </c:pt>
                <c:pt idx="87">
                  <c:v>88.9642386511089</c:v>
                </c:pt>
                <c:pt idx="88">
                  <c:v>88.927130167272168</c:v>
                </c:pt>
                <c:pt idx="89">
                  <c:v>88.89007977698229</c:v>
                </c:pt>
                <c:pt idx="90">
                  <c:v>88.853087480239239</c:v>
                </c:pt>
                <c:pt idx="91">
                  <c:v>88.816153277043014</c:v>
                </c:pt>
                <c:pt idx="92">
                  <c:v>88.77927716739363</c:v>
                </c:pt>
                <c:pt idx="93">
                  <c:v>88.742459151291087</c:v>
                </c:pt>
                <c:pt idx="94">
                  <c:v>88.705699228735384</c:v>
                </c:pt>
                <c:pt idx="95">
                  <c:v>88.668997399726507</c:v>
                </c:pt>
                <c:pt idx="96">
                  <c:v>88.632353664264457</c:v>
                </c:pt>
                <c:pt idx="97">
                  <c:v>88.595768022349247</c:v>
                </c:pt>
                <c:pt idx="98">
                  <c:v>88.559240473980879</c:v>
                </c:pt>
                <c:pt idx="99">
                  <c:v>88.52277101915935</c:v>
                </c:pt>
                <c:pt idx="100">
                  <c:v>88.486359657884648</c:v>
                </c:pt>
                <c:pt idx="101">
                  <c:v>88.450016728838847</c:v>
                </c:pt>
                <c:pt idx="102">
                  <c:v>88.413752570704006</c:v>
                </c:pt>
                <c:pt idx="103">
                  <c:v>88.377567183480139</c:v>
                </c:pt>
                <c:pt idx="104">
                  <c:v>88.341460567167218</c:v>
                </c:pt>
                <c:pt idx="105">
                  <c:v>88.305432721765271</c:v>
                </c:pt>
                <c:pt idx="106">
                  <c:v>88.269483647274285</c:v>
                </c:pt>
                <c:pt idx="107">
                  <c:v>88.233613343694259</c:v>
                </c:pt>
                <c:pt idx="108">
                  <c:v>88.197821811025207</c:v>
                </c:pt>
                <c:pt idx="109">
                  <c:v>88.16210904926713</c:v>
                </c:pt>
                <c:pt idx="110">
                  <c:v>88.126475058420013</c:v>
                </c:pt>
                <c:pt idx="111">
                  <c:v>88.090919838483856</c:v>
                </c:pt>
                <c:pt idx="112">
                  <c:v>88.055443389458659</c:v>
                </c:pt>
                <c:pt idx="113">
                  <c:v>88.020045711344423</c:v>
                </c:pt>
                <c:pt idx="114">
                  <c:v>87.984726804141161</c:v>
                </c:pt>
                <c:pt idx="115">
                  <c:v>87.949486667848845</c:v>
                </c:pt>
                <c:pt idx="116">
                  <c:v>87.914325302467503</c:v>
                </c:pt>
                <c:pt idx="117">
                  <c:v>87.879242707997122</c:v>
                </c:pt>
                <c:pt idx="118">
                  <c:v>87.844238884437715</c:v>
                </c:pt>
                <c:pt idx="119">
                  <c:v>87.809313831789254</c:v>
                </c:pt>
                <c:pt idx="120">
                  <c:v>87.774467550051767</c:v>
                </c:pt>
                <c:pt idx="121">
                  <c:v>87.739700039225227</c:v>
                </c:pt>
                <c:pt idx="122">
                  <c:v>87.70501129930966</c:v>
                </c:pt>
                <c:pt idx="123">
                  <c:v>87.670401330305069</c:v>
                </c:pt>
                <c:pt idx="124">
                  <c:v>87.635870132211423</c:v>
                </c:pt>
                <c:pt idx="125">
                  <c:v>87.601417705028737</c:v>
                </c:pt>
                <c:pt idx="126">
                  <c:v>87.567044048757026</c:v>
                </c:pt>
                <c:pt idx="127">
                  <c:v>87.532749163396275</c:v>
                </c:pt>
                <c:pt idx="128">
                  <c:v>87.498533048946484</c:v>
                </c:pt>
                <c:pt idx="129">
                  <c:v>87.464395705407654</c:v>
                </c:pt>
                <c:pt idx="130">
                  <c:v>87.430337132779798</c:v>
                </c:pt>
                <c:pt idx="131">
                  <c:v>87.396357331062916</c:v>
                </c:pt>
                <c:pt idx="132">
                  <c:v>87.362456300256994</c:v>
                </c:pt>
                <c:pt idx="133">
                  <c:v>87.328634040362033</c:v>
                </c:pt>
                <c:pt idx="134">
                  <c:v>87.294890551378032</c:v>
                </c:pt>
                <c:pt idx="135">
                  <c:v>87.261225833305005</c:v>
                </c:pt>
                <c:pt idx="136">
                  <c:v>87.227639886142939</c:v>
                </c:pt>
                <c:pt idx="137">
                  <c:v>87.194132709891818</c:v>
                </c:pt>
                <c:pt idx="138">
                  <c:v>87.160704304551686</c:v>
                </c:pt>
                <c:pt idx="139">
                  <c:v>87.1273546701225</c:v>
                </c:pt>
                <c:pt idx="140">
                  <c:v>87.094083806604274</c:v>
                </c:pt>
                <c:pt idx="141">
                  <c:v>87.060891713997023</c:v>
                </c:pt>
                <c:pt idx="142">
                  <c:v>87.027778392300732</c:v>
                </c:pt>
                <c:pt idx="143">
                  <c:v>86.994743841515401</c:v>
                </c:pt>
                <c:pt idx="144">
                  <c:v>86.96178806164103</c:v>
                </c:pt>
                <c:pt idx="145">
                  <c:v>86.92891105267762</c:v>
                </c:pt>
                <c:pt idx="146">
                  <c:v>86.896112814625184</c:v>
                </c:pt>
                <c:pt idx="147">
                  <c:v>86.863393347483708</c:v>
                </c:pt>
                <c:pt idx="148">
                  <c:v>86.830752651253192</c:v>
                </c:pt>
                <c:pt idx="149">
                  <c:v>86.798190725933637</c:v>
                </c:pt>
                <c:pt idx="150">
                  <c:v>86.765707571525041</c:v>
                </c:pt>
                <c:pt idx="151">
                  <c:v>86.733299741800053</c:v>
                </c:pt>
                <c:pt idx="152">
                  <c:v>86.700963790531347</c:v>
                </c:pt>
                <c:pt idx="153">
                  <c:v>86.66869971771888</c:v>
                </c:pt>
                <c:pt idx="154">
                  <c:v>86.636507523362667</c:v>
                </c:pt>
                <c:pt idx="155">
                  <c:v>86.604387207462722</c:v>
                </c:pt>
                <c:pt idx="156">
                  <c:v>86.572338770019016</c:v>
                </c:pt>
                <c:pt idx="157">
                  <c:v>86.540362211031564</c:v>
                </c:pt>
                <c:pt idx="158">
                  <c:v>86.508457530500365</c:v>
                </c:pt>
                <c:pt idx="159">
                  <c:v>86.476624728425421</c:v>
                </c:pt>
                <c:pt idx="160">
                  <c:v>86.444863804806715</c:v>
                </c:pt>
                <c:pt idx="161">
                  <c:v>86.413174759644278</c:v>
                </c:pt>
                <c:pt idx="162">
                  <c:v>86.381557592938108</c:v>
                </c:pt>
                <c:pt idx="163">
                  <c:v>86.350012304688192</c:v>
                </c:pt>
                <c:pt idx="164">
                  <c:v>86.318538894894516</c:v>
                </c:pt>
                <c:pt idx="165">
                  <c:v>86.287137363557108</c:v>
                </c:pt>
                <c:pt idx="166">
                  <c:v>86.255807710675938</c:v>
                </c:pt>
                <c:pt idx="167">
                  <c:v>86.224549936251037</c:v>
                </c:pt>
                <c:pt idx="168">
                  <c:v>86.193364040282376</c:v>
                </c:pt>
                <c:pt idx="169">
                  <c:v>86.162250022769967</c:v>
                </c:pt>
                <c:pt idx="170">
                  <c:v>86.131207883713813</c:v>
                </c:pt>
                <c:pt idx="171">
                  <c:v>86.100237623113927</c:v>
                </c:pt>
                <c:pt idx="172">
                  <c:v>86.069339240970294</c:v>
                </c:pt>
                <c:pt idx="173">
                  <c:v>86.038512737282915</c:v>
                </c:pt>
                <c:pt idx="174">
                  <c:v>86.007758112051789</c:v>
                </c:pt>
                <c:pt idx="175">
                  <c:v>85.977075365276917</c:v>
                </c:pt>
                <c:pt idx="176">
                  <c:v>85.946464496958299</c:v>
                </c:pt>
                <c:pt idx="177">
                  <c:v>85.91592550709592</c:v>
                </c:pt>
                <c:pt idx="178">
                  <c:v>85.88545839568981</c:v>
                </c:pt>
                <c:pt idx="179">
                  <c:v>85.855063162739953</c:v>
                </c:pt>
                <c:pt idx="180">
                  <c:v>85.824739808246335</c:v>
                </c:pt>
                <c:pt idx="181">
                  <c:v>85.794488332208985</c:v>
                </c:pt>
                <c:pt idx="182">
                  <c:v>85.764308734627889</c:v>
                </c:pt>
                <c:pt idx="183">
                  <c:v>85.734201015503061</c:v>
                </c:pt>
                <c:pt idx="184">
                  <c:v>85.704165174834472</c:v>
                </c:pt>
                <c:pt idx="185">
                  <c:v>85.674201212622137</c:v>
                </c:pt>
                <c:pt idx="186">
                  <c:v>85.64430912886607</c:v>
                </c:pt>
                <c:pt idx="187">
                  <c:v>85.614488923566242</c:v>
                </c:pt>
                <c:pt idx="188">
                  <c:v>85.584740596722668</c:v>
                </c:pt>
                <c:pt idx="189">
                  <c:v>85.555064148335347</c:v>
                </c:pt>
                <c:pt idx="190">
                  <c:v>85.525459578404281</c:v>
                </c:pt>
                <c:pt idx="191">
                  <c:v>85.495926886929453</c:v>
                </c:pt>
                <c:pt idx="192">
                  <c:v>85.466466073910908</c:v>
                </c:pt>
                <c:pt idx="193">
                  <c:v>85.437077139348617</c:v>
                </c:pt>
                <c:pt idx="194">
                  <c:v>85.407760083242579</c:v>
                </c:pt>
                <c:pt idx="195">
                  <c:v>85.378514905592795</c:v>
                </c:pt>
                <c:pt idx="196">
                  <c:v>85.34934160639925</c:v>
                </c:pt>
                <c:pt idx="197">
                  <c:v>85.320240185661973</c:v>
                </c:pt>
                <c:pt idx="198">
                  <c:v>85.291210643380936</c:v>
                </c:pt>
                <c:pt idx="199">
                  <c:v>85.262252979556152</c:v>
                </c:pt>
                <c:pt idx="200">
                  <c:v>85.233367194187636</c:v>
                </c:pt>
                <c:pt idx="201">
                  <c:v>85.204553287275374</c:v>
                </c:pt>
                <c:pt idx="202">
                  <c:v>85.175811258819365</c:v>
                </c:pt>
                <c:pt idx="203">
                  <c:v>85.147141108819611</c:v>
                </c:pt>
                <c:pt idx="204">
                  <c:v>85.118542837276124</c:v>
                </c:pt>
                <c:pt idx="205">
                  <c:v>85.090016444188876</c:v>
                </c:pt>
                <c:pt idx="206">
                  <c:v>85.061561929557868</c:v>
                </c:pt>
                <c:pt idx="207">
                  <c:v>85.033179293383128</c:v>
                </c:pt>
                <c:pt idx="208">
                  <c:v>85.004868535664642</c:v>
                </c:pt>
                <c:pt idx="209">
                  <c:v>84.976629656402409</c:v>
                </c:pt>
                <c:pt idx="210">
                  <c:v>84.948462655596416</c:v>
                </c:pt>
                <c:pt idx="211">
                  <c:v>84.920367533246704</c:v>
                </c:pt>
                <c:pt idx="212">
                  <c:v>84.892344289353247</c:v>
                </c:pt>
                <c:pt idx="213">
                  <c:v>84.864392923916029</c:v>
                </c:pt>
                <c:pt idx="214">
                  <c:v>84.836513436935078</c:v>
                </c:pt>
                <c:pt idx="215">
                  <c:v>84.808705828410368</c:v>
                </c:pt>
                <c:pt idx="216">
                  <c:v>84.780970098341925</c:v>
                </c:pt>
                <c:pt idx="217">
                  <c:v>84.753306246729721</c:v>
                </c:pt>
                <c:pt idx="218">
                  <c:v>84.725714273573772</c:v>
                </c:pt>
                <c:pt idx="219">
                  <c:v>84.698194178874076</c:v>
                </c:pt>
                <c:pt idx="220">
                  <c:v>84.670745962630633</c:v>
                </c:pt>
                <c:pt idx="221">
                  <c:v>84.643369624843459</c:v>
                </c:pt>
                <c:pt idx="222">
                  <c:v>84.616065165512538</c:v>
                </c:pt>
                <c:pt idx="223">
                  <c:v>84.588832584637871</c:v>
                </c:pt>
                <c:pt idx="224">
                  <c:v>84.561671882219457</c:v>
                </c:pt>
                <c:pt idx="225">
                  <c:v>84.534583058257297</c:v>
                </c:pt>
                <c:pt idx="226">
                  <c:v>84.507566112751377</c:v>
                </c:pt>
                <c:pt idx="227">
                  <c:v>84.480621045701724</c:v>
                </c:pt>
                <c:pt idx="228">
                  <c:v>84.453747857108311</c:v>
                </c:pt>
                <c:pt idx="229">
                  <c:v>84.426946546971166</c:v>
                </c:pt>
                <c:pt idx="230">
                  <c:v>84.40021711529026</c:v>
                </c:pt>
                <c:pt idx="231">
                  <c:v>84.373559562065623</c:v>
                </c:pt>
                <c:pt idx="232">
                  <c:v>84.346973887297253</c:v>
                </c:pt>
                <c:pt idx="233">
                  <c:v>84.320460090985122</c:v>
                </c:pt>
                <c:pt idx="234">
                  <c:v>84.294018173129245</c:v>
                </c:pt>
                <c:pt idx="235">
                  <c:v>84.267648133729622</c:v>
                </c:pt>
                <c:pt idx="236">
                  <c:v>84.241349972786267</c:v>
                </c:pt>
                <c:pt idx="237">
                  <c:v>84.215123690299137</c:v>
                </c:pt>
                <c:pt idx="238">
                  <c:v>84.188969286268275</c:v>
                </c:pt>
                <c:pt idx="239">
                  <c:v>84.162886760693667</c:v>
                </c:pt>
                <c:pt idx="240">
                  <c:v>84.136876113575312</c:v>
                </c:pt>
                <c:pt idx="241">
                  <c:v>84.110937344913225</c:v>
                </c:pt>
                <c:pt idx="242">
                  <c:v>84.085070454707378</c:v>
                </c:pt>
                <c:pt idx="243">
                  <c:v>84.059275442957798</c:v>
                </c:pt>
                <c:pt idx="244">
                  <c:v>84.033552309664472</c:v>
                </c:pt>
                <c:pt idx="245">
                  <c:v>84.007901054827386</c:v>
                </c:pt>
                <c:pt idx="246">
                  <c:v>83.982321678446553</c:v>
                </c:pt>
                <c:pt idx="247">
                  <c:v>83.956814180521988</c:v>
                </c:pt>
                <c:pt idx="248">
                  <c:v>83.931378561053663</c:v>
                </c:pt>
                <c:pt idx="249">
                  <c:v>83.906014820041591</c:v>
                </c:pt>
                <c:pt idx="250">
                  <c:v>83.880722957485773</c:v>
                </c:pt>
                <c:pt idx="251">
                  <c:v>83.855517313462968</c:v>
                </c:pt>
                <c:pt idx="252">
                  <c:v>83.830412228049894</c:v>
                </c:pt>
                <c:pt idx="253">
                  <c:v>83.805407701246565</c:v>
                </c:pt>
                <c:pt idx="254">
                  <c:v>83.780503733052981</c:v>
                </c:pt>
                <c:pt idx="255">
                  <c:v>83.755700323469128</c:v>
                </c:pt>
                <c:pt idx="256">
                  <c:v>83.730997472495019</c:v>
                </c:pt>
                <c:pt idx="257">
                  <c:v>83.706395180130656</c:v>
                </c:pt>
                <c:pt idx="258">
                  <c:v>83.681893446376037</c:v>
                </c:pt>
                <c:pt idx="259">
                  <c:v>83.657492271231149</c:v>
                </c:pt>
                <c:pt idx="260">
                  <c:v>83.633191654696006</c:v>
                </c:pt>
                <c:pt idx="261">
                  <c:v>83.608991596770608</c:v>
                </c:pt>
                <c:pt idx="262">
                  <c:v>83.584892097454954</c:v>
                </c:pt>
                <c:pt idx="263">
                  <c:v>83.560893156749032</c:v>
                </c:pt>
                <c:pt idx="264">
                  <c:v>83.536994774652854</c:v>
                </c:pt>
                <c:pt idx="265">
                  <c:v>83.513196951166421</c:v>
                </c:pt>
                <c:pt idx="266">
                  <c:v>83.489499686289733</c:v>
                </c:pt>
                <c:pt idx="267">
                  <c:v>83.465902980022776</c:v>
                </c:pt>
                <c:pt idx="268">
                  <c:v>83.442406832365563</c:v>
                </c:pt>
                <c:pt idx="269">
                  <c:v>83.419011243318081</c:v>
                </c:pt>
                <c:pt idx="270">
                  <c:v>83.39571621288033</c:v>
                </c:pt>
                <c:pt idx="271">
                  <c:v>83.372521741052324</c:v>
                </c:pt>
                <c:pt idx="272">
                  <c:v>83.349427827834063</c:v>
                </c:pt>
                <c:pt idx="273">
                  <c:v>83.326434473225547</c:v>
                </c:pt>
                <c:pt idx="274">
                  <c:v>83.303541677226761</c:v>
                </c:pt>
                <c:pt idx="275">
                  <c:v>83.28074943983772</c:v>
                </c:pt>
                <c:pt idx="276">
                  <c:v>83.258057761058424</c:v>
                </c:pt>
                <c:pt idx="277">
                  <c:v>83.235466640888859</c:v>
                </c:pt>
                <c:pt idx="278">
                  <c:v>83.212976079329039</c:v>
                </c:pt>
                <c:pt idx="279">
                  <c:v>83.190586076378963</c:v>
                </c:pt>
                <c:pt idx="280">
                  <c:v>83.168296632038633</c:v>
                </c:pt>
                <c:pt idx="281">
                  <c:v>83.146107746308047</c:v>
                </c:pt>
                <c:pt idx="282">
                  <c:v>83.124019419187192</c:v>
                </c:pt>
                <c:pt idx="283">
                  <c:v>83.102031650676082</c:v>
                </c:pt>
                <c:pt idx="284">
                  <c:v>83.080144440774703</c:v>
                </c:pt>
                <c:pt idx="285">
                  <c:v>83.058357789483082</c:v>
                </c:pt>
                <c:pt idx="286">
                  <c:v>83.036671696801193</c:v>
                </c:pt>
                <c:pt idx="287">
                  <c:v>83.015086162729048</c:v>
                </c:pt>
                <c:pt idx="288">
                  <c:v>82.993601187266648</c:v>
                </c:pt>
                <c:pt idx="289">
                  <c:v>82.972216770413979</c:v>
                </c:pt>
                <c:pt idx="290">
                  <c:v>82.950932912171055</c:v>
                </c:pt>
                <c:pt idx="291">
                  <c:v>82.929749612537876</c:v>
                </c:pt>
                <c:pt idx="292">
                  <c:v>82.908666871514441</c:v>
                </c:pt>
                <c:pt idx="293">
                  <c:v>82.887684689100738</c:v>
                </c:pt>
                <c:pt idx="294">
                  <c:v>82.866803065296779</c:v>
                </c:pt>
                <c:pt idx="295">
                  <c:v>82.846022000102565</c:v>
                </c:pt>
                <c:pt idx="296">
                  <c:v>82.825341493518081</c:v>
                </c:pt>
                <c:pt idx="297">
                  <c:v>82.804761545543357</c:v>
                </c:pt>
                <c:pt idx="298">
                  <c:v>82.784437366206433</c:v>
                </c:pt>
                <c:pt idx="299">
                  <c:v>82.764524165535406</c:v>
                </c:pt>
                <c:pt idx="300">
                  <c:v>82.745021943530276</c:v>
                </c:pt>
                <c:pt idx="301">
                  <c:v>82.725930700191043</c:v>
                </c:pt>
                <c:pt idx="302">
                  <c:v>82.707250435517707</c:v>
                </c:pt>
                <c:pt idx="303">
                  <c:v>82.688981149510269</c:v>
                </c:pt>
                <c:pt idx="304">
                  <c:v>82.671122842168714</c:v>
                </c:pt>
                <c:pt idx="305">
                  <c:v>82.65367551349307</c:v>
                </c:pt>
                <c:pt idx="306">
                  <c:v>82.636639163483324</c:v>
                </c:pt>
                <c:pt idx="307">
                  <c:v>82.620013792139474</c:v>
                </c:pt>
                <c:pt idx="308">
                  <c:v>82.603799399461508</c:v>
                </c:pt>
                <c:pt idx="309">
                  <c:v>82.587995985449453</c:v>
                </c:pt>
                <c:pt idx="310">
                  <c:v>82.572603550103295</c:v>
                </c:pt>
                <c:pt idx="311">
                  <c:v>82.557622093423035</c:v>
                </c:pt>
                <c:pt idx="312">
                  <c:v>82.543051615408658</c:v>
                </c:pt>
                <c:pt idx="313">
                  <c:v>82.528892116060177</c:v>
                </c:pt>
                <c:pt idx="314">
                  <c:v>82.515143595377609</c:v>
                </c:pt>
                <c:pt idx="315">
                  <c:v>82.501806053360937</c:v>
                </c:pt>
                <c:pt idx="316">
                  <c:v>82.488879490010149</c:v>
                </c:pt>
                <c:pt idx="317">
                  <c:v>82.476363905325258</c:v>
                </c:pt>
                <c:pt idx="318">
                  <c:v>82.464259299306264</c:v>
                </c:pt>
                <c:pt idx="319">
                  <c:v>82.452565671953181</c:v>
                </c:pt>
                <c:pt idx="320">
                  <c:v>82.441283023265981</c:v>
                </c:pt>
                <c:pt idx="321">
                  <c:v>82.430349912568346</c:v>
                </c:pt>
                <c:pt idx="322">
                  <c:v>82.419704899183969</c:v>
                </c:pt>
                <c:pt idx="323">
                  <c:v>82.409347983112838</c:v>
                </c:pt>
                <c:pt idx="324">
                  <c:v>82.399279164354937</c:v>
                </c:pt>
                <c:pt idx="325">
                  <c:v>82.389498442910295</c:v>
                </c:pt>
                <c:pt idx="326">
                  <c:v>82.380005818778898</c:v>
                </c:pt>
                <c:pt idx="327">
                  <c:v>82.37080129196076</c:v>
                </c:pt>
                <c:pt idx="328">
                  <c:v>82.361884862455867</c:v>
                </c:pt>
                <c:pt idx="329">
                  <c:v>82.353256530264218</c:v>
                </c:pt>
                <c:pt idx="330">
                  <c:v>82.344916295385815</c:v>
                </c:pt>
                <c:pt idx="331">
                  <c:v>82.336864157820656</c:v>
                </c:pt>
                <c:pt idx="332">
                  <c:v>82.329100117568743</c:v>
                </c:pt>
                <c:pt idx="333">
                  <c:v>82.321624174630088</c:v>
                </c:pt>
                <c:pt idx="334">
                  <c:v>82.314436329004664</c:v>
                </c:pt>
                <c:pt idx="335">
                  <c:v>82.307536580692485</c:v>
                </c:pt>
                <c:pt idx="336">
                  <c:v>82.300924929693565</c:v>
                </c:pt>
                <c:pt idx="337">
                  <c:v>82.294601376007876</c:v>
                </c:pt>
                <c:pt idx="338">
                  <c:v>82.288565919635445</c:v>
                </c:pt>
                <c:pt idx="339">
                  <c:v>82.28281856057626</c:v>
                </c:pt>
                <c:pt idx="340">
                  <c:v>82.277359298830305</c:v>
                </c:pt>
                <c:pt idx="341">
                  <c:v>82.272188134397609</c:v>
                </c:pt>
                <c:pt idx="342">
                  <c:v>82.267305067278159</c:v>
                </c:pt>
                <c:pt idx="343">
                  <c:v>82.262710097471953</c:v>
                </c:pt>
                <c:pt idx="344">
                  <c:v>82.258403224978977</c:v>
                </c:pt>
                <c:pt idx="345">
                  <c:v>82.254384449799261</c:v>
                </c:pt>
                <c:pt idx="346">
                  <c:v>82.250653771932789</c:v>
                </c:pt>
                <c:pt idx="347">
                  <c:v>82.247211191379563</c:v>
                </c:pt>
                <c:pt idx="348">
                  <c:v>82.244050098312002</c:v>
                </c:pt>
                <c:pt idx="349">
                  <c:v>82.241163882902484</c:v>
                </c:pt>
                <c:pt idx="350">
                  <c:v>82.238552545151009</c:v>
                </c:pt>
                <c:pt idx="351">
                  <c:v>82.236216085057592</c:v>
                </c:pt>
                <c:pt idx="352">
                  <c:v>82.234154502622218</c:v>
                </c:pt>
                <c:pt idx="353">
                  <c:v>82.232367797844887</c:v>
                </c:pt>
                <c:pt idx="354">
                  <c:v>82.230855970725628</c:v>
                </c:pt>
                <c:pt idx="355">
                  <c:v>82.229619021264398</c:v>
                </c:pt>
                <c:pt idx="356">
                  <c:v>82.228656949461225</c:v>
                </c:pt>
                <c:pt idx="357">
                  <c:v>82.227969755316096</c:v>
                </c:pt>
                <c:pt idx="358">
                  <c:v>82.227557438829024</c:v>
                </c:pt>
                <c:pt idx="359">
                  <c:v>82.227419999999995</c:v>
                </c:pt>
                <c:pt idx="360">
                  <c:v>82.227419999999995</c:v>
                </c:pt>
                <c:pt idx="361">
                  <c:v>82.227419999999995</c:v>
                </c:pt>
                <c:pt idx="362">
                  <c:v>82.227419999999995</c:v>
                </c:pt>
                <c:pt idx="363">
                  <c:v>82.227419999999995</c:v>
                </c:pt>
                <c:pt idx="364">
                  <c:v>82.227419999999995</c:v>
                </c:pt>
                <c:pt idx="365">
                  <c:v>82.227419999999995</c:v>
                </c:pt>
                <c:pt idx="366">
                  <c:v>82.227419999999995</c:v>
                </c:pt>
                <c:pt idx="367">
                  <c:v>82.227419999999995</c:v>
                </c:pt>
                <c:pt idx="368">
                  <c:v>82.227419999999995</c:v>
                </c:pt>
                <c:pt idx="369">
                  <c:v>82.227419999999995</c:v>
                </c:pt>
                <c:pt idx="370">
                  <c:v>82.227419999999995</c:v>
                </c:pt>
                <c:pt idx="371">
                  <c:v>82.227419999999995</c:v>
                </c:pt>
                <c:pt idx="372">
                  <c:v>82.227419999999995</c:v>
                </c:pt>
                <c:pt idx="373">
                  <c:v>82.227419999999995</c:v>
                </c:pt>
                <c:pt idx="374">
                  <c:v>82.227419999999995</c:v>
                </c:pt>
                <c:pt idx="375">
                  <c:v>82.227419999999995</c:v>
                </c:pt>
                <c:pt idx="376">
                  <c:v>82.227419999999995</c:v>
                </c:pt>
                <c:pt idx="377">
                  <c:v>82.227419999999995</c:v>
                </c:pt>
                <c:pt idx="378">
                  <c:v>82.227419999999995</c:v>
                </c:pt>
                <c:pt idx="379">
                  <c:v>82.227419999999995</c:v>
                </c:pt>
                <c:pt idx="380">
                  <c:v>82.227419999999995</c:v>
                </c:pt>
                <c:pt idx="381">
                  <c:v>82.227419999999995</c:v>
                </c:pt>
                <c:pt idx="382">
                  <c:v>82.227419999999995</c:v>
                </c:pt>
                <c:pt idx="383">
                  <c:v>82.227419999999995</c:v>
                </c:pt>
                <c:pt idx="384">
                  <c:v>82.227419999999995</c:v>
                </c:pt>
                <c:pt idx="385">
                  <c:v>82.227419999999995</c:v>
                </c:pt>
                <c:pt idx="386">
                  <c:v>82.227419999999995</c:v>
                </c:pt>
                <c:pt idx="387">
                  <c:v>82.227419999999995</c:v>
                </c:pt>
                <c:pt idx="388">
                  <c:v>82.227419999999995</c:v>
                </c:pt>
                <c:pt idx="389">
                  <c:v>82.227419999999995</c:v>
                </c:pt>
                <c:pt idx="390">
                  <c:v>82.227419999999995</c:v>
                </c:pt>
                <c:pt idx="391">
                  <c:v>82.227419999999995</c:v>
                </c:pt>
                <c:pt idx="392">
                  <c:v>82.227419999999995</c:v>
                </c:pt>
                <c:pt idx="393">
                  <c:v>82.227419999999995</c:v>
                </c:pt>
                <c:pt idx="394">
                  <c:v>82.227419999999995</c:v>
                </c:pt>
                <c:pt idx="395">
                  <c:v>82.227419999999995</c:v>
                </c:pt>
                <c:pt idx="396">
                  <c:v>82.227419999999995</c:v>
                </c:pt>
                <c:pt idx="397">
                  <c:v>82.227419999999995</c:v>
                </c:pt>
                <c:pt idx="398">
                  <c:v>82.227419999999995</c:v>
                </c:pt>
                <c:pt idx="399">
                  <c:v>82.227419999999995</c:v>
                </c:pt>
                <c:pt idx="400">
                  <c:v>82.227419999999995</c:v>
                </c:pt>
                <c:pt idx="401">
                  <c:v>82.227419999999995</c:v>
                </c:pt>
                <c:pt idx="402">
                  <c:v>82.227419999999995</c:v>
                </c:pt>
                <c:pt idx="403">
                  <c:v>82.227419999999995</c:v>
                </c:pt>
                <c:pt idx="404">
                  <c:v>82.227419999999995</c:v>
                </c:pt>
                <c:pt idx="405">
                  <c:v>82.227419999999995</c:v>
                </c:pt>
                <c:pt idx="406">
                  <c:v>82.227419999999995</c:v>
                </c:pt>
                <c:pt idx="407">
                  <c:v>82.227419999999995</c:v>
                </c:pt>
                <c:pt idx="408">
                  <c:v>82.227419999999995</c:v>
                </c:pt>
                <c:pt idx="409">
                  <c:v>82.227419999999995</c:v>
                </c:pt>
                <c:pt idx="410">
                  <c:v>82.227419999999995</c:v>
                </c:pt>
                <c:pt idx="411">
                  <c:v>82.227419999999995</c:v>
                </c:pt>
                <c:pt idx="412">
                  <c:v>82.227419999999995</c:v>
                </c:pt>
                <c:pt idx="413">
                  <c:v>82.227419999999995</c:v>
                </c:pt>
                <c:pt idx="414">
                  <c:v>82.227419999999995</c:v>
                </c:pt>
                <c:pt idx="415">
                  <c:v>82.227419999999995</c:v>
                </c:pt>
                <c:pt idx="416">
                  <c:v>82.227419999999995</c:v>
                </c:pt>
                <c:pt idx="417">
                  <c:v>82.227419999999995</c:v>
                </c:pt>
                <c:pt idx="418">
                  <c:v>82.227419999999995</c:v>
                </c:pt>
                <c:pt idx="419">
                  <c:v>82.227419999999995</c:v>
                </c:pt>
                <c:pt idx="420">
                  <c:v>82.227419999999995</c:v>
                </c:pt>
                <c:pt idx="421">
                  <c:v>82.227419999999995</c:v>
                </c:pt>
                <c:pt idx="422">
                  <c:v>82.227419999999995</c:v>
                </c:pt>
                <c:pt idx="423">
                  <c:v>82.227419999999995</c:v>
                </c:pt>
                <c:pt idx="424">
                  <c:v>82.227419999999995</c:v>
                </c:pt>
                <c:pt idx="425">
                  <c:v>82.227419999999995</c:v>
                </c:pt>
                <c:pt idx="426">
                  <c:v>82.227419999999995</c:v>
                </c:pt>
                <c:pt idx="427">
                  <c:v>82.227419999999995</c:v>
                </c:pt>
                <c:pt idx="428">
                  <c:v>82.227419999999995</c:v>
                </c:pt>
                <c:pt idx="429">
                  <c:v>82.227419999999995</c:v>
                </c:pt>
                <c:pt idx="430">
                  <c:v>82.227419999999995</c:v>
                </c:pt>
                <c:pt idx="431">
                  <c:v>82.227419999999995</c:v>
                </c:pt>
                <c:pt idx="432">
                  <c:v>82.227419999999995</c:v>
                </c:pt>
                <c:pt idx="433">
                  <c:v>82.227419999999995</c:v>
                </c:pt>
                <c:pt idx="434">
                  <c:v>82.227419999999995</c:v>
                </c:pt>
                <c:pt idx="435">
                  <c:v>82.227419999999995</c:v>
                </c:pt>
                <c:pt idx="436">
                  <c:v>82.227419999999995</c:v>
                </c:pt>
                <c:pt idx="437">
                  <c:v>82.227419999999995</c:v>
                </c:pt>
                <c:pt idx="438">
                  <c:v>82.227419999999995</c:v>
                </c:pt>
                <c:pt idx="439">
                  <c:v>82.227419999999995</c:v>
                </c:pt>
                <c:pt idx="440">
                  <c:v>82.227419999999995</c:v>
                </c:pt>
                <c:pt idx="441">
                  <c:v>82.227419999999995</c:v>
                </c:pt>
                <c:pt idx="442">
                  <c:v>82.227419999999995</c:v>
                </c:pt>
                <c:pt idx="443">
                  <c:v>82.227419999999995</c:v>
                </c:pt>
                <c:pt idx="444">
                  <c:v>82.227419999999995</c:v>
                </c:pt>
                <c:pt idx="445">
                  <c:v>82.227419999999995</c:v>
                </c:pt>
                <c:pt idx="446">
                  <c:v>82.227419999999995</c:v>
                </c:pt>
                <c:pt idx="447">
                  <c:v>82.227419999999995</c:v>
                </c:pt>
                <c:pt idx="448">
                  <c:v>82.227419999999995</c:v>
                </c:pt>
                <c:pt idx="449">
                  <c:v>82.227419999999995</c:v>
                </c:pt>
                <c:pt idx="450">
                  <c:v>82.227419999999995</c:v>
                </c:pt>
                <c:pt idx="451">
                  <c:v>82.227419999999995</c:v>
                </c:pt>
                <c:pt idx="452">
                  <c:v>82.227419999999995</c:v>
                </c:pt>
                <c:pt idx="453">
                  <c:v>82.227419999999995</c:v>
                </c:pt>
                <c:pt idx="454">
                  <c:v>82.227419999999995</c:v>
                </c:pt>
                <c:pt idx="455">
                  <c:v>82.227419999999995</c:v>
                </c:pt>
                <c:pt idx="456">
                  <c:v>82.227419999999995</c:v>
                </c:pt>
                <c:pt idx="457">
                  <c:v>82.227419999999995</c:v>
                </c:pt>
                <c:pt idx="458">
                  <c:v>82.227419999999995</c:v>
                </c:pt>
                <c:pt idx="459">
                  <c:v>82.227419999999995</c:v>
                </c:pt>
                <c:pt idx="460">
                  <c:v>82.227419999999995</c:v>
                </c:pt>
                <c:pt idx="461">
                  <c:v>82.227419999999995</c:v>
                </c:pt>
                <c:pt idx="462">
                  <c:v>82.227419999999995</c:v>
                </c:pt>
                <c:pt idx="463">
                  <c:v>82.227419999999995</c:v>
                </c:pt>
                <c:pt idx="464">
                  <c:v>82.227419999999995</c:v>
                </c:pt>
                <c:pt idx="465">
                  <c:v>82.227419999999995</c:v>
                </c:pt>
                <c:pt idx="466">
                  <c:v>82.227419999999995</c:v>
                </c:pt>
                <c:pt idx="467">
                  <c:v>82.227419999999995</c:v>
                </c:pt>
                <c:pt idx="468">
                  <c:v>82.227419999999995</c:v>
                </c:pt>
                <c:pt idx="469">
                  <c:v>82.227419999999995</c:v>
                </c:pt>
                <c:pt idx="470">
                  <c:v>82.227419999999995</c:v>
                </c:pt>
                <c:pt idx="471">
                  <c:v>82.227419999999995</c:v>
                </c:pt>
                <c:pt idx="472">
                  <c:v>82.227419999999995</c:v>
                </c:pt>
                <c:pt idx="473">
                  <c:v>82.227419999999995</c:v>
                </c:pt>
                <c:pt idx="474">
                  <c:v>82.227419999999995</c:v>
                </c:pt>
                <c:pt idx="475">
                  <c:v>82.227419999999995</c:v>
                </c:pt>
                <c:pt idx="476">
                  <c:v>82.227419999999995</c:v>
                </c:pt>
                <c:pt idx="477">
                  <c:v>82.227419999999995</c:v>
                </c:pt>
                <c:pt idx="478">
                  <c:v>82.227419999999995</c:v>
                </c:pt>
                <c:pt idx="479">
                  <c:v>82.227419999999995</c:v>
                </c:pt>
                <c:pt idx="480">
                  <c:v>82.227419999999995</c:v>
                </c:pt>
                <c:pt idx="481">
                  <c:v>82.227419999999995</c:v>
                </c:pt>
                <c:pt idx="482">
                  <c:v>82.227419999999995</c:v>
                </c:pt>
                <c:pt idx="483">
                  <c:v>82.227419999999995</c:v>
                </c:pt>
                <c:pt idx="484">
                  <c:v>82.227419999999995</c:v>
                </c:pt>
                <c:pt idx="485">
                  <c:v>82.227419999999995</c:v>
                </c:pt>
                <c:pt idx="486">
                  <c:v>82.227419999999995</c:v>
                </c:pt>
                <c:pt idx="487">
                  <c:v>82.227419999999995</c:v>
                </c:pt>
                <c:pt idx="488">
                  <c:v>82.227419999999995</c:v>
                </c:pt>
                <c:pt idx="489">
                  <c:v>82.227419999999995</c:v>
                </c:pt>
                <c:pt idx="490">
                  <c:v>82.227419999999995</c:v>
                </c:pt>
                <c:pt idx="491">
                  <c:v>82.227419999999995</c:v>
                </c:pt>
                <c:pt idx="492">
                  <c:v>82.227419999999995</c:v>
                </c:pt>
                <c:pt idx="493">
                  <c:v>82.227419999999995</c:v>
                </c:pt>
                <c:pt idx="494">
                  <c:v>82.227419999999995</c:v>
                </c:pt>
                <c:pt idx="495">
                  <c:v>82.227419999999995</c:v>
                </c:pt>
                <c:pt idx="496">
                  <c:v>82.227419999999995</c:v>
                </c:pt>
                <c:pt idx="497">
                  <c:v>82.227419999999995</c:v>
                </c:pt>
                <c:pt idx="498">
                  <c:v>82.227419999999995</c:v>
                </c:pt>
                <c:pt idx="499">
                  <c:v>82.227419999999995</c:v>
                </c:pt>
                <c:pt idx="500">
                  <c:v>82.227419999999995</c:v>
                </c:pt>
                <c:pt idx="501">
                  <c:v>82.227419999999995</c:v>
                </c:pt>
                <c:pt idx="502">
                  <c:v>82.227419999999995</c:v>
                </c:pt>
                <c:pt idx="503">
                  <c:v>82.227419999999995</c:v>
                </c:pt>
                <c:pt idx="504">
                  <c:v>82.227419999999995</c:v>
                </c:pt>
                <c:pt idx="505">
                  <c:v>82.227419999999995</c:v>
                </c:pt>
                <c:pt idx="506">
                  <c:v>82.227419999999995</c:v>
                </c:pt>
                <c:pt idx="507">
                  <c:v>82.227419999999995</c:v>
                </c:pt>
                <c:pt idx="508">
                  <c:v>82.227419999999995</c:v>
                </c:pt>
                <c:pt idx="509">
                  <c:v>82.227419999999995</c:v>
                </c:pt>
                <c:pt idx="510">
                  <c:v>82.227419999999995</c:v>
                </c:pt>
                <c:pt idx="511">
                  <c:v>82.227419999999995</c:v>
                </c:pt>
                <c:pt idx="512">
                  <c:v>82.227419999999995</c:v>
                </c:pt>
                <c:pt idx="513">
                  <c:v>82.227419999999995</c:v>
                </c:pt>
                <c:pt idx="514">
                  <c:v>82.227419999999995</c:v>
                </c:pt>
                <c:pt idx="515">
                  <c:v>82.227419999999995</c:v>
                </c:pt>
                <c:pt idx="516">
                  <c:v>82.227419999999995</c:v>
                </c:pt>
                <c:pt idx="517">
                  <c:v>82.227419999999995</c:v>
                </c:pt>
                <c:pt idx="518">
                  <c:v>82.227419999999995</c:v>
                </c:pt>
                <c:pt idx="519">
                  <c:v>82.227419999999995</c:v>
                </c:pt>
                <c:pt idx="520">
                  <c:v>82.227419999999995</c:v>
                </c:pt>
                <c:pt idx="521">
                  <c:v>82.227419999999995</c:v>
                </c:pt>
                <c:pt idx="522">
                  <c:v>82.227419999999995</c:v>
                </c:pt>
                <c:pt idx="523">
                  <c:v>82.227419999999995</c:v>
                </c:pt>
                <c:pt idx="524">
                  <c:v>82.227419999999995</c:v>
                </c:pt>
                <c:pt idx="525">
                  <c:v>82.227419999999995</c:v>
                </c:pt>
                <c:pt idx="526">
                  <c:v>82.227419999999995</c:v>
                </c:pt>
                <c:pt idx="527">
                  <c:v>82.227419999999995</c:v>
                </c:pt>
                <c:pt idx="528">
                  <c:v>82.227419999999995</c:v>
                </c:pt>
                <c:pt idx="529">
                  <c:v>82.227419999999995</c:v>
                </c:pt>
                <c:pt idx="530">
                  <c:v>82.227419999999995</c:v>
                </c:pt>
                <c:pt idx="531">
                  <c:v>82.227419999999995</c:v>
                </c:pt>
                <c:pt idx="532">
                  <c:v>82.227419999999995</c:v>
                </c:pt>
                <c:pt idx="533">
                  <c:v>82.227419999999995</c:v>
                </c:pt>
                <c:pt idx="534">
                  <c:v>82.227419999999995</c:v>
                </c:pt>
                <c:pt idx="535">
                  <c:v>82.227419999999995</c:v>
                </c:pt>
                <c:pt idx="536">
                  <c:v>82.227419999999995</c:v>
                </c:pt>
                <c:pt idx="537">
                  <c:v>82.227419999999995</c:v>
                </c:pt>
                <c:pt idx="538">
                  <c:v>82.227419999999995</c:v>
                </c:pt>
                <c:pt idx="539">
                  <c:v>82.227419999999995</c:v>
                </c:pt>
                <c:pt idx="540">
                  <c:v>82.227419999999995</c:v>
                </c:pt>
                <c:pt idx="541">
                  <c:v>82.227419999999995</c:v>
                </c:pt>
                <c:pt idx="542">
                  <c:v>82.227419999999995</c:v>
                </c:pt>
                <c:pt idx="543">
                  <c:v>82.227419999999995</c:v>
                </c:pt>
                <c:pt idx="544">
                  <c:v>82.227419999999995</c:v>
                </c:pt>
                <c:pt idx="545">
                  <c:v>82.227419999999995</c:v>
                </c:pt>
                <c:pt idx="546">
                  <c:v>82.227419999999995</c:v>
                </c:pt>
                <c:pt idx="547">
                  <c:v>82.227419999999995</c:v>
                </c:pt>
                <c:pt idx="548">
                  <c:v>82.227419999999995</c:v>
                </c:pt>
                <c:pt idx="549">
                  <c:v>82.227419999999995</c:v>
                </c:pt>
                <c:pt idx="550">
                  <c:v>82.227419999999995</c:v>
                </c:pt>
                <c:pt idx="551">
                  <c:v>82.227419999999995</c:v>
                </c:pt>
                <c:pt idx="552">
                  <c:v>82.227419999999995</c:v>
                </c:pt>
                <c:pt idx="553">
                  <c:v>82.227419999999995</c:v>
                </c:pt>
                <c:pt idx="554">
                  <c:v>82.227419999999995</c:v>
                </c:pt>
                <c:pt idx="555">
                  <c:v>82.227419999999995</c:v>
                </c:pt>
                <c:pt idx="556">
                  <c:v>82.227419999999995</c:v>
                </c:pt>
                <c:pt idx="557">
                  <c:v>82.227419999999995</c:v>
                </c:pt>
                <c:pt idx="558">
                  <c:v>82.227419999999995</c:v>
                </c:pt>
                <c:pt idx="559">
                  <c:v>82.227419999999995</c:v>
                </c:pt>
                <c:pt idx="560">
                  <c:v>82.227419999999995</c:v>
                </c:pt>
                <c:pt idx="561">
                  <c:v>82.227419999999995</c:v>
                </c:pt>
                <c:pt idx="562">
                  <c:v>82.227419999999995</c:v>
                </c:pt>
                <c:pt idx="563">
                  <c:v>82.227419999999995</c:v>
                </c:pt>
                <c:pt idx="564">
                  <c:v>82.227419999999995</c:v>
                </c:pt>
                <c:pt idx="565">
                  <c:v>82.227419999999995</c:v>
                </c:pt>
                <c:pt idx="566">
                  <c:v>82.227419999999995</c:v>
                </c:pt>
                <c:pt idx="567">
                  <c:v>82.227419999999995</c:v>
                </c:pt>
                <c:pt idx="568">
                  <c:v>82.227419999999995</c:v>
                </c:pt>
                <c:pt idx="569">
                  <c:v>82.227419999999995</c:v>
                </c:pt>
                <c:pt idx="570">
                  <c:v>82.227419999999995</c:v>
                </c:pt>
                <c:pt idx="571">
                  <c:v>82.227419999999995</c:v>
                </c:pt>
                <c:pt idx="572">
                  <c:v>82.227419999999995</c:v>
                </c:pt>
                <c:pt idx="573">
                  <c:v>82.227419999999995</c:v>
                </c:pt>
                <c:pt idx="574">
                  <c:v>82.227419999999995</c:v>
                </c:pt>
                <c:pt idx="575">
                  <c:v>82.227419999999995</c:v>
                </c:pt>
                <c:pt idx="576">
                  <c:v>82.227419999999995</c:v>
                </c:pt>
                <c:pt idx="577">
                  <c:v>82.227419999999995</c:v>
                </c:pt>
                <c:pt idx="578">
                  <c:v>82.227419999999995</c:v>
                </c:pt>
                <c:pt idx="579">
                  <c:v>82.227419999999995</c:v>
                </c:pt>
                <c:pt idx="580">
                  <c:v>82.227419999999995</c:v>
                </c:pt>
                <c:pt idx="581">
                  <c:v>82.227419999999995</c:v>
                </c:pt>
                <c:pt idx="582">
                  <c:v>82.227419999999995</c:v>
                </c:pt>
                <c:pt idx="583">
                  <c:v>82.227419999999995</c:v>
                </c:pt>
                <c:pt idx="584">
                  <c:v>82.227419999999995</c:v>
                </c:pt>
                <c:pt idx="585">
                  <c:v>82.227419999999995</c:v>
                </c:pt>
                <c:pt idx="586">
                  <c:v>82.227419999999995</c:v>
                </c:pt>
                <c:pt idx="587">
                  <c:v>82.227419999999995</c:v>
                </c:pt>
                <c:pt idx="588">
                  <c:v>82.227419999999995</c:v>
                </c:pt>
                <c:pt idx="589">
                  <c:v>82.227419999999995</c:v>
                </c:pt>
                <c:pt idx="590">
                  <c:v>82.227419999999995</c:v>
                </c:pt>
                <c:pt idx="591">
                  <c:v>82.227419999999995</c:v>
                </c:pt>
                <c:pt idx="592">
                  <c:v>82.227419999999995</c:v>
                </c:pt>
                <c:pt idx="593">
                  <c:v>82.227419999999995</c:v>
                </c:pt>
                <c:pt idx="594">
                  <c:v>82.227419999999995</c:v>
                </c:pt>
                <c:pt idx="595">
                  <c:v>82.227419999999995</c:v>
                </c:pt>
                <c:pt idx="596">
                  <c:v>82.227419999999995</c:v>
                </c:pt>
                <c:pt idx="597">
                  <c:v>82.227419999999995</c:v>
                </c:pt>
                <c:pt idx="598">
                  <c:v>82.227419999999995</c:v>
                </c:pt>
                <c:pt idx="599">
                  <c:v>82.227419999999995</c:v>
                </c:pt>
                <c:pt idx="600">
                  <c:v>82.227419999999995</c:v>
                </c:pt>
                <c:pt idx="601">
                  <c:v>82.227419999999995</c:v>
                </c:pt>
                <c:pt idx="602">
                  <c:v>82.227419999999995</c:v>
                </c:pt>
                <c:pt idx="603">
                  <c:v>82.227419999999995</c:v>
                </c:pt>
                <c:pt idx="604">
                  <c:v>82.227419999999995</c:v>
                </c:pt>
                <c:pt idx="605">
                  <c:v>82.227419999999995</c:v>
                </c:pt>
                <c:pt idx="606">
                  <c:v>82.227419999999995</c:v>
                </c:pt>
                <c:pt idx="607">
                  <c:v>82.227419999999995</c:v>
                </c:pt>
                <c:pt idx="608">
                  <c:v>82.227419999999995</c:v>
                </c:pt>
                <c:pt idx="609">
                  <c:v>82.227419999999995</c:v>
                </c:pt>
                <c:pt idx="610">
                  <c:v>82.227419999999995</c:v>
                </c:pt>
                <c:pt idx="611">
                  <c:v>82.227419999999995</c:v>
                </c:pt>
                <c:pt idx="612">
                  <c:v>82.227419999999995</c:v>
                </c:pt>
                <c:pt idx="613">
                  <c:v>82.227419999999995</c:v>
                </c:pt>
                <c:pt idx="614">
                  <c:v>82.227419999999995</c:v>
                </c:pt>
                <c:pt idx="615">
                  <c:v>82.227419999999995</c:v>
                </c:pt>
                <c:pt idx="616">
                  <c:v>82.227419999999995</c:v>
                </c:pt>
                <c:pt idx="617">
                  <c:v>82.227419999999995</c:v>
                </c:pt>
                <c:pt idx="618">
                  <c:v>82.227419999999995</c:v>
                </c:pt>
                <c:pt idx="619">
                  <c:v>82.227419999999995</c:v>
                </c:pt>
                <c:pt idx="620">
                  <c:v>82.227419999999995</c:v>
                </c:pt>
                <c:pt idx="621">
                  <c:v>82.227419999999995</c:v>
                </c:pt>
                <c:pt idx="622">
                  <c:v>82.227419999999995</c:v>
                </c:pt>
                <c:pt idx="623">
                  <c:v>82.227419999999995</c:v>
                </c:pt>
                <c:pt idx="624">
                  <c:v>82.227419999999995</c:v>
                </c:pt>
                <c:pt idx="625">
                  <c:v>82.227419999999995</c:v>
                </c:pt>
                <c:pt idx="626">
                  <c:v>82.227419999999995</c:v>
                </c:pt>
                <c:pt idx="627">
                  <c:v>82.227419999999995</c:v>
                </c:pt>
                <c:pt idx="628">
                  <c:v>82.227419999999995</c:v>
                </c:pt>
                <c:pt idx="629">
                  <c:v>82.227419999999995</c:v>
                </c:pt>
                <c:pt idx="630">
                  <c:v>82.227419999999995</c:v>
                </c:pt>
                <c:pt idx="631">
                  <c:v>82.227419999999995</c:v>
                </c:pt>
                <c:pt idx="632">
                  <c:v>82.227419999999995</c:v>
                </c:pt>
                <c:pt idx="633">
                  <c:v>82.227419999999995</c:v>
                </c:pt>
                <c:pt idx="634">
                  <c:v>82.227419999999995</c:v>
                </c:pt>
                <c:pt idx="635">
                  <c:v>82.227419999999995</c:v>
                </c:pt>
                <c:pt idx="636">
                  <c:v>82.227419999999995</c:v>
                </c:pt>
                <c:pt idx="637">
                  <c:v>82.227419999999995</c:v>
                </c:pt>
                <c:pt idx="638">
                  <c:v>82.227419999999995</c:v>
                </c:pt>
                <c:pt idx="639">
                  <c:v>82.227419999999995</c:v>
                </c:pt>
                <c:pt idx="640">
                  <c:v>82.227419999999995</c:v>
                </c:pt>
                <c:pt idx="641">
                  <c:v>82.227419999999995</c:v>
                </c:pt>
                <c:pt idx="642">
                  <c:v>82.227419999999995</c:v>
                </c:pt>
                <c:pt idx="643">
                  <c:v>82.227419999999995</c:v>
                </c:pt>
                <c:pt idx="644">
                  <c:v>82.227419999999995</c:v>
                </c:pt>
                <c:pt idx="645">
                  <c:v>82.227419999999995</c:v>
                </c:pt>
                <c:pt idx="646">
                  <c:v>82.227419999999995</c:v>
                </c:pt>
                <c:pt idx="647">
                  <c:v>82.227419999999995</c:v>
                </c:pt>
                <c:pt idx="648">
                  <c:v>82.227419999999995</c:v>
                </c:pt>
                <c:pt idx="649">
                  <c:v>82.227419999999995</c:v>
                </c:pt>
                <c:pt idx="650">
                  <c:v>82.227419999999995</c:v>
                </c:pt>
                <c:pt idx="651">
                  <c:v>82.227419999999995</c:v>
                </c:pt>
                <c:pt idx="652">
                  <c:v>82.227419999999995</c:v>
                </c:pt>
                <c:pt idx="653">
                  <c:v>82.227419999999995</c:v>
                </c:pt>
                <c:pt idx="654">
                  <c:v>82.227419999999995</c:v>
                </c:pt>
                <c:pt idx="655">
                  <c:v>82.227419999999995</c:v>
                </c:pt>
                <c:pt idx="656">
                  <c:v>82.227419999999995</c:v>
                </c:pt>
                <c:pt idx="657">
                  <c:v>82.227419999999995</c:v>
                </c:pt>
                <c:pt idx="658">
                  <c:v>82.227419999999995</c:v>
                </c:pt>
                <c:pt idx="659">
                  <c:v>82.227419999999995</c:v>
                </c:pt>
                <c:pt idx="660">
                  <c:v>82.227419999999995</c:v>
                </c:pt>
                <c:pt idx="661">
                  <c:v>82.227419999999995</c:v>
                </c:pt>
                <c:pt idx="662">
                  <c:v>82.227419999999995</c:v>
                </c:pt>
                <c:pt idx="663">
                  <c:v>82.227419999999995</c:v>
                </c:pt>
                <c:pt idx="664">
                  <c:v>82.227419999999995</c:v>
                </c:pt>
                <c:pt idx="665">
                  <c:v>82.227419999999995</c:v>
                </c:pt>
                <c:pt idx="666">
                  <c:v>82.227419999999995</c:v>
                </c:pt>
                <c:pt idx="667">
                  <c:v>82.227419999999995</c:v>
                </c:pt>
                <c:pt idx="668">
                  <c:v>82.227419999999995</c:v>
                </c:pt>
                <c:pt idx="669">
                  <c:v>82.227419999999995</c:v>
                </c:pt>
                <c:pt idx="670">
                  <c:v>82.227419999999995</c:v>
                </c:pt>
                <c:pt idx="671">
                  <c:v>82.227419999999995</c:v>
                </c:pt>
                <c:pt idx="672">
                  <c:v>82.227419999999995</c:v>
                </c:pt>
                <c:pt idx="673">
                  <c:v>82.227419999999995</c:v>
                </c:pt>
                <c:pt idx="674">
                  <c:v>82.227419999999995</c:v>
                </c:pt>
                <c:pt idx="675">
                  <c:v>82.227419999999995</c:v>
                </c:pt>
                <c:pt idx="676">
                  <c:v>82.227419999999995</c:v>
                </c:pt>
                <c:pt idx="677">
                  <c:v>82.227419999999995</c:v>
                </c:pt>
                <c:pt idx="678">
                  <c:v>82.227419999999995</c:v>
                </c:pt>
                <c:pt idx="679">
                  <c:v>82.227419999999995</c:v>
                </c:pt>
                <c:pt idx="680">
                  <c:v>82.227419999999995</c:v>
                </c:pt>
                <c:pt idx="681">
                  <c:v>82.227419999999995</c:v>
                </c:pt>
                <c:pt idx="682">
                  <c:v>82.227419999999995</c:v>
                </c:pt>
                <c:pt idx="683">
                  <c:v>82.227419999999995</c:v>
                </c:pt>
                <c:pt idx="684">
                  <c:v>82.227419999999995</c:v>
                </c:pt>
                <c:pt idx="685">
                  <c:v>82.227419999999995</c:v>
                </c:pt>
                <c:pt idx="686">
                  <c:v>82.227419999999995</c:v>
                </c:pt>
                <c:pt idx="687">
                  <c:v>82.227419999999995</c:v>
                </c:pt>
                <c:pt idx="688">
                  <c:v>82.227419999999995</c:v>
                </c:pt>
                <c:pt idx="689">
                  <c:v>82.227419999999995</c:v>
                </c:pt>
                <c:pt idx="690">
                  <c:v>82.227419999999995</c:v>
                </c:pt>
                <c:pt idx="691">
                  <c:v>82.227419999999995</c:v>
                </c:pt>
                <c:pt idx="692">
                  <c:v>82.227419999999995</c:v>
                </c:pt>
                <c:pt idx="693">
                  <c:v>82.227419999999995</c:v>
                </c:pt>
                <c:pt idx="694">
                  <c:v>82.227419999999995</c:v>
                </c:pt>
                <c:pt idx="695">
                  <c:v>82.227419999999995</c:v>
                </c:pt>
                <c:pt idx="696">
                  <c:v>82.227419999999995</c:v>
                </c:pt>
                <c:pt idx="697">
                  <c:v>82.227419999999995</c:v>
                </c:pt>
                <c:pt idx="698">
                  <c:v>82.227419999999995</c:v>
                </c:pt>
                <c:pt idx="699">
                  <c:v>82.227419999999995</c:v>
                </c:pt>
                <c:pt idx="700">
                  <c:v>82.227419999999995</c:v>
                </c:pt>
                <c:pt idx="701">
                  <c:v>82.227419999999995</c:v>
                </c:pt>
                <c:pt idx="702">
                  <c:v>82.227419999999995</c:v>
                </c:pt>
                <c:pt idx="703">
                  <c:v>82.227419999999995</c:v>
                </c:pt>
                <c:pt idx="704">
                  <c:v>82.227419999999995</c:v>
                </c:pt>
                <c:pt idx="705">
                  <c:v>82.227419999999995</c:v>
                </c:pt>
                <c:pt idx="706">
                  <c:v>82.227419999999995</c:v>
                </c:pt>
                <c:pt idx="707">
                  <c:v>82.227419999999995</c:v>
                </c:pt>
                <c:pt idx="708">
                  <c:v>82.227419999999995</c:v>
                </c:pt>
                <c:pt idx="709">
                  <c:v>82.227419999999995</c:v>
                </c:pt>
                <c:pt idx="710">
                  <c:v>82.227419999999995</c:v>
                </c:pt>
                <c:pt idx="711">
                  <c:v>82.227419999999995</c:v>
                </c:pt>
                <c:pt idx="712">
                  <c:v>82.227419999999995</c:v>
                </c:pt>
                <c:pt idx="713">
                  <c:v>82.227419999999995</c:v>
                </c:pt>
                <c:pt idx="714">
                  <c:v>82.227419999999995</c:v>
                </c:pt>
                <c:pt idx="715">
                  <c:v>82.227419999999995</c:v>
                </c:pt>
                <c:pt idx="716">
                  <c:v>82.227419999999995</c:v>
                </c:pt>
                <c:pt idx="717">
                  <c:v>82.227419999999995</c:v>
                </c:pt>
                <c:pt idx="718">
                  <c:v>82.227419999999995</c:v>
                </c:pt>
                <c:pt idx="719">
                  <c:v>82.227419999999995</c:v>
                </c:pt>
                <c:pt idx="720">
                  <c:v>82.227419999999995</c:v>
                </c:pt>
                <c:pt idx="721">
                  <c:v>82.227419999999995</c:v>
                </c:pt>
                <c:pt idx="722">
                  <c:v>82.227419999999995</c:v>
                </c:pt>
                <c:pt idx="723">
                  <c:v>82.227419999999995</c:v>
                </c:pt>
                <c:pt idx="724">
                  <c:v>82.227419999999995</c:v>
                </c:pt>
                <c:pt idx="725">
                  <c:v>82.227419999999995</c:v>
                </c:pt>
                <c:pt idx="726">
                  <c:v>82.227419999999995</c:v>
                </c:pt>
                <c:pt idx="727">
                  <c:v>82.227419999999995</c:v>
                </c:pt>
                <c:pt idx="728">
                  <c:v>82.227419999999995</c:v>
                </c:pt>
                <c:pt idx="729">
                  <c:v>82.227419999999995</c:v>
                </c:pt>
                <c:pt idx="730">
                  <c:v>82.227419999999995</c:v>
                </c:pt>
                <c:pt idx="731">
                  <c:v>82.227419999999995</c:v>
                </c:pt>
                <c:pt idx="732">
                  <c:v>82.227419999999995</c:v>
                </c:pt>
                <c:pt idx="733">
                  <c:v>82.227419999999995</c:v>
                </c:pt>
                <c:pt idx="734">
                  <c:v>82.227419999999995</c:v>
                </c:pt>
                <c:pt idx="735">
                  <c:v>82.227419999999995</c:v>
                </c:pt>
                <c:pt idx="736">
                  <c:v>82.227419999999995</c:v>
                </c:pt>
                <c:pt idx="737">
                  <c:v>82.227419999999995</c:v>
                </c:pt>
                <c:pt idx="738">
                  <c:v>82.227419999999995</c:v>
                </c:pt>
                <c:pt idx="739">
                  <c:v>82.227419999999995</c:v>
                </c:pt>
                <c:pt idx="740">
                  <c:v>82.227419999999995</c:v>
                </c:pt>
                <c:pt idx="741">
                  <c:v>82.227419999999995</c:v>
                </c:pt>
                <c:pt idx="742">
                  <c:v>82.227419999999995</c:v>
                </c:pt>
                <c:pt idx="743">
                  <c:v>82.227419999999995</c:v>
                </c:pt>
                <c:pt idx="744">
                  <c:v>82.227419999999995</c:v>
                </c:pt>
                <c:pt idx="745">
                  <c:v>82.227419999999995</c:v>
                </c:pt>
                <c:pt idx="746">
                  <c:v>82.227419999999995</c:v>
                </c:pt>
                <c:pt idx="747">
                  <c:v>82.227419999999995</c:v>
                </c:pt>
                <c:pt idx="748">
                  <c:v>82.227419999999995</c:v>
                </c:pt>
                <c:pt idx="749">
                  <c:v>82.227419999999995</c:v>
                </c:pt>
                <c:pt idx="750">
                  <c:v>82.227419999999995</c:v>
                </c:pt>
                <c:pt idx="751">
                  <c:v>82.227419999999995</c:v>
                </c:pt>
                <c:pt idx="752">
                  <c:v>82.227419999999995</c:v>
                </c:pt>
                <c:pt idx="753">
                  <c:v>82.227419999999995</c:v>
                </c:pt>
                <c:pt idx="754">
                  <c:v>82.227419999999995</c:v>
                </c:pt>
                <c:pt idx="755">
                  <c:v>82.227419999999995</c:v>
                </c:pt>
                <c:pt idx="756">
                  <c:v>82.227419999999995</c:v>
                </c:pt>
                <c:pt idx="757">
                  <c:v>82.227419999999995</c:v>
                </c:pt>
                <c:pt idx="758">
                  <c:v>82.227419999999995</c:v>
                </c:pt>
                <c:pt idx="759">
                  <c:v>82.227419999999995</c:v>
                </c:pt>
                <c:pt idx="760">
                  <c:v>82.227419999999995</c:v>
                </c:pt>
                <c:pt idx="761">
                  <c:v>82.227419999999995</c:v>
                </c:pt>
                <c:pt idx="762">
                  <c:v>82.227419999999995</c:v>
                </c:pt>
                <c:pt idx="763">
                  <c:v>82.227419999999995</c:v>
                </c:pt>
                <c:pt idx="764">
                  <c:v>82.227419999999995</c:v>
                </c:pt>
                <c:pt idx="765">
                  <c:v>82.227419999999995</c:v>
                </c:pt>
                <c:pt idx="766">
                  <c:v>82.227419999999995</c:v>
                </c:pt>
                <c:pt idx="767">
                  <c:v>82.227419999999995</c:v>
                </c:pt>
                <c:pt idx="768">
                  <c:v>82.227419999999995</c:v>
                </c:pt>
                <c:pt idx="769">
                  <c:v>82.227419999999995</c:v>
                </c:pt>
                <c:pt idx="770">
                  <c:v>82.227419999999995</c:v>
                </c:pt>
                <c:pt idx="771">
                  <c:v>82.227419999999995</c:v>
                </c:pt>
                <c:pt idx="772">
                  <c:v>82.227419999999995</c:v>
                </c:pt>
                <c:pt idx="773">
                  <c:v>82.227419999999995</c:v>
                </c:pt>
                <c:pt idx="774">
                  <c:v>82.227419999999995</c:v>
                </c:pt>
                <c:pt idx="775">
                  <c:v>82.227419999999995</c:v>
                </c:pt>
                <c:pt idx="776">
                  <c:v>82.227419999999995</c:v>
                </c:pt>
                <c:pt idx="777">
                  <c:v>82.227419999999995</c:v>
                </c:pt>
                <c:pt idx="778">
                  <c:v>82.227419999999995</c:v>
                </c:pt>
                <c:pt idx="779">
                  <c:v>82.227419999999995</c:v>
                </c:pt>
                <c:pt idx="780">
                  <c:v>82.227419999999995</c:v>
                </c:pt>
                <c:pt idx="781">
                  <c:v>82.227419999999995</c:v>
                </c:pt>
                <c:pt idx="782">
                  <c:v>82.227419999999995</c:v>
                </c:pt>
                <c:pt idx="783">
                  <c:v>82.227419999999995</c:v>
                </c:pt>
                <c:pt idx="784">
                  <c:v>82.227419999999995</c:v>
                </c:pt>
                <c:pt idx="785">
                  <c:v>82.227419999999995</c:v>
                </c:pt>
                <c:pt idx="786">
                  <c:v>82.227419999999995</c:v>
                </c:pt>
                <c:pt idx="787">
                  <c:v>82.227419999999995</c:v>
                </c:pt>
                <c:pt idx="788">
                  <c:v>82.227419999999995</c:v>
                </c:pt>
                <c:pt idx="789">
                  <c:v>82.227419999999995</c:v>
                </c:pt>
                <c:pt idx="790">
                  <c:v>82.227419999999995</c:v>
                </c:pt>
                <c:pt idx="791">
                  <c:v>82.227419999999995</c:v>
                </c:pt>
                <c:pt idx="792">
                  <c:v>82.227419999999995</c:v>
                </c:pt>
                <c:pt idx="793">
                  <c:v>82.227419999999995</c:v>
                </c:pt>
                <c:pt idx="794">
                  <c:v>82.227419999999995</c:v>
                </c:pt>
                <c:pt idx="795">
                  <c:v>82.227419999999995</c:v>
                </c:pt>
                <c:pt idx="796">
                  <c:v>82.227419999999995</c:v>
                </c:pt>
                <c:pt idx="797">
                  <c:v>82.227419999999995</c:v>
                </c:pt>
                <c:pt idx="798">
                  <c:v>82.227419999999995</c:v>
                </c:pt>
                <c:pt idx="799">
                  <c:v>82.227419999999995</c:v>
                </c:pt>
                <c:pt idx="800">
                  <c:v>82.227419999999995</c:v>
                </c:pt>
                <c:pt idx="801">
                  <c:v>82.227419999999995</c:v>
                </c:pt>
                <c:pt idx="802">
                  <c:v>82.227419999999995</c:v>
                </c:pt>
                <c:pt idx="803">
                  <c:v>82.227419999999995</c:v>
                </c:pt>
                <c:pt idx="804">
                  <c:v>82.227419999999995</c:v>
                </c:pt>
                <c:pt idx="805">
                  <c:v>82.227419999999995</c:v>
                </c:pt>
                <c:pt idx="806">
                  <c:v>82.227419999999995</c:v>
                </c:pt>
                <c:pt idx="807">
                  <c:v>82.227419999999995</c:v>
                </c:pt>
                <c:pt idx="808">
                  <c:v>82.227419999999995</c:v>
                </c:pt>
                <c:pt idx="809">
                  <c:v>82.227419999999995</c:v>
                </c:pt>
                <c:pt idx="810">
                  <c:v>82.227419999999995</c:v>
                </c:pt>
                <c:pt idx="811">
                  <c:v>82.227419999999995</c:v>
                </c:pt>
                <c:pt idx="812">
                  <c:v>82.227419999999995</c:v>
                </c:pt>
                <c:pt idx="813">
                  <c:v>82.227419999999995</c:v>
                </c:pt>
                <c:pt idx="814">
                  <c:v>82.227419999999995</c:v>
                </c:pt>
                <c:pt idx="815">
                  <c:v>82.227419999999995</c:v>
                </c:pt>
                <c:pt idx="816">
                  <c:v>82.227419999999995</c:v>
                </c:pt>
                <c:pt idx="817">
                  <c:v>82.227419999999995</c:v>
                </c:pt>
                <c:pt idx="818">
                  <c:v>82.227419999999995</c:v>
                </c:pt>
                <c:pt idx="819">
                  <c:v>82.227419999999995</c:v>
                </c:pt>
                <c:pt idx="820">
                  <c:v>82.227419999999995</c:v>
                </c:pt>
                <c:pt idx="821">
                  <c:v>82.227419999999995</c:v>
                </c:pt>
                <c:pt idx="822">
                  <c:v>82.227419999999995</c:v>
                </c:pt>
                <c:pt idx="823">
                  <c:v>82.227419999999995</c:v>
                </c:pt>
                <c:pt idx="824">
                  <c:v>82.227419999999995</c:v>
                </c:pt>
                <c:pt idx="825">
                  <c:v>82.227419999999995</c:v>
                </c:pt>
                <c:pt idx="826">
                  <c:v>82.227419999999995</c:v>
                </c:pt>
                <c:pt idx="827">
                  <c:v>82.227419999999995</c:v>
                </c:pt>
                <c:pt idx="828">
                  <c:v>82.227419999999995</c:v>
                </c:pt>
                <c:pt idx="829">
                  <c:v>82.227419999999995</c:v>
                </c:pt>
                <c:pt idx="830">
                  <c:v>82.227419999999995</c:v>
                </c:pt>
                <c:pt idx="831">
                  <c:v>82.227419999999995</c:v>
                </c:pt>
                <c:pt idx="832">
                  <c:v>82.227419999999995</c:v>
                </c:pt>
                <c:pt idx="833">
                  <c:v>82.227419999999995</c:v>
                </c:pt>
                <c:pt idx="834">
                  <c:v>82.227419999999995</c:v>
                </c:pt>
                <c:pt idx="835">
                  <c:v>82.227419999999995</c:v>
                </c:pt>
                <c:pt idx="836">
                  <c:v>82.227419999999995</c:v>
                </c:pt>
                <c:pt idx="837">
                  <c:v>82.227419999999995</c:v>
                </c:pt>
                <c:pt idx="838">
                  <c:v>82.227419999999995</c:v>
                </c:pt>
                <c:pt idx="839">
                  <c:v>82.227419999999995</c:v>
                </c:pt>
                <c:pt idx="840">
                  <c:v>82.227419999999995</c:v>
                </c:pt>
                <c:pt idx="841">
                  <c:v>82.227419999999995</c:v>
                </c:pt>
                <c:pt idx="842">
                  <c:v>82.227419999999995</c:v>
                </c:pt>
                <c:pt idx="843">
                  <c:v>82.227419999999995</c:v>
                </c:pt>
                <c:pt idx="844">
                  <c:v>82.227419999999995</c:v>
                </c:pt>
                <c:pt idx="845">
                  <c:v>82.227419999999995</c:v>
                </c:pt>
                <c:pt idx="846">
                  <c:v>82.227419999999995</c:v>
                </c:pt>
                <c:pt idx="847">
                  <c:v>82.227419999999995</c:v>
                </c:pt>
                <c:pt idx="848">
                  <c:v>82.227419999999995</c:v>
                </c:pt>
                <c:pt idx="849">
                  <c:v>82.227419999999995</c:v>
                </c:pt>
                <c:pt idx="850">
                  <c:v>82.227419999999995</c:v>
                </c:pt>
                <c:pt idx="851">
                  <c:v>82.227419999999995</c:v>
                </c:pt>
                <c:pt idx="852">
                  <c:v>82.227419999999995</c:v>
                </c:pt>
                <c:pt idx="853">
                  <c:v>82.227419999999995</c:v>
                </c:pt>
                <c:pt idx="854">
                  <c:v>82.227419999999995</c:v>
                </c:pt>
                <c:pt idx="855">
                  <c:v>82.227419999999995</c:v>
                </c:pt>
                <c:pt idx="856">
                  <c:v>82.227419999999995</c:v>
                </c:pt>
                <c:pt idx="857">
                  <c:v>82.227419999999995</c:v>
                </c:pt>
                <c:pt idx="858">
                  <c:v>82.227419999999995</c:v>
                </c:pt>
                <c:pt idx="859">
                  <c:v>82.227419999999995</c:v>
                </c:pt>
                <c:pt idx="860">
                  <c:v>82.227419999999995</c:v>
                </c:pt>
                <c:pt idx="861">
                  <c:v>82.227419999999995</c:v>
                </c:pt>
                <c:pt idx="862">
                  <c:v>82.227419999999995</c:v>
                </c:pt>
                <c:pt idx="863">
                  <c:v>82.227419999999995</c:v>
                </c:pt>
                <c:pt idx="864">
                  <c:v>82.227419999999995</c:v>
                </c:pt>
                <c:pt idx="865">
                  <c:v>82.227419999999995</c:v>
                </c:pt>
                <c:pt idx="866">
                  <c:v>82.227419999999995</c:v>
                </c:pt>
                <c:pt idx="867">
                  <c:v>82.227419999999995</c:v>
                </c:pt>
                <c:pt idx="868">
                  <c:v>82.227419999999995</c:v>
                </c:pt>
                <c:pt idx="869">
                  <c:v>82.227419999999995</c:v>
                </c:pt>
                <c:pt idx="870">
                  <c:v>82.227419999999995</c:v>
                </c:pt>
                <c:pt idx="871">
                  <c:v>82.227419999999995</c:v>
                </c:pt>
                <c:pt idx="872">
                  <c:v>82.227419999999995</c:v>
                </c:pt>
                <c:pt idx="873">
                  <c:v>82.227419999999995</c:v>
                </c:pt>
                <c:pt idx="874">
                  <c:v>82.227419999999995</c:v>
                </c:pt>
                <c:pt idx="875">
                  <c:v>82.227419999999995</c:v>
                </c:pt>
                <c:pt idx="876">
                  <c:v>82.227419999999995</c:v>
                </c:pt>
                <c:pt idx="877">
                  <c:v>82.227419999999995</c:v>
                </c:pt>
                <c:pt idx="878">
                  <c:v>82.227419999999995</c:v>
                </c:pt>
                <c:pt idx="879">
                  <c:v>82.227419999999995</c:v>
                </c:pt>
                <c:pt idx="880">
                  <c:v>82.227419999999995</c:v>
                </c:pt>
                <c:pt idx="881">
                  <c:v>82.227419999999995</c:v>
                </c:pt>
                <c:pt idx="882">
                  <c:v>82.227419999999995</c:v>
                </c:pt>
                <c:pt idx="883">
                  <c:v>82.227419999999995</c:v>
                </c:pt>
                <c:pt idx="884">
                  <c:v>82.227419999999995</c:v>
                </c:pt>
                <c:pt idx="885">
                  <c:v>82.227419999999995</c:v>
                </c:pt>
                <c:pt idx="886">
                  <c:v>82.227419999999995</c:v>
                </c:pt>
                <c:pt idx="887">
                  <c:v>82.227419999999995</c:v>
                </c:pt>
                <c:pt idx="888">
                  <c:v>82.227419999999995</c:v>
                </c:pt>
                <c:pt idx="889">
                  <c:v>82.227419999999995</c:v>
                </c:pt>
                <c:pt idx="890">
                  <c:v>82.227419999999995</c:v>
                </c:pt>
                <c:pt idx="891">
                  <c:v>82.227419999999995</c:v>
                </c:pt>
                <c:pt idx="892">
                  <c:v>82.227419999999995</c:v>
                </c:pt>
                <c:pt idx="893">
                  <c:v>82.227419999999995</c:v>
                </c:pt>
                <c:pt idx="894">
                  <c:v>82.227419999999995</c:v>
                </c:pt>
                <c:pt idx="895">
                  <c:v>82.227419999999995</c:v>
                </c:pt>
                <c:pt idx="896">
                  <c:v>82.227419999999995</c:v>
                </c:pt>
                <c:pt idx="897">
                  <c:v>82.227419999999995</c:v>
                </c:pt>
                <c:pt idx="898">
                  <c:v>82.227419999999995</c:v>
                </c:pt>
                <c:pt idx="899">
                  <c:v>82.227419999999995</c:v>
                </c:pt>
                <c:pt idx="900">
                  <c:v>82.227419999999995</c:v>
                </c:pt>
                <c:pt idx="901">
                  <c:v>82.227419999999995</c:v>
                </c:pt>
                <c:pt idx="902">
                  <c:v>82.227419999999995</c:v>
                </c:pt>
                <c:pt idx="903">
                  <c:v>82.227419999999995</c:v>
                </c:pt>
                <c:pt idx="904">
                  <c:v>82.227419999999995</c:v>
                </c:pt>
                <c:pt idx="905">
                  <c:v>82.227419999999995</c:v>
                </c:pt>
                <c:pt idx="906">
                  <c:v>82.227419999999995</c:v>
                </c:pt>
                <c:pt idx="907">
                  <c:v>82.227419999999995</c:v>
                </c:pt>
                <c:pt idx="908">
                  <c:v>82.227419999999995</c:v>
                </c:pt>
                <c:pt idx="909">
                  <c:v>82.227419999999995</c:v>
                </c:pt>
                <c:pt idx="910">
                  <c:v>82.227419999999995</c:v>
                </c:pt>
                <c:pt idx="911">
                  <c:v>82.227419999999995</c:v>
                </c:pt>
                <c:pt idx="912">
                  <c:v>82.227419999999995</c:v>
                </c:pt>
                <c:pt idx="913">
                  <c:v>82.227419999999995</c:v>
                </c:pt>
                <c:pt idx="914">
                  <c:v>82.227419999999995</c:v>
                </c:pt>
                <c:pt idx="915">
                  <c:v>82.227419999999995</c:v>
                </c:pt>
                <c:pt idx="916">
                  <c:v>82.227419999999995</c:v>
                </c:pt>
                <c:pt idx="917">
                  <c:v>82.227419999999995</c:v>
                </c:pt>
                <c:pt idx="918">
                  <c:v>82.227419999999995</c:v>
                </c:pt>
                <c:pt idx="919">
                  <c:v>82.227419999999995</c:v>
                </c:pt>
                <c:pt idx="920">
                  <c:v>82.227419999999995</c:v>
                </c:pt>
                <c:pt idx="921">
                  <c:v>82.227419999999995</c:v>
                </c:pt>
                <c:pt idx="922">
                  <c:v>82.227419999999995</c:v>
                </c:pt>
                <c:pt idx="923">
                  <c:v>82.227419999999995</c:v>
                </c:pt>
                <c:pt idx="924">
                  <c:v>82.227419999999995</c:v>
                </c:pt>
                <c:pt idx="925">
                  <c:v>82.227419999999995</c:v>
                </c:pt>
                <c:pt idx="926">
                  <c:v>82.227419999999995</c:v>
                </c:pt>
                <c:pt idx="927">
                  <c:v>82.227419999999995</c:v>
                </c:pt>
                <c:pt idx="928">
                  <c:v>82.227419999999995</c:v>
                </c:pt>
                <c:pt idx="929">
                  <c:v>82.227419999999995</c:v>
                </c:pt>
                <c:pt idx="930">
                  <c:v>82.227419999999995</c:v>
                </c:pt>
                <c:pt idx="931">
                  <c:v>82.227419999999995</c:v>
                </c:pt>
                <c:pt idx="932">
                  <c:v>82.227419999999995</c:v>
                </c:pt>
                <c:pt idx="933">
                  <c:v>82.227419999999995</c:v>
                </c:pt>
                <c:pt idx="934">
                  <c:v>82.227419999999995</c:v>
                </c:pt>
                <c:pt idx="935">
                  <c:v>82.227419999999995</c:v>
                </c:pt>
                <c:pt idx="936">
                  <c:v>82.227419999999995</c:v>
                </c:pt>
                <c:pt idx="937">
                  <c:v>82.227419999999995</c:v>
                </c:pt>
                <c:pt idx="938">
                  <c:v>82.227419999999995</c:v>
                </c:pt>
                <c:pt idx="939">
                  <c:v>82.227419999999995</c:v>
                </c:pt>
                <c:pt idx="940">
                  <c:v>82.227419999999995</c:v>
                </c:pt>
                <c:pt idx="941">
                  <c:v>82.227419999999995</c:v>
                </c:pt>
                <c:pt idx="942">
                  <c:v>82.227419999999995</c:v>
                </c:pt>
                <c:pt idx="943">
                  <c:v>82.227419999999995</c:v>
                </c:pt>
                <c:pt idx="944">
                  <c:v>82.227419999999995</c:v>
                </c:pt>
                <c:pt idx="945">
                  <c:v>82.227419999999995</c:v>
                </c:pt>
                <c:pt idx="946">
                  <c:v>82.227419999999995</c:v>
                </c:pt>
                <c:pt idx="947">
                  <c:v>82.227419999999995</c:v>
                </c:pt>
                <c:pt idx="948">
                  <c:v>82.227419999999995</c:v>
                </c:pt>
                <c:pt idx="949">
                  <c:v>82.227419999999995</c:v>
                </c:pt>
                <c:pt idx="950">
                  <c:v>82.227419999999995</c:v>
                </c:pt>
                <c:pt idx="951">
                  <c:v>82.227419999999995</c:v>
                </c:pt>
                <c:pt idx="952">
                  <c:v>82.227419999999995</c:v>
                </c:pt>
                <c:pt idx="953">
                  <c:v>82.227419999999995</c:v>
                </c:pt>
                <c:pt idx="954">
                  <c:v>82.227419999999995</c:v>
                </c:pt>
                <c:pt idx="955">
                  <c:v>82.227419999999995</c:v>
                </c:pt>
                <c:pt idx="956">
                  <c:v>82.227419999999995</c:v>
                </c:pt>
                <c:pt idx="957">
                  <c:v>82.227419999999995</c:v>
                </c:pt>
                <c:pt idx="958">
                  <c:v>82.227419999999995</c:v>
                </c:pt>
                <c:pt idx="959">
                  <c:v>82.227419999999995</c:v>
                </c:pt>
                <c:pt idx="960">
                  <c:v>82.227419999999995</c:v>
                </c:pt>
                <c:pt idx="961">
                  <c:v>82.227419999999995</c:v>
                </c:pt>
                <c:pt idx="962">
                  <c:v>82.227419999999995</c:v>
                </c:pt>
                <c:pt idx="963">
                  <c:v>82.227419999999995</c:v>
                </c:pt>
                <c:pt idx="964">
                  <c:v>82.227419999999995</c:v>
                </c:pt>
                <c:pt idx="965">
                  <c:v>82.227419999999995</c:v>
                </c:pt>
                <c:pt idx="966">
                  <c:v>82.227419999999995</c:v>
                </c:pt>
                <c:pt idx="967">
                  <c:v>82.227419999999995</c:v>
                </c:pt>
                <c:pt idx="968">
                  <c:v>82.227419999999995</c:v>
                </c:pt>
                <c:pt idx="969">
                  <c:v>82.227419999999995</c:v>
                </c:pt>
                <c:pt idx="970">
                  <c:v>82.227419999999995</c:v>
                </c:pt>
                <c:pt idx="971">
                  <c:v>82.227419999999995</c:v>
                </c:pt>
                <c:pt idx="972">
                  <c:v>82.227419999999995</c:v>
                </c:pt>
                <c:pt idx="973">
                  <c:v>82.227419999999995</c:v>
                </c:pt>
                <c:pt idx="974">
                  <c:v>82.227419999999995</c:v>
                </c:pt>
                <c:pt idx="975">
                  <c:v>82.227419999999995</c:v>
                </c:pt>
                <c:pt idx="976">
                  <c:v>82.227419999999995</c:v>
                </c:pt>
                <c:pt idx="977">
                  <c:v>82.227419999999995</c:v>
                </c:pt>
                <c:pt idx="978">
                  <c:v>82.227419999999995</c:v>
                </c:pt>
                <c:pt idx="979">
                  <c:v>82.227419999999995</c:v>
                </c:pt>
                <c:pt idx="980">
                  <c:v>82.227419999999995</c:v>
                </c:pt>
                <c:pt idx="981">
                  <c:v>82.227419999999995</c:v>
                </c:pt>
                <c:pt idx="982">
                  <c:v>82.227419999999995</c:v>
                </c:pt>
                <c:pt idx="983">
                  <c:v>82.227419999999995</c:v>
                </c:pt>
                <c:pt idx="984">
                  <c:v>82.227419999999995</c:v>
                </c:pt>
                <c:pt idx="985">
                  <c:v>82.227419999999995</c:v>
                </c:pt>
                <c:pt idx="986">
                  <c:v>82.227419999999995</c:v>
                </c:pt>
                <c:pt idx="987">
                  <c:v>82.227419999999995</c:v>
                </c:pt>
                <c:pt idx="988">
                  <c:v>82.227419999999995</c:v>
                </c:pt>
                <c:pt idx="989">
                  <c:v>82.227419999999995</c:v>
                </c:pt>
                <c:pt idx="990">
                  <c:v>82.227419999999995</c:v>
                </c:pt>
                <c:pt idx="991">
                  <c:v>82.227419999999995</c:v>
                </c:pt>
                <c:pt idx="992">
                  <c:v>82.227419999999995</c:v>
                </c:pt>
                <c:pt idx="993">
                  <c:v>82.227419999999995</c:v>
                </c:pt>
                <c:pt idx="994">
                  <c:v>82.227419999999995</c:v>
                </c:pt>
                <c:pt idx="995">
                  <c:v>82.227419999999995</c:v>
                </c:pt>
                <c:pt idx="996">
                  <c:v>82.227419999999995</c:v>
                </c:pt>
                <c:pt idx="997">
                  <c:v>82.227419999999995</c:v>
                </c:pt>
                <c:pt idx="998">
                  <c:v>82.227419999999995</c:v>
                </c:pt>
                <c:pt idx="999">
                  <c:v>82.227419999999995</c:v>
                </c:pt>
                <c:pt idx="1000">
                  <c:v>82.227419999999995</c:v>
                </c:pt>
              </c:numCache>
            </c:numRef>
          </c:yVal>
          <c:smooth val="0"/>
          <c:extLst>
            <c:ext xmlns:c16="http://schemas.microsoft.com/office/drawing/2014/chart" uri="{C3380CC4-5D6E-409C-BE32-E72D297353CC}">
              <c16:uniqueId val="{00000001-1935-44BE-AC4A-45F8EA7F0D69}"/>
            </c:ext>
          </c:extLst>
        </c:ser>
        <c:ser>
          <c:idx val="0"/>
          <c:order val="2"/>
          <c:tx>
            <c:strRef>
              <c:f>Courbes!$B$133</c:f>
              <c:strCache>
                <c:ptCount val="1"/>
                <c:pt idx="0">
                  <c:v>Traînée</c:v>
                </c:pt>
              </c:strCache>
            </c:strRef>
          </c:tx>
          <c:spPr>
            <a:ln w="25400">
              <a:solidFill>
                <a:srgbClr val="80000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Calculs!$W$4:$W$1004</c:f>
              <c:numCache>
                <c:formatCode>0.00</c:formatCode>
                <c:ptCount val="1001"/>
                <c:pt idx="0">
                  <c:v>0</c:v>
                </c:pt>
                <c:pt idx="1">
                  <c:v>0</c:v>
                </c:pt>
                <c:pt idx="2">
                  <c:v>1.1499200743856056E-4</c:v>
                </c:pt>
                <c:pt idx="3">
                  <c:v>1.0417497544393639E-3</c:v>
                </c:pt>
                <c:pt idx="4">
                  <c:v>4.1818009434291007E-3</c:v>
                </c:pt>
                <c:pt idx="5">
                  <c:v>1.1643968311710879E-2</c:v>
                </c:pt>
                <c:pt idx="6">
                  <c:v>2.4500258799416377E-2</c:v>
                </c:pt>
                <c:pt idx="7">
                  <c:v>4.2041615657873406E-2</c:v>
                </c:pt>
                <c:pt idx="8">
                  <c:v>6.4237676798989285E-2</c:v>
                </c:pt>
                <c:pt idx="9">
                  <c:v>9.1057950780622177E-2</c:v>
                </c:pt>
                <c:pt idx="10">
                  <c:v>0.12247181883300304</c:v>
                </c:pt>
                <c:pt idx="11">
                  <c:v>0.15844853689289348</c:v>
                </c:pt>
                <c:pt idx="12">
                  <c:v>0.19895723764524609</c:v>
                </c:pt>
                <c:pt idx="13">
                  <c:v>0.2439669325721309</c:v>
                </c:pt>
                <c:pt idx="14">
                  <c:v>0.29344651400869498</c:v>
                </c:pt>
                <c:pt idx="15">
                  <c:v>0.34736475720591659</c:v>
                </c:pt>
                <c:pt idx="16">
                  <c:v>0.40569032239992042</c:v>
                </c:pt>
                <c:pt idx="17">
                  <c:v>0.46839175688761364</c:v>
                </c:pt>
                <c:pt idx="18">
                  <c:v>0.53543749710840827</c:v>
                </c:pt>
                <c:pt idx="19">
                  <c:v>0.60679587073179209</c:v>
                </c:pt>
                <c:pt idx="20">
                  <c:v>0.68243509875050734</c:v>
                </c:pt>
                <c:pt idx="21">
                  <c:v>0.76232329757910267</c:v>
                </c:pt>
                <c:pt idx="22">
                  <c:v>0.8464284811576156</c:v>
                </c:pt>
                <c:pt idx="23">
                  <c:v>0.93471856306015355</c:v>
                </c:pt>
                <c:pt idx="24">
                  <c:v>1.027161358608125</c:v>
                </c:pt>
                <c:pt idx="25">
                  <c:v>1.1237245869878898</c:v>
                </c:pt>
                <c:pt idx="26">
                  <c:v>1.224375873372586</c:v>
                </c:pt>
                <c:pt idx="27">
                  <c:v>1.3290827510478962</c:v>
                </c:pt>
                <c:pt idx="28">
                  <c:v>1.4378126635415116</c:v>
                </c:pt>
                <c:pt idx="29">
                  <c:v>1.550532966756055</c:v>
                </c:pt>
                <c:pt idx="30">
                  <c:v>1.6672109311052279</c:v>
                </c:pt>
                <c:pt idx="31">
                  <c:v>1.7878137436529378</c:v>
                </c:pt>
                <c:pt idx="32">
                  <c:v>1.9123085102551687</c:v>
                </c:pt>
                <c:pt idx="33">
                  <c:v>2.0406622577043612</c:v>
                </c:pt>
                <c:pt idx="34">
                  <c:v>2.1728419358760553</c:v>
                </c:pt>
                <c:pt idx="35">
                  <c:v>2.3088153395720781</c:v>
                </c:pt>
                <c:pt idx="36">
                  <c:v>2.4485503397287331</c:v>
                </c:pt>
                <c:pt idx="37">
                  <c:v>2.5920137932190399</c:v>
                </c:pt>
                <c:pt idx="38">
                  <c:v>2.7391724852658865</c:v>
                </c:pt>
                <c:pt idx="39">
                  <c:v>2.8899931317400065</c:v>
                </c:pt>
                <c:pt idx="40">
                  <c:v>3.044442381455295</c:v>
                </c:pt>
                <c:pt idx="41">
                  <c:v>3.2024868184541644</c:v>
                </c:pt>
                <c:pt idx="42">
                  <c:v>3.3640929642837345</c:v>
                </c:pt>
                <c:pt idx="43">
                  <c:v>3.5292272802635631</c:v>
                </c:pt>
                <c:pt idx="44">
                  <c:v>3.6978561697454824</c:v>
                </c:pt>
                <c:pt idx="45">
                  <c:v>3.8699459803660301</c:v>
                </c:pt>
                <c:pt idx="46">
                  <c:v>4.0454630062918806</c:v>
                </c:pt>
                <c:pt idx="47">
                  <c:v>4.2243734904586088</c:v>
                </c:pt>
                <c:pt idx="48">
                  <c:v>4.4066436268030627</c:v>
                </c:pt>
                <c:pt idx="49">
                  <c:v>4.5922395624895467</c:v>
                </c:pt>
                <c:pt idx="50">
                  <c:v>4.7811274001300363</c:v>
                </c:pt>
                <c:pt idx="51">
                  <c:v>4.9734018161791482</c:v>
                </c:pt>
                <c:pt idx="52">
                  <c:v>5.1691676423310771</c:v>
                </c:pt>
                <c:pt idx="53">
                  <c:v>5.3684060954642199</c:v>
                </c:pt>
                <c:pt idx="54">
                  <c:v>5.5710983024660266</c:v>
                </c:pt>
                <c:pt idx="55">
                  <c:v>5.7772253012948251</c:v>
                </c:pt>
                <c:pt idx="56">
                  <c:v>5.9867680420438036</c:v>
                </c:pt>
                <c:pt idx="57">
                  <c:v>6.1997073880073064</c:v>
                </c:pt>
                <c:pt idx="58">
                  <c:v>6.4160241167494103</c:v>
                </c:pt>
                <c:pt idx="59">
                  <c:v>6.6356989211748898</c:v>
                </c:pt>
                <c:pt idx="60">
                  <c:v>6.8587124106025676</c:v>
                </c:pt>
                <c:pt idx="61">
                  <c:v>7.0850451118410938</c:v>
                </c:pt>
                <c:pt idx="62">
                  <c:v>7.3146774702671271</c:v>
                </c:pt>
                <c:pt idx="63">
                  <c:v>7.5475898509059549</c:v>
                </c:pt>
                <c:pt idx="64">
                  <c:v>7.783762539514524</c:v>
                </c:pt>
                <c:pt idx="65">
                  <c:v>8.0231757436668776</c:v>
                </c:pt>
                <c:pt idx="66">
                  <c:v>8.2658095938419702</c:v>
                </c:pt>
                <c:pt idx="67">
                  <c:v>8.5116441445138395</c:v>
                </c:pt>
                <c:pt idx="68">
                  <c:v>8.7606593752440833</c:v>
                </c:pt>
                <c:pt idx="69">
                  <c:v>9.0128351917766505</c:v>
                </c:pt>
                <c:pt idx="70">
                  <c:v>9.268151427134816</c:v>
                </c:pt>
                <c:pt idx="71">
                  <c:v>9.5265878427204118</c:v>
                </c:pt>
                <c:pt idx="72">
                  <c:v>9.7881241294151309</c:v>
                </c:pt>
                <c:pt idx="73">
                  <c:v>10.05273990868397</c:v>
                </c:pt>
                <c:pt idx="74">
                  <c:v>10.320414733680686</c:v>
                </c:pt>
                <c:pt idx="75">
                  <c:v>10.591128090355186</c:v>
                </c:pt>
                <c:pt idx="76">
                  <c:v>10.864859398562842</c:v>
                </c:pt>
                <c:pt idx="77">
                  <c:v>11.141588013175674</c:v>
                </c:pt>
                <c:pt idx="78">
                  <c:v>11.421293225195226</c:v>
                </c:pt>
                <c:pt idx="79">
                  <c:v>11.70395426286721</c:v>
                </c:pt>
                <c:pt idx="80">
                  <c:v>11.989550292797704</c:v>
                </c:pt>
                <c:pt idx="81">
                  <c:v>12.278060421070968</c:v>
                </c:pt>
                <c:pt idx="82">
                  <c:v>12.569463694368681</c:v>
                </c:pt>
                <c:pt idx="83">
                  <c:v>12.863739101090561</c:v>
                </c:pt>
                <c:pt idx="84">
                  <c:v>13.160865572476364</c:v>
                </c:pt>
                <c:pt idx="85">
                  <c:v>13.460821983729028</c:v>
                </c:pt>
                <c:pt idx="86">
                  <c:v>13.763587155139042</c:v>
                </c:pt>
                <c:pt idx="87">
                  <c:v>14.06913985320984</c:v>
                </c:pt>
                <c:pt idx="88">
                  <c:v>14.37745879178418</c:v>
                </c:pt>
                <c:pt idx="89">
                  <c:v>14.688522633171445</c:v>
                </c:pt>
                <c:pt idx="90">
                  <c:v>15.002309989275721</c:v>
                </c:pt>
                <c:pt idx="91">
                  <c:v>15.318799422724615</c:v>
                </c:pt>
                <c:pt idx="92">
                  <c:v>15.637969447998717</c:v>
                </c:pt>
                <c:pt idx="93">
                  <c:v>15.959798532561621</c:v>
                </c:pt>
                <c:pt idx="94">
                  <c:v>16.284265097990367</c:v>
                </c:pt>
                <c:pt idx="95">
                  <c:v>16.611347521106296</c:v>
                </c:pt>
                <c:pt idx="96">
                  <c:v>16.941024135106129</c:v>
                </c:pt>
                <c:pt idx="97">
                  <c:v>17.273273230693349</c:v>
                </c:pt>
                <c:pt idx="98">
                  <c:v>17.608073057209545</c:v>
                </c:pt>
                <c:pt idx="99">
                  <c:v>17.945401823765859</c:v>
                </c:pt>
                <c:pt idx="100">
                  <c:v>18.285237700374324</c:v>
                </c:pt>
                <c:pt idx="101">
                  <c:v>18.627444309693505</c:v>
                </c:pt>
                <c:pt idx="102">
                  <c:v>18.971880916578574</c:v>
                </c:pt>
                <c:pt idx="103">
                  <c:v>19.318519155765411</c:v>
                </c:pt>
                <c:pt idx="104">
                  <c:v>19.667330658967479</c:v>
                </c:pt>
                <c:pt idx="105">
                  <c:v>20.01828705640856</c:v>
                </c:pt>
                <c:pt idx="106">
                  <c:v>20.371359978351016</c:v>
                </c:pt>
                <c:pt idx="107">
                  <c:v>20.726521056619109</c:v>
                </c:pt>
                <c:pt idx="108">
                  <c:v>21.08374192611749</c:v>
                </c:pt>
                <c:pt idx="109">
                  <c:v>21.442994226344624</c:v>
                </c:pt>
                <c:pt idx="110">
                  <c:v>21.804249602901034</c:v>
                </c:pt>
                <c:pt idx="111">
                  <c:v>22.167479708992332</c:v>
                </c:pt>
                <c:pt idx="112">
                  <c:v>22.532656206926699</c:v>
                </c:pt>
                <c:pt idx="113">
                  <c:v>22.899750769607007</c:v>
                </c:pt>
                <c:pt idx="114">
                  <c:v>23.268735082017237</c:v>
                </c:pt>
                <c:pt idx="115">
                  <c:v>23.63958084270309</c:v>
                </c:pt>
                <c:pt idx="116">
                  <c:v>24.012259765246732</c:v>
                </c:pt>
                <c:pt idx="117">
                  <c:v>24.386743579735686</c:v>
                </c:pt>
                <c:pt idx="118">
                  <c:v>24.763004034225371</c:v>
                </c:pt>
                <c:pt idx="119">
                  <c:v>25.141012896195651</c:v>
                </c:pt>
                <c:pt idx="120">
                  <c:v>25.520741954000897</c:v>
                </c:pt>
                <c:pt idx="121">
                  <c:v>25.902163018313679</c:v>
                </c:pt>
                <c:pt idx="122">
                  <c:v>26.285247923561901</c:v>
                </c:pt>
                <c:pt idx="123">
                  <c:v>26.669968529359242</c:v>
                </c:pt>
                <c:pt idx="124">
                  <c:v>27.056296721928792</c:v>
                </c:pt>
                <c:pt idx="125">
                  <c:v>27.444204415519941</c:v>
                </c:pt>
                <c:pt idx="126">
                  <c:v>27.833663553818138</c:v>
                </c:pt>
                <c:pt idx="127">
                  <c:v>28.22464611134761</c:v>
                </c:pt>
                <c:pt idx="128">
                  <c:v>28.617124094866913</c:v>
                </c:pt>
                <c:pt idx="129">
                  <c:v>29.011069544757181</c:v>
                </c:pt>
                <c:pt idx="130">
                  <c:v>29.406454536402965</c:v>
                </c:pt>
                <c:pt idx="131">
                  <c:v>29.803251181565596</c:v>
                </c:pt>
                <c:pt idx="132">
                  <c:v>30.201431629748864</c:v>
                </c:pt>
                <c:pt idx="133">
                  <c:v>30.60096806955718</c:v>
                </c:pt>
                <c:pt idx="134">
                  <c:v>31.001832730045841</c:v>
                </c:pt>
                <c:pt idx="135">
                  <c:v>31.403997882063361</c:v>
                </c:pt>
                <c:pt idx="136">
                  <c:v>31.807435839585956</c:v>
                </c:pt>
                <c:pt idx="137">
                  <c:v>32.21211896104397</c:v>
                </c:pt>
                <c:pt idx="138">
                  <c:v>32.618019650639958</c:v>
                </c:pt>
                <c:pt idx="139">
                  <c:v>33.025110359658733</c:v>
                </c:pt>
                <c:pt idx="140">
                  <c:v>33.433363587769009</c:v>
                </c:pt>
                <c:pt idx="141">
                  <c:v>33.842751884316606</c:v>
                </c:pt>
                <c:pt idx="142">
                  <c:v>34.253247849609203</c:v>
                </c:pt>
                <c:pt idx="143">
                  <c:v>34.664824136192451</c:v>
                </c:pt>
                <c:pt idx="144">
                  <c:v>35.077453450117481</c:v>
                </c:pt>
                <c:pt idx="145">
                  <c:v>35.49110855219962</c:v>
                </c:pt>
                <c:pt idx="146">
                  <c:v>35.905762259268357</c:v>
                </c:pt>
                <c:pt idx="147">
                  <c:v>36.32138744540822</c:v>
                </c:pt>
                <c:pt idx="148">
                  <c:v>36.737957043190967</c:v>
                </c:pt>
                <c:pt idx="149">
                  <c:v>37.155444044898537</c:v>
                </c:pt>
                <c:pt idx="150">
                  <c:v>37.573821503736809</c:v>
                </c:pt>
                <c:pt idx="151">
                  <c:v>37.993117997451542</c:v>
                </c:pt>
                <c:pt idx="152">
                  <c:v>38.413363413197558</c:v>
                </c:pt>
                <c:pt idx="153">
                  <c:v>38.834532828503725</c:v>
                </c:pt>
                <c:pt idx="154">
                  <c:v>39.256601371827351</c:v>
                </c:pt>
                <c:pt idx="155">
                  <c:v>39.679544223634089</c:v>
                </c:pt>
                <c:pt idx="156">
                  <c:v>40.103336617470106</c:v>
                </c:pt>
                <c:pt idx="157">
                  <c:v>40.527953841026296</c:v>
                </c:pt>
                <c:pt idx="158">
                  <c:v>40.95337123719456</c:v>
                </c:pt>
                <c:pt idx="159">
                  <c:v>41.37956420511631</c:v>
                </c:pt>
                <c:pt idx="160">
                  <c:v>41.806508201222528</c:v>
                </c:pt>
                <c:pt idx="161">
                  <c:v>42.23417874026606</c:v>
                </c:pt>
                <c:pt idx="162">
                  <c:v>42.662551396345556</c:v>
                </c:pt>
                <c:pt idx="163">
                  <c:v>43.09160180392135</c:v>
                </c:pt>
                <c:pt idx="164">
                  <c:v>43.521305658822904</c:v>
                </c:pt>
                <c:pt idx="165">
                  <c:v>43.95163871924801</c:v>
                </c:pt>
                <c:pt idx="166">
                  <c:v>44.382576806753676</c:v>
                </c:pt>
                <c:pt idx="167">
                  <c:v>44.814095807238445</c:v>
                </c:pt>
                <c:pt idx="168">
                  <c:v>45.246171671916485</c:v>
                </c:pt>
                <c:pt idx="169">
                  <c:v>45.678780418282869</c:v>
                </c:pt>
                <c:pt idx="170">
                  <c:v>46.111898131070532</c:v>
                </c:pt>
                <c:pt idx="171">
                  <c:v>46.545500963198499</c:v>
                </c:pt>
                <c:pt idx="172">
                  <c:v>46.979565136711543</c:v>
                </c:pt>
                <c:pt idx="173">
                  <c:v>47.414066943711141</c:v>
                </c:pt>
                <c:pt idx="174">
                  <c:v>47.848982747277581</c:v>
                </c:pt>
                <c:pt idx="175">
                  <c:v>48.284288982383536</c:v>
                </c:pt>
                <c:pt idx="176">
                  <c:v>48.719962156798637</c:v>
                </c:pt>
                <c:pt idx="177">
                  <c:v>49.155978851985253</c:v>
                </c:pt>
                <c:pt idx="178">
                  <c:v>49.592315723985479</c:v>
                </c:pt>
                <c:pt idx="179">
                  <c:v>50.028949504299099</c:v>
                </c:pt>
                <c:pt idx="180">
                  <c:v>50.465857000752685</c:v>
                </c:pt>
                <c:pt idx="181">
                  <c:v>50.903015098359731</c:v>
                </c:pt>
                <c:pt idx="182">
                  <c:v>51.34040076017164</c:v>
                </c:pt>
                <c:pt idx="183">
                  <c:v>51.777991028119914</c:v>
                </c:pt>
                <c:pt idx="184">
                  <c:v>52.215763023849057</c:v>
                </c:pt>
                <c:pt idx="185">
                  <c:v>52.653693949540582</c:v>
                </c:pt>
                <c:pt idx="186">
                  <c:v>53.091761088727765</c:v>
                </c:pt>
                <c:pt idx="187">
                  <c:v>53.529941807101231</c:v>
                </c:pt>
                <c:pt idx="188">
                  <c:v>53.96821355330561</c:v>
                </c:pt>
                <c:pt idx="189">
                  <c:v>54.406553859726792</c:v>
                </c:pt>
                <c:pt idx="190">
                  <c:v>54.844940343269968</c:v>
                </c:pt>
                <c:pt idx="191">
                  <c:v>55.283350706128694</c:v>
                </c:pt>
                <c:pt idx="192">
                  <c:v>55.72176273654437</c:v>
                </c:pt>
                <c:pt idx="193">
                  <c:v>56.16015430955683</c:v>
                </c:pt>
                <c:pt idx="194">
                  <c:v>56.598503387745268</c:v>
                </c:pt>
                <c:pt idx="195">
                  <c:v>57.036788021960213</c:v>
                </c:pt>
                <c:pt idx="196">
                  <c:v>57.474986352046038</c:v>
                </c:pt>
                <c:pt idx="197">
                  <c:v>57.913076607554174</c:v>
                </c:pt>
                <c:pt idx="198">
                  <c:v>58.351037108447088</c:v>
                </c:pt>
                <c:pt idx="199">
                  <c:v>58.788846265792642</c:v>
                </c:pt>
                <c:pt idx="200">
                  <c:v>59.226482582449613</c:v>
                </c:pt>
                <c:pt idx="201">
                  <c:v>59.663924653743287</c:v>
                </c:pt>
                <c:pt idx="202">
                  <c:v>60.101151168132183</c:v>
                </c:pt>
                <c:pt idx="203">
                  <c:v>60.538140907864992</c:v>
                </c:pt>
                <c:pt idx="204">
                  <c:v>60.974872749628624</c:v>
                </c:pt>
                <c:pt idx="205">
                  <c:v>61.411325665186453</c:v>
                </c:pt>
                <c:pt idx="206">
                  <c:v>61.847478722007267</c:v>
                </c:pt>
                <c:pt idx="207">
                  <c:v>62.283311083885181</c:v>
                </c:pt>
                <c:pt idx="208">
                  <c:v>62.718802011549805</c:v>
                </c:pt>
                <c:pt idx="209">
                  <c:v>63.153930863267057</c:v>
                </c:pt>
                <c:pt idx="210">
                  <c:v>63.588677095430938</c:v>
                </c:pt>
                <c:pt idx="211">
                  <c:v>64.023020263145497</c:v>
                </c:pt>
                <c:pt idx="212">
                  <c:v>64.456940020797774</c:v>
                </c:pt>
                <c:pt idx="213">
                  <c:v>64.89041612262119</c:v>
                </c:pt>
                <c:pt idx="214">
                  <c:v>65.323428423249851</c:v>
                </c:pt>
                <c:pt idx="215">
                  <c:v>65.755956878262978</c:v>
                </c:pt>
                <c:pt idx="216">
                  <c:v>66.187981544720614</c:v>
                </c:pt>
                <c:pt idx="217">
                  <c:v>66.619482581689624</c:v>
                </c:pt>
                <c:pt idx="218">
                  <c:v>67.050440250760559</c:v>
                </c:pt>
                <c:pt idx="219">
                  <c:v>67.480834916554954</c:v>
                </c:pt>
                <c:pt idx="220">
                  <c:v>67.910647047223819</c:v>
                </c:pt>
                <c:pt idx="221">
                  <c:v>68.339857214936302</c:v>
                </c:pt>
                <c:pt idx="222">
                  <c:v>68.768446096359412</c:v>
                </c:pt>
                <c:pt idx="223">
                  <c:v>69.196394473128535</c:v>
                </c:pt>
                <c:pt idx="224">
                  <c:v>69.623683232308522</c:v>
                </c:pt>
                <c:pt idx="225">
                  <c:v>70.050293366845665</c:v>
                </c:pt>
                <c:pt idx="226">
                  <c:v>70.476205976010391</c:v>
                </c:pt>
                <c:pt idx="227">
                  <c:v>70.901402265831038</c:v>
                </c:pt>
                <c:pt idx="228">
                  <c:v>71.325863549518161</c:v>
                </c:pt>
                <c:pt idx="229">
                  <c:v>71.749571247879743</c:v>
                </c:pt>
                <c:pt idx="230">
                  <c:v>72.1725068897277</c:v>
                </c:pt>
                <c:pt idx="231">
                  <c:v>72.594652112274574</c:v>
                </c:pt>
                <c:pt idx="232">
                  <c:v>73.015988661521874</c:v>
                </c:pt>
                <c:pt idx="233">
                  <c:v>73.436498392638953</c:v>
                </c:pt>
                <c:pt idx="234">
                  <c:v>73.856163270332885</c:v>
                </c:pt>
                <c:pt idx="235">
                  <c:v>74.274965369209625</c:v>
                </c:pt>
                <c:pt idx="236">
                  <c:v>74.692886874126003</c:v>
                </c:pt>
                <c:pt idx="237">
                  <c:v>75.1099100805326</c:v>
                </c:pt>
                <c:pt idx="238">
                  <c:v>75.526017394808093</c:v>
                </c:pt>
                <c:pt idx="239">
                  <c:v>75.941191334584602</c:v>
                </c:pt>
                <c:pt idx="240">
                  <c:v>76.355414529064035</c:v>
                </c:pt>
                <c:pt idx="241">
                  <c:v>76.768669719325686</c:v>
                </c:pt>
                <c:pt idx="242">
                  <c:v>77.180939758625229</c:v>
                </c:pt>
                <c:pt idx="243">
                  <c:v>77.592207612684774</c:v>
                </c:pt>
                <c:pt idx="244">
                  <c:v>78.002456359974033</c:v>
                </c:pt>
                <c:pt idx="245">
                  <c:v>78.411669191983322</c:v>
                </c:pt>
                <c:pt idx="246">
                  <c:v>78.819829413487525</c:v>
                </c:pt>
                <c:pt idx="247">
                  <c:v>79.226920442801372</c:v>
                </c:pt>
                <c:pt idx="248">
                  <c:v>79.632925812026443</c:v>
                </c:pt>
                <c:pt idx="249">
                  <c:v>80.037829167289487</c:v>
                </c:pt>
                <c:pt idx="250">
                  <c:v>80.441614268972103</c:v>
                </c:pt>
                <c:pt idx="251">
                  <c:v>80.8439191231964</c:v>
                </c:pt>
                <c:pt idx="252">
                  <c:v>81.244378572709678</c:v>
                </c:pt>
                <c:pt idx="253">
                  <c:v>81.642972090809764</c:v>
                </c:pt>
                <c:pt idx="254">
                  <c:v>82.039679346019071</c:v>
                </c:pt>
                <c:pt idx="255">
                  <c:v>82.434480202217472</c:v>
                </c:pt>
                <c:pt idx="256">
                  <c:v>82.82735471875948</c:v>
                </c:pt>
                <c:pt idx="257">
                  <c:v>83.218283150577633</c:v>
                </c:pt>
                <c:pt idx="258">
                  <c:v>83.607245948270361</c:v>
                </c:pt>
                <c:pt idx="259">
                  <c:v>83.994223758175991</c:v>
                </c:pt>
                <c:pt idx="260">
                  <c:v>84.379197422432014</c:v>
                </c:pt>
                <c:pt idx="261">
                  <c:v>84.76214797902</c:v>
                </c:pt>
                <c:pt idx="262">
                  <c:v>85.143056661796948</c:v>
                </c:pt>
                <c:pt idx="263">
                  <c:v>85.521904900511458</c:v>
                </c:pt>
                <c:pt idx="264">
                  <c:v>85.898674320807103</c:v>
                </c:pt>
                <c:pt idx="265">
                  <c:v>86.273346744211082</c:v>
                </c:pt>
                <c:pt idx="266">
                  <c:v>86.645904188109711</c:v>
                </c:pt>
                <c:pt idx="267">
                  <c:v>87.016328865709966</c:v>
                </c:pt>
                <c:pt idx="268">
                  <c:v>87.384603185987515</c:v>
                </c:pt>
                <c:pt idx="269">
                  <c:v>87.750709753621848</c:v>
                </c:pt>
                <c:pt idx="270">
                  <c:v>88.11463136891733</c:v>
                </c:pt>
                <c:pt idx="271">
                  <c:v>88.476351027711786</c:v>
                </c:pt>
                <c:pt idx="272">
                  <c:v>88.835851921272024</c:v>
                </c:pt>
                <c:pt idx="273">
                  <c:v>89.193117436175683</c:v>
                </c:pt>
                <c:pt idx="274">
                  <c:v>89.54813115418149</c:v>
                </c:pt>
                <c:pt idx="275">
                  <c:v>89.900876852085844</c:v>
                </c:pt>
                <c:pt idx="276">
                  <c:v>90.251338501567233</c:v>
                </c:pt>
                <c:pt idx="277">
                  <c:v>90.599500269018364</c:v>
                </c:pt>
                <c:pt idx="278">
                  <c:v>90.945346515365884</c:v>
                </c:pt>
                <c:pt idx="279">
                  <c:v>91.288861795877665</c:v>
                </c:pt>
                <c:pt idx="280">
                  <c:v>91.630030859958381</c:v>
                </c:pt>
                <c:pt idx="281">
                  <c:v>91.968838650933037</c:v>
                </c:pt>
                <c:pt idx="282">
                  <c:v>92.305270305818709</c:v>
                </c:pt>
                <c:pt idx="283">
                  <c:v>92.639311155084542</c:v>
                </c:pt>
                <c:pt idx="284">
                  <c:v>92.9709467224001</c:v>
                </c:pt>
                <c:pt idx="285">
                  <c:v>93.300162724372598</c:v>
                </c:pt>
                <c:pt idx="286">
                  <c:v>93.626945070272541</c:v>
                </c:pt>
                <c:pt idx="287">
                  <c:v>93.951279861748333</c:v>
                </c:pt>
                <c:pt idx="288">
                  <c:v>94.273153392529608</c:v>
                </c:pt>
                <c:pt idx="289">
                  <c:v>94.592552148119978</c:v>
                </c:pt>
                <c:pt idx="290">
                  <c:v>94.909462805478825</c:v>
                </c:pt>
                <c:pt idx="291">
                  <c:v>95.22387223269223</c:v>
                </c:pt>
                <c:pt idx="292">
                  <c:v>95.535767488633581</c:v>
                </c:pt>
                <c:pt idx="293">
                  <c:v>95.845135822613869</c:v>
                </c:pt>
                <c:pt idx="294">
                  <c:v>96.151964674021301</c:v>
                </c:pt>
                <c:pt idx="295">
                  <c:v>96.456241671951233</c:v>
                </c:pt>
                <c:pt idx="296">
                  <c:v>96.757954634825467</c:v>
                </c:pt>
                <c:pt idx="297">
                  <c:v>97.057091570002385</c:v>
                </c:pt>
                <c:pt idx="298">
                  <c:v>97.349495796334367</c:v>
                </c:pt>
                <c:pt idx="299">
                  <c:v>97.630989810185255</c:v>
                </c:pt>
                <c:pt idx="300">
                  <c:v>97.901535243804645</c:v>
                </c:pt>
                <c:pt idx="301">
                  <c:v>98.161096000214499</c:v>
                </c:pt>
                <c:pt idx="302">
                  <c:v>98.409638244757147</c:v>
                </c:pt>
                <c:pt idx="303">
                  <c:v>98.647130396418746</c:v>
                </c:pt>
                <c:pt idx="304">
                  <c:v>98.873543118933796</c:v>
                </c:pt>
                <c:pt idx="305">
                  <c:v>99.08884931167627</c:v>
                </c:pt>
                <c:pt idx="306">
                  <c:v>99.293024100342919</c:v>
                </c:pt>
                <c:pt idx="307">
                  <c:v>99.486044827434114</c:v>
                </c:pt>
                <c:pt idx="308">
                  <c:v>99.667891042537889</c:v>
                </c:pt>
                <c:pt idx="309">
                  <c:v>99.838544492422542</c:v>
                </c:pt>
                <c:pt idx="310">
                  <c:v>99.997989110943678</c:v>
                </c:pt>
                <c:pt idx="311">
                  <c:v>100.14621100877007</c:v>
                </c:pt>
                <c:pt idx="312">
                  <c:v>100.2831984629356</c:v>
                </c:pt>
                <c:pt idx="313">
                  <c:v>100.40894190622069</c:v>
                </c:pt>
                <c:pt idx="314">
                  <c:v>100.52343391637015</c:v>
                </c:pt>
                <c:pt idx="315">
                  <c:v>100.62666920515196</c:v>
                </c:pt>
                <c:pt idx="316">
                  <c:v>100.71864460726307</c:v>
                </c:pt>
                <c:pt idx="317">
                  <c:v>100.79935906908659</c:v>
                </c:pt>
                <c:pt idx="318">
                  <c:v>100.86881363730642</c:v>
                </c:pt>
                <c:pt idx="319">
                  <c:v>100.92701144738469</c:v>
                </c:pt>
                <c:pt idx="320">
                  <c:v>100.97395771190645</c:v>
                </c:pt>
                <c:pt idx="321">
                  <c:v>101.01133467426651</c:v>
                </c:pt>
                <c:pt idx="322">
                  <c:v>101.04082528339862</c:v>
                </c:pt>
                <c:pt idx="323">
                  <c:v>101.06243687006965</c:v>
                </c:pt>
                <c:pt idx="324">
                  <c:v>101.07617776601649</c:v>
                </c:pt>
                <c:pt idx="325">
                  <c:v>101.08205729796832</c:v>
                </c:pt>
                <c:pt idx="326">
                  <c:v>101.08008578163805</c:v>
                </c:pt>
                <c:pt idx="327">
                  <c:v>101.07027451568618</c:v>
                </c:pt>
                <c:pt idx="328">
                  <c:v>101.05263577565704</c:v>
                </c:pt>
                <c:pt idx="329">
                  <c:v>101.0271828078907</c:v>
                </c:pt>
                <c:pt idx="330">
                  <c:v>100.99392982341116</c:v>
                </c:pt>
                <c:pt idx="331">
                  <c:v>100.9528919917928</c:v>
                </c:pt>
                <c:pt idx="332">
                  <c:v>100.90408543500706</c:v>
                </c:pt>
                <c:pt idx="333">
                  <c:v>100.84752722125016</c:v>
                </c:pt>
                <c:pt idx="334">
                  <c:v>100.78323535875464</c:v>
                </c:pt>
                <c:pt idx="335">
                  <c:v>100.71122878958516</c:v>
                </c:pt>
                <c:pt idx="336">
                  <c:v>100.63152738342092</c:v>
                </c:pt>
                <c:pt idx="337">
                  <c:v>100.54415193132566</c:v>
                </c:pt>
                <c:pt idx="338">
                  <c:v>100.44912413950756</c:v>
                </c:pt>
                <c:pt idx="339">
                  <c:v>100.34646662306992</c:v>
                </c:pt>
                <c:pt idx="340">
                  <c:v>100.23620289975409</c:v>
                </c:pt>
                <c:pt idx="341">
                  <c:v>100.11835738367678</c:v>
                </c:pt>
                <c:pt idx="342">
                  <c:v>99.992955379062593</c:v>
                </c:pt>
                <c:pt idx="343">
                  <c:v>99.860023073973636</c:v>
                </c:pt>
                <c:pt idx="344">
                  <c:v>99.719587534037188</c:v>
                </c:pt>
                <c:pt idx="345">
                  <c:v>99.571676696173569</c:v>
                </c:pt>
                <c:pt idx="346">
                  <c:v>99.416319362325027</c:v>
                </c:pt>
                <c:pt idx="347">
                  <c:v>99.253545193187279</c:v>
                </c:pt>
                <c:pt idx="348">
                  <c:v>99.08356313702933</c:v>
                </c:pt>
                <c:pt idx="349">
                  <c:v>98.906582048368321</c:v>
                </c:pt>
                <c:pt idx="350">
                  <c:v>98.722632523688347</c:v>
                </c:pt>
                <c:pt idx="351">
                  <c:v>98.531745912058895</c:v>
                </c:pt>
                <c:pt idx="352">
                  <c:v>98.333954309501294</c:v>
                </c:pt>
                <c:pt idx="353">
                  <c:v>98.129290553366346</c:v>
                </c:pt>
                <c:pt idx="354">
                  <c:v>97.917788216724148</c:v>
                </c:pt>
                <c:pt idx="355">
                  <c:v>97.69948160276752</c:v>
                </c:pt>
                <c:pt idx="356">
                  <c:v>97.474405739230107</c:v>
                </c:pt>
                <c:pt idx="357">
                  <c:v>97.242596372819406</c:v>
                </c:pt>
                <c:pt idx="358">
                  <c:v>97.004089963666971</c:v>
                </c:pt>
                <c:pt idx="359">
                  <c:v>96.758923679795927</c:v>
                </c:pt>
                <c:pt idx="360">
                  <c:v>96.510793919631666</c:v>
                </c:pt>
                <c:pt idx="361">
                  <c:v>96.263371982286159</c:v>
                </c:pt>
                <c:pt idx="362">
                  <c:v>96.016655256032394</c:v>
                </c:pt>
                <c:pt idx="363">
                  <c:v>95.770641141424363</c:v>
                </c:pt>
                <c:pt idx="364">
                  <c:v>95.525327051227762</c:v>
                </c:pt>
                <c:pt idx="365">
                  <c:v>95.28071041035119</c:v>
                </c:pt>
                <c:pt idx="366">
                  <c:v>95.036788655777443</c:v>
                </c:pt>
                <c:pt idx="367">
                  <c:v>94.793559236495796</c:v>
                </c:pt>
                <c:pt idx="368">
                  <c:v>94.55101961343432</c:v>
                </c:pt>
                <c:pt idx="369">
                  <c:v>94.309167259392737</c:v>
                </c:pt>
                <c:pt idx="370">
                  <c:v>94.067999658975864</c:v>
                </c:pt>
                <c:pt idx="371">
                  <c:v>93.827514308527284</c:v>
                </c:pt>
                <c:pt idx="372">
                  <c:v>93.58770871606356</c:v>
                </c:pt>
                <c:pt idx="373">
                  <c:v>93.34858040120892</c:v>
                </c:pt>
                <c:pt idx="374">
                  <c:v>93.110126895130293</c:v>
                </c:pt>
                <c:pt idx="375">
                  <c:v>92.872345740472923</c:v>
                </c:pt>
                <c:pt idx="376">
                  <c:v>92.635234491296075</c:v>
                </c:pt>
                <c:pt idx="377">
                  <c:v>92.398790713009447</c:v>
                </c:pt>
                <c:pt idx="378">
                  <c:v>92.163011982309982</c:v>
                </c:pt>
                <c:pt idx="379">
                  <c:v>91.927895887119107</c:v>
                </c:pt>
                <c:pt idx="380">
                  <c:v>91.693440026520022</c:v>
                </c:pt>
                <c:pt idx="381">
                  <c:v>91.459642010695916</c:v>
                </c:pt>
                <c:pt idx="382">
                  <c:v>91.226499460868268</c:v>
                </c:pt>
                <c:pt idx="383">
                  <c:v>90.994010009235637</c:v>
                </c:pt>
                <c:pt idx="384">
                  <c:v>90.762171298912932</c:v>
                </c:pt>
                <c:pt idx="385">
                  <c:v>90.530980983870791</c:v>
                </c:pt>
                <c:pt idx="386">
                  <c:v>90.300436728875752</c:v>
                </c:pt>
                <c:pt idx="387">
                  <c:v>90.070536209430514</c:v>
                </c:pt>
                <c:pt idx="388">
                  <c:v>89.841277111714504</c:v>
                </c:pt>
                <c:pt idx="389">
                  <c:v>89.612657132525399</c:v>
                </c:pt>
                <c:pt idx="390">
                  <c:v>89.384673979220437</c:v>
                </c:pt>
                <c:pt idx="391">
                  <c:v>89.157325369658011</c:v>
                </c:pt>
                <c:pt idx="392">
                  <c:v>88.930609032140467</c:v>
                </c:pt>
                <c:pt idx="393">
                  <c:v>88.704522705356311</c:v>
                </c:pt>
                <c:pt idx="394">
                  <c:v>88.479064138323409</c:v>
                </c:pt>
                <c:pt idx="395">
                  <c:v>88.25423109033224</c:v>
                </c:pt>
                <c:pt idx="396">
                  <c:v>88.030021330889696</c:v>
                </c:pt>
                <c:pt idx="397">
                  <c:v>87.806432639663214</c:v>
                </c:pt>
                <c:pt idx="398">
                  <c:v>87.583462806425075</c:v>
                </c:pt>
                <c:pt idx="399">
                  <c:v>87.361109630997348</c:v>
                </c:pt>
                <c:pt idx="400">
                  <c:v>87.139370923197035</c:v>
                </c:pt>
                <c:pt idx="401">
                  <c:v>84.94321230357815</c:v>
                </c:pt>
                <c:pt idx="402">
                  <c:v>82.806967611989592</c:v>
                </c:pt>
                <c:pt idx="403">
                  <c:v>80.728555136208229</c:v>
                </c:pt>
                <c:pt idx="404">
                  <c:v>78.705985046267372</c:v>
                </c:pt>
                <c:pt idx="405">
                  <c:v>76.73735456332038</c:v>
                </c:pt>
                <c:pt idx="406">
                  <c:v>74.820843423989572</c:v>
                </c:pt>
                <c:pt idx="407">
                  <c:v>72.95470961966582</c:v>
                </c:pt>
                <c:pt idx="408">
                  <c:v>71.137285391820114</c:v>
                </c:pt>
                <c:pt idx="409">
                  <c:v>69.366973465847295</c:v>
                </c:pt>
                <c:pt idx="410">
                  <c:v>67.642243507297721</c:v>
                </c:pt>
                <c:pt idx="411">
                  <c:v>65.961628785573822</c:v>
                </c:pt>
                <c:pt idx="412">
                  <c:v>64.323723031289788</c:v>
                </c:pt>
                <c:pt idx="413">
                  <c:v>62.727177474519713</c:v>
                </c:pt>
                <c:pt idx="414">
                  <c:v>61.170698052101699</c:v>
                </c:pt>
                <c:pt idx="415">
                  <c:v>59.653042773032823</c:v>
                </c:pt>
                <c:pt idx="416">
                  <c:v>58.173019231784437</c:v>
                </c:pt>
                <c:pt idx="417">
                  <c:v>56.729482260100838</c:v>
                </c:pt>
                <c:pt idx="418">
                  <c:v>55.3213317085171</c:v>
                </c:pt>
                <c:pt idx="419">
                  <c:v>53.947510349453694</c:v>
                </c:pt>
                <c:pt idx="420">
                  <c:v>52.607001894317079</c:v>
                </c:pt>
                <c:pt idx="421">
                  <c:v>51.29882911756377</c:v>
                </c:pt>
                <c:pt idx="422">
                  <c:v>50.022052081171999</c:v>
                </c:pt>
                <c:pt idx="423">
                  <c:v>48.775766453415443</c:v>
                </c:pt>
                <c:pt idx="424">
                  <c:v>47.559101916249418</c:v>
                </c:pt>
                <c:pt idx="425">
                  <c:v>46.371220656003821</c:v>
                </c:pt>
                <c:pt idx="426">
                  <c:v>45.211315932433571</c:v>
                </c:pt>
                <c:pt idx="427">
                  <c:v>44.078610721506386</c:v>
                </c:pt>
                <c:pt idx="428">
                  <c:v>42.972356427613249</c:v>
                </c:pt>
                <c:pt idx="429">
                  <c:v>41.891831661169142</c:v>
                </c:pt>
                <c:pt idx="430">
                  <c:v>40.836341077835364</c:v>
                </c:pt>
                <c:pt idx="431">
                  <c:v>39.805214275836441</c:v>
                </c:pt>
                <c:pt idx="432">
                  <c:v>38.797804748073005</c:v>
                </c:pt>
                <c:pt idx="433">
                  <c:v>37.813488885939833</c:v>
                </c:pt>
                <c:pt idx="434">
                  <c:v>36.851665031955669</c:v>
                </c:pt>
                <c:pt idx="435">
                  <c:v>35.911752578491473</c:v>
                </c:pt>
                <c:pt idx="436">
                  <c:v>34.993191110054148</c:v>
                </c:pt>
                <c:pt idx="437">
                  <c:v>34.095439586738799</c:v>
                </c:pt>
                <c:pt idx="438">
                  <c:v>33.217975566610981</c:v>
                </c:pt>
                <c:pt idx="439">
                  <c:v>32.360294464915398</c:v>
                </c:pt>
                <c:pt idx="440">
                  <c:v>31.521908848136022</c:v>
                </c:pt>
                <c:pt idx="441">
                  <c:v>30.702347761051193</c:v>
                </c:pt>
                <c:pt idx="442">
                  <c:v>29.901156085038274</c:v>
                </c:pt>
                <c:pt idx="443">
                  <c:v>29.117893925985989</c:v>
                </c:pt>
                <c:pt idx="444">
                  <c:v>28.352136030269843</c:v>
                </c:pt>
                <c:pt idx="445">
                  <c:v>27.60347122733593</c:v>
                </c:pt>
                <c:pt idx="446">
                  <c:v>26.871501897523551</c:v>
                </c:pt>
                <c:pt idx="447">
                  <c:v>26.155843463836298</c:v>
                </c:pt>
                <c:pt idx="448">
                  <c:v>25.456123906445008</c:v>
                </c:pt>
                <c:pt idx="449">
                  <c:v>24.77198329877573</c:v>
                </c:pt>
                <c:pt idx="450">
                  <c:v>24.103073364100968</c:v>
                </c:pt>
                <c:pt idx="451">
                  <c:v>23.449057051612925</c:v>
                </c:pt>
                <c:pt idx="452">
                  <c:v>22.809608131015366</c:v>
                </c:pt>
                <c:pt idx="453">
                  <c:v>22.184410804723409</c:v>
                </c:pt>
                <c:pt idx="454">
                  <c:v>21.573159336811738</c:v>
                </c:pt>
                <c:pt idx="455">
                  <c:v>20.975557697898306</c:v>
                </c:pt>
                <c:pt idx="456">
                  <c:v>20.391319225195133</c:v>
                </c:pt>
                <c:pt idx="457">
                  <c:v>19.82016629699956</c:v>
                </c:pt>
                <c:pt idx="458">
                  <c:v>19.261830020938188</c:v>
                </c:pt>
                <c:pt idx="459">
                  <c:v>18.716049935312732</c:v>
                </c:pt>
                <c:pt idx="460">
                  <c:v>18.182573722931448</c:v>
                </c:pt>
                <c:pt idx="461">
                  <c:v>17.661156936842371</c:v>
                </c:pt>
                <c:pt idx="462">
                  <c:v>17.151562737415173</c:v>
                </c:pt>
                <c:pt idx="463">
                  <c:v>16.653561640247318</c:v>
                </c:pt>
                <c:pt idx="464">
                  <c:v>16.166931274397122</c:v>
                </c:pt>
                <c:pt idx="465">
                  <c:v>15.691456150471911</c:v>
                </c:pt>
                <c:pt idx="466">
                  <c:v>15.226927438123649</c:v>
                </c:pt>
                <c:pt idx="467">
                  <c:v>14.773142752526724</c:v>
                </c:pt>
                <c:pt idx="468">
                  <c:v>14.329905949434107</c:v>
                </c:pt>
                <c:pt idx="469">
                  <c:v>13.897026928428094</c:v>
                </c:pt>
                <c:pt idx="470">
                  <c:v>13.474321444000603</c:v>
                </c:pt>
                <c:pt idx="471">
                  <c:v>13.061610924116113</c:v>
                </c:pt>
                <c:pt idx="472">
                  <c:v>12.658722295926678</c:v>
                </c:pt>
                <c:pt idx="473">
                  <c:v>12.265487818324486</c:v>
                </c:pt>
                <c:pt idx="474">
                  <c:v>11.881744921032137</c:v>
                </c:pt>
                <c:pt idx="475">
                  <c:v>11.507336049944923</c:v>
                </c:pt>
                <c:pt idx="476">
                  <c:v>11.142108518452178</c:v>
                </c:pt>
                <c:pt idx="477">
                  <c:v>10.785914364477504</c:v>
                </c:pt>
                <c:pt idx="478">
                  <c:v>10.43861021298877</c:v>
                </c:pt>
                <c:pt idx="479">
                  <c:v>10.100057143739981</c:v>
                </c:pt>
                <c:pt idx="480">
                  <c:v>9.770120564017013</c:v>
                </c:pt>
                <c:pt idx="481">
                  <c:v>9.4486700861686099</c:v>
                </c:pt>
                <c:pt idx="482">
                  <c:v>9.1355794097130101</c:v>
                </c:pt>
                <c:pt idx="483">
                  <c:v>8.8307262078185573</c:v>
                </c:pt>
                <c:pt idx="484">
                  <c:v>8.5339920179642306</c:v>
                </c:pt>
                <c:pt idx="485">
                  <c:v>8.2452621365930696</c:v>
                </c:pt>
                <c:pt idx="486">
                  <c:v>7.9644255175775411</c:v>
                </c:pt>
                <c:pt idx="487">
                  <c:v>7.6913746743220921</c:v>
                </c:pt>
                <c:pt idx="488">
                  <c:v>7.4260055853328568</c:v>
                </c:pt>
                <c:pt idx="489">
                  <c:v>7.1682176030894862</c:v>
                </c:pt>
                <c:pt idx="490">
                  <c:v>6.9179133660578778</c:v>
                </c:pt>
                <c:pt idx="491">
                  <c:v>6.6749987136862119</c:v>
                </c:pt>
                <c:pt idx="492">
                  <c:v>6.4393826042294737</c:v>
                </c:pt>
                <c:pt idx="493">
                  <c:v>6.2109770352501625</c:v>
                </c:pt>
                <c:pt idx="494">
                  <c:v>5.9896969666443649</c:v>
                </c:pt>
                <c:pt idx="495">
                  <c:v>5.7754602460438047</c:v>
                </c:pt>
                <c:pt idx="496">
                  <c:v>5.5681875364448334</c:v>
                </c:pt>
                <c:pt idx="497">
                  <c:v>5.3678022459154215</c:v>
                </c:pt>
                <c:pt idx="498">
                  <c:v>5.1742304592304578</c:v>
                </c:pt>
                <c:pt idx="499">
                  <c:v>4.9874008712845885</c:v>
                </c:pt>
                <c:pt idx="500">
                  <c:v>4.8072447221298198</c:v>
                </c:pt>
                <c:pt idx="501">
                  <c:v>4.6336957334829316</c:v>
                </c:pt>
                <c:pt idx="502">
                  <c:v>4.4666900465446968</c:v>
                </c:pt>
                <c:pt idx="503">
                  <c:v>4.3061661609695756</c:v>
                </c:pt>
                <c:pt idx="504">
                  <c:v>4.1520648748207112</c:v>
                </c:pt>
                <c:pt idx="505">
                  <c:v>4.0043292253410137</c:v>
                </c:pt>
                <c:pt idx="506">
                  <c:v>3.8629044303666191</c:v>
                </c:pt>
                <c:pt idx="507">
                  <c:v>3.7277378302048527</c:v>
                </c:pt>
                <c:pt idx="508">
                  <c:v>3.5987788297944112</c:v>
                </c:pt>
                <c:pt idx="509">
                  <c:v>3.4759788409618122</c:v>
                </c:pt>
                <c:pt idx="510">
                  <c:v>3.3592912245848905</c:v>
                </c:pt>
                <c:pt idx="511">
                  <c:v>3.2486712324722045</c:v>
                </c:pt>
                <c:pt idx="512">
                  <c:v>3.1440759487663885</c:v>
                </c:pt>
                <c:pt idx="513">
                  <c:v>3.045464230680933</c:v>
                </c:pt>
                <c:pt idx="514">
                  <c:v>2.9527966483833916</c:v>
                </c:pt>
                <c:pt idx="515">
                  <c:v>2.8660354238447376</c:v>
                </c:pt>
                <c:pt idx="516">
                  <c:v>2.7851443684846342</c:v>
                </c:pt>
                <c:pt idx="517">
                  <c:v>2.7100888194565549</c:v>
                </c:pt>
                <c:pt idx="518">
                  <c:v>2.6408355744353535</c:v>
                </c:pt>
                <c:pt idx="519">
                  <c:v>2.5773528247934445</c:v>
                </c:pt>
                <c:pt idx="520">
                  <c:v>2.519610087080574</c:v>
                </c:pt>
                <c:pt idx="521">
                  <c:v>2.4675781327561461</c:v>
                </c:pt>
                <c:pt idx="522">
                  <c:v>2.4212289161621441</c:v>
                </c:pt>
                <c:pt idx="523">
                  <c:v>2.3805355007683842</c:v>
                </c:pt>
                <c:pt idx="524">
                  <c:v>2.3454719837691864</c:v>
                </c:pt>
                <c:pt idx="525">
                  <c:v>2.3160134191606732</c:v>
                </c:pt>
                <c:pt idx="526">
                  <c:v>2.2921357394789874</c:v>
                </c:pt>
                <c:pt idx="527">
                  <c:v>2.273815676430329</c:v>
                </c:pt>
                <c:pt idx="528">
                  <c:v>2.2610306806916407</c:v>
                </c:pt>
                <c:pt idx="529">
                  <c:v>2.2537588412041245</c:v>
                </c:pt>
                <c:pt idx="530">
                  <c:v>2.251978804318564</c:v>
                </c:pt>
                <c:pt idx="531">
                  <c:v>2.2556696931797422</c:v>
                </c:pt>
                <c:pt idx="532">
                  <c:v>2.264811027755897</c:v>
                </c:pt>
                <c:pt idx="533">
                  <c:v>2.2793826459269662</c:v>
                </c:pt>
                <c:pt idx="534">
                  <c:v>2.2993646260420775</c:v>
                </c:pt>
                <c:pt idx="535">
                  <c:v>2.3247372113424856</c:v>
                </c:pt>
                <c:pt idx="536">
                  <c:v>2.355480736621788</c:v>
                </c:pt>
                <c:pt idx="537">
                  <c:v>2.3915755574618953</c:v>
                </c:pt>
                <c:pt idx="538">
                  <c:v>2.4330019823428701</c:v>
                </c:pt>
                <c:pt idx="539">
                  <c:v>2.4797402078789155</c:v>
                </c:pt>
                <c:pt idx="540">
                  <c:v>2.5317702573840064</c:v>
                </c:pt>
                <c:pt idx="541">
                  <c:v>2.5890719229204957</c:v>
                </c:pt>
                <c:pt idx="542">
                  <c:v>2.6516247109347035</c:v>
                </c:pt>
                <c:pt idx="543">
                  <c:v>2.7194077915363408</c:v>
                </c:pt>
                <c:pt idx="544">
                  <c:v>2.792399951435129</c:v>
                </c:pt>
                <c:pt idx="545">
                  <c:v>2.8705795505088654</c:v>
                </c:pt>
                <c:pt idx="546">
                  <c:v>2.9539244819432997</c:v>
                </c:pt>
                <c:pt idx="547">
                  <c:v>3.0424121358555194</c:v>
                </c:pt>
                <c:pt idx="548">
                  <c:v>3.1360193662894069</c:v>
                </c:pt>
                <c:pt idx="549">
                  <c:v>3.2347224614535941</c:v>
                </c:pt>
                <c:pt idx="550">
                  <c:v>3.3384971170592008</c:v>
                </c:pt>
                <c:pt idx="551">
                  <c:v>3.4473184126055978</c:v>
                </c:pt>
                <c:pt idx="552">
                  <c:v>3.5611607904573743</c:v>
                </c:pt>
                <c:pt idx="553">
                  <c:v>3.6799980375537391</c:v>
                </c:pt>
                <c:pt idx="554">
                  <c:v>3.8038032695922612</c:v>
                </c:pt>
                <c:pt idx="555">
                  <c:v>3.9325489175318644</c:v>
                </c:pt>
                <c:pt idx="556">
                  <c:v>4.0662067162643769</c:v>
                </c:pt>
                <c:pt idx="557">
                  <c:v>4.2047476953098659</c:v>
                </c:pt>
                <c:pt idx="558">
                  <c:v>4.3481421713975772</c:v>
                </c:pt>
                <c:pt idx="559">
                  <c:v>4.4963597428015323</c:v>
                </c:pt>
                <c:pt idx="560">
                  <c:v>4.6493692853074631</c:v>
                </c:pt>
                <c:pt idx="561">
                  <c:v>4.8071389496953065</c:v>
                </c:pt>
                <c:pt idx="562">
                  <c:v>4.969636160629169</c:v>
                </c:pt>
                <c:pt idx="563">
                  <c:v>5.1368276168540881</c:v>
                </c:pt>
                <c:pt idx="564">
                  <c:v>5.3086792926060102</c:v>
                </c:pt>
                <c:pt idx="565">
                  <c:v>5.4851564401483266</c:v>
                </c:pt>
                <c:pt idx="566">
                  <c:v>5.666223593354685</c:v>
                </c:pt>
                <c:pt idx="567">
                  <c:v>5.851844572263869</c:v>
                </c:pt>
                <c:pt idx="568">
                  <c:v>6.0419824885382036</c:v>
                </c:pt>
                <c:pt idx="569">
                  <c:v>6.2365997517621503</c:v>
                </c:pt>
                <c:pt idx="570">
                  <c:v>6.4356580765225972</c:v>
                </c:pt>
                <c:pt idx="571">
                  <c:v>6.6391184902168465</c:v>
                </c:pt>
                <c:pt idx="572">
                  <c:v>6.8469413415382601</c:v>
                </c:pt>
                <c:pt idx="573">
                  <c:v>7.0590863095934191</c:v>
                </c:pt>
                <c:pt idx="574">
                  <c:v>7.2755124136079496</c:v>
                </c:pt>
                <c:pt idx="575">
                  <c:v>7.4961780231812813</c:v>
                </c:pt>
                <c:pt idx="576">
                  <c:v>7.721040869053458</c:v>
                </c:pt>
                <c:pt idx="577">
                  <c:v>7.9500580543497117</c:v>
                </c:pt>
                <c:pt idx="578">
                  <c:v>8.18318606627078</c:v>
                </c:pt>
                <c:pt idx="579">
                  <c:v>8.4203807881990453</c:v>
                </c:pt>
                <c:pt idx="580">
                  <c:v>8.6615975121926336</c:v>
                </c:pt>
                <c:pt idx="581">
                  <c:v>8.906790951841149</c:v>
                </c:pt>
                <c:pt idx="582">
                  <c:v>9.1559152554584546</c:v>
                </c:pt>
                <c:pt idx="583">
                  <c:v>9.4089240195892447</c:v>
                </c:pt>
                <c:pt idx="584">
                  <c:v>9.6657703028075321</c:v>
                </c:pt>
                <c:pt idx="585">
                  <c:v>9.9264066397861921</c:v>
                </c:pt>
                <c:pt idx="586">
                  <c:v>10.190785055618088</c:v>
                </c:pt>
                <c:pt idx="587">
                  <c:v>10.458857080369787</c:v>
                </c:pt>
                <c:pt idx="588">
                  <c:v>10.730573763850353</c:v>
                </c:pt>
                <c:pt idx="589">
                  <c:v>11.005885690577932</c:v>
                </c:pt>
                <c:pt idx="590">
                  <c:v>11.284742994928031</c:v>
                </c:pt>
                <c:pt idx="591">
                  <c:v>11.567095376447821</c:v>
                </c:pt>
                <c:pt idx="592">
                  <c:v>11.85289211532146</c:v>
                </c:pt>
                <c:pt idx="593">
                  <c:v>12.142082087972046</c:v>
                </c:pt>
                <c:pt idx="594">
                  <c:v>12.434613782786355</c:v>
                </c:pt>
                <c:pt idx="595">
                  <c:v>12.730435315948807</c:v>
                </c:pt>
                <c:pt idx="596">
                  <c:v>13.029494447371851</c:v>
                </c:pt>
                <c:pt idx="597">
                  <c:v>13.331738596710139</c:v>
                </c:pt>
                <c:pt idx="598">
                  <c:v>13.637114859446383</c:v>
                </c:pt>
                <c:pt idx="599">
                  <c:v>13.945570023036993</c:v>
                </c:pt>
                <c:pt idx="600">
                  <c:v>14.25705058310618</c:v>
                </c:pt>
                <c:pt idx="601">
                  <c:v>14.571502759677276</c:v>
                </c:pt>
                <c:pt idx="602">
                  <c:v>14.888872513430476</c:v>
                </c:pt>
                <c:pt idx="603">
                  <c:v>15.209105561976504</c:v>
                </c:pt>
                <c:pt idx="604">
                  <c:v>15.532147396135796</c:v>
                </c:pt>
                <c:pt idx="605">
                  <c:v>15.857943296213369</c:v>
                </c:pt>
                <c:pt idx="606">
                  <c:v>16.18643834825944</c:v>
                </c:pt>
                <c:pt idx="607">
                  <c:v>16.517577460306484</c:v>
                </c:pt>
                <c:pt idx="608">
                  <c:v>16.851305378573166</c:v>
                </c:pt>
                <c:pt idx="609">
                  <c:v>17.187566703626359</c:v>
                </c:pt>
                <c:pt idx="610">
                  <c:v>17.526305906492325</c:v>
                </c:pt>
                <c:pt idx="611">
                  <c:v>17.867467344708356</c:v>
                </c:pt>
                <c:pt idx="612">
                  <c:v>18.210995278306516</c:v>
                </c:pt>
                <c:pt idx="613">
                  <c:v>18.556833885721463</c:v>
                </c:pt>
                <c:pt idx="614">
                  <c:v>18.904927279613958</c:v>
                </c:pt>
                <c:pt idx="615">
                  <c:v>19.255219522602715</c:v>
                </c:pt>
                <c:pt idx="616">
                  <c:v>19.607654642896634</c:v>
                </c:pt>
                <c:pt idx="617">
                  <c:v>19.962176649820222</c:v>
                </c:pt>
                <c:pt idx="618">
                  <c:v>20.31872954922499</c:v>
                </c:pt>
                <c:pt idx="619">
                  <c:v>20.677257358779642</c:v>
                </c:pt>
                <c:pt idx="620">
                  <c:v>21.037704123132499</c:v>
                </c:pt>
                <c:pt idx="621">
                  <c:v>21.400013928939224</c:v>
                </c:pt>
                <c:pt idx="622">
                  <c:v>21.764130919749739</c:v>
                </c:pt>
                <c:pt idx="623">
                  <c:v>22.129999310747806</c:v>
                </c:pt>
                <c:pt idx="624">
                  <c:v>22.497563403337335</c:v>
                </c:pt>
                <c:pt idx="625">
                  <c:v>22.866767599569588</c:v>
                </c:pt>
                <c:pt idx="626">
                  <c:v>23.237556416405518</c:v>
                </c:pt>
                <c:pt idx="627">
                  <c:v>23.609874499807731</c:v>
                </c:pt>
                <c:pt idx="628">
                  <c:v>23.983666638656867</c:v>
                </c:pt>
                <c:pt idx="629">
                  <c:v>24.358877778487191</c:v>
                </c:pt>
                <c:pt idx="630">
                  <c:v>24.735453035036453</c:v>
                </c:pt>
                <c:pt idx="631">
                  <c:v>25.113337707605353</c:v>
                </c:pt>
                <c:pt idx="632">
                  <c:v>25.49247729222202</c:v>
                </c:pt>
                <c:pt idx="633">
                  <c:v>25.872817494606956</c:v>
                </c:pt>
                <c:pt idx="634">
                  <c:v>26.254304242934605</c:v>
                </c:pt>
                <c:pt idx="635">
                  <c:v>26.636883700387205</c:v>
                </c:pt>
                <c:pt idx="636">
                  <c:v>27.020502277497254</c:v>
                </c:pt>
                <c:pt idx="637">
                  <c:v>27.405106644275001</c:v>
                </c:pt>
                <c:pt idx="638">
                  <c:v>27.790643742117393</c:v>
                </c:pt>
                <c:pt idx="639">
                  <c:v>28.177060795495208</c:v>
                </c:pt>
                <c:pt idx="640">
                  <c:v>28.56430532341539</c:v>
                </c:pt>
                <c:pt idx="641">
                  <c:v>28.952325150655636</c:v>
                </c:pt>
                <c:pt idx="642">
                  <c:v>29.341068418768355</c:v>
                </c:pt>
                <c:pt idx="643">
                  <c:v>29.730483596851716</c:v>
                </c:pt>
                <c:pt idx="644">
                  <c:v>30.120519492085169</c:v>
                </c:pt>
                <c:pt idx="645">
                  <c:v>30.511125260027299</c:v>
                </c:pt>
                <c:pt idx="646">
                  <c:v>30.902250414674153</c:v>
                </c:pt>
                <c:pt idx="647">
                  <c:v>31.293844838275909</c:v>
                </c:pt>
                <c:pt idx="648">
                  <c:v>31.685858790910405</c:v>
                </c:pt>
                <c:pt idx="649">
                  <c:v>32.07824291981202</c:v>
                </c:pt>
                <c:pt idx="650">
                  <c:v>32.470948268454315</c:v>
                </c:pt>
                <c:pt idx="651">
                  <c:v>32.863926285385737</c:v>
                </c:pt>
                <c:pt idx="652">
                  <c:v>33.257128832816718</c:v>
                </c:pt>
                <c:pt idx="653">
                  <c:v>33.650508194958064</c:v>
                </c:pt>
                <c:pt idx="654">
                  <c:v>34.044017086109164</c:v>
                </c:pt>
                <c:pt idx="655">
                  <c:v>34.437608658496281</c:v>
                </c:pt>
                <c:pt idx="656">
                  <c:v>34.831236509859785</c:v>
                </c:pt>
                <c:pt idx="657">
                  <c:v>35.224854690790721</c:v>
                </c:pt>
                <c:pt idx="658">
                  <c:v>35.618417711816242</c:v>
                </c:pt>
                <c:pt idx="659">
                  <c:v>36.011880550234238</c:v>
                </c:pt>
                <c:pt idx="660">
                  <c:v>36.405198656697209</c:v>
                </c:pt>
                <c:pt idx="661">
                  <c:v>36.79832796154578</c:v>
                </c:pt>
                <c:pt idx="662">
                  <c:v>37.191224880892541</c:v>
                </c:pt>
                <c:pt idx="663">
                  <c:v>37.583846322456537</c:v>
                </c:pt>
                <c:pt idx="664">
                  <c:v>37.976149691149509</c:v>
                </c:pt>
                <c:pt idx="665">
                  <c:v>38.368092894414566</c:v>
                </c:pt>
                <c:pt idx="666">
                  <c:v>38.759634347318588</c:v>
                </c:pt>
                <c:pt idx="667">
                  <c:v>39.150732977399024</c:v>
                </c:pt>
                <c:pt idx="668">
                  <c:v>39.54134822926715</c:v>
                </c:pt>
                <c:pt idx="669">
                  <c:v>39.931440068968449</c:v>
                </c:pt>
                <c:pt idx="670">
                  <c:v>40.320968988102116</c:v>
                </c:pt>
                <c:pt idx="671">
                  <c:v>40.709896007701118</c:v>
                </c:pt>
                <c:pt idx="672">
                  <c:v>41.098182681874633</c:v>
                </c:pt>
                <c:pt idx="673">
                  <c:v>41.485791101214794</c:v>
                </c:pt>
                <c:pt idx="674">
                  <c:v>41.872683895969594</c:v>
                </c:pt>
                <c:pt idx="675">
                  <c:v>42.258824238984026</c:v>
                </c:pt>
                <c:pt idx="676">
                  <c:v>42.644175848411727</c:v>
                </c:pt>
                <c:pt idx="677">
                  <c:v>43.028702990199307</c:v>
                </c:pt>
                <c:pt idx="678">
                  <c:v>43.4123704803458</c:v>
                </c:pt>
                <c:pt idx="679">
                  <c:v>43.795143686939532</c:v>
                </c:pt>
                <c:pt idx="680">
                  <c:v>44.176988531975034</c:v>
                </c:pt>
                <c:pt idx="681">
                  <c:v>44.557871492952778</c:v>
                </c:pt>
                <c:pt idx="682">
                  <c:v>44.937759604263874</c:v>
                </c:pt>
                <c:pt idx="683">
                  <c:v>45.316620458363317</c:v>
                </c:pt>
                <c:pt idx="684">
                  <c:v>45.69442220673384</c:v>
                </c:pt>
                <c:pt idx="685">
                  <c:v>46.07113356064368</c:v>
                </c:pt>
                <c:pt idx="686">
                  <c:v>46.446723791701196</c:v>
                </c:pt>
                <c:pt idx="687">
                  <c:v>46.821162732209395</c:v>
                </c:pt>
                <c:pt idx="688">
                  <c:v>47.19442077532311</c:v>
                </c:pt>
                <c:pt idx="689">
                  <c:v>47.566468875012561</c:v>
                </c:pt>
                <c:pt idx="690">
                  <c:v>47.93727854583598</c:v>
                </c:pt>
                <c:pt idx="691">
                  <c:v>48.306821862524785</c:v>
                </c:pt>
                <c:pt idx="692">
                  <c:v>48.675071459384597</c:v>
                </c:pt>
                <c:pt idx="693">
                  <c:v>49.04200052951537</c:v>
                </c:pt>
                <c:pt idx="694">
                  <c:v>49.407582823854</c:v>
                </c:pt>
                <c:pt idx="695">
                  <c:v>49.771792650042862</c:v>
                </c:pt>
                <c:pt idx="696">
                  <c:v>50.13460487112777</c:v>
                </c:pt>
                <c:pt idx="697">
                  <c:v>50.495994904088597</c:v>
                </c:pt>
                <c:pt idx="698">
                  <c:v>50.855938718206474</c:v>
                </c:pt>
                <c:pt idx="699">
                  <c:v>51.214412833270593</c:v>
                </c:pt>
                <c:pt idx="700">
                  <c:v>51.571394317628538</c:v>
                </c:pt>
                <c:pt idx="701">
                  <c:v>51.926860786083779</c:v>
                </c:pt>
                <c:pt idx="702">
                  <c:v>52.280790397643202</c:v>
                </c:pt>
                <c:pt idx="703">
                  <c:v>52.633161853119333</c:v>
                </c:pt>
                <c:pt idx="704">
                  <c:v>52.983954392590022</c:v>
                </c:pt>
                <c:pt idx="705">
                  <c:v>53.333147792719465</c:v>
                </c:pt>
                <c:pt idx="706">
                  <c:v>53.680722363944383</c:v>
                </c:pt>
                <c:pt idx="707">
                  <c:v>54.026658947528702</c:v>
                </c:pt>
                <c:pt idx="708">
                  <c:v>54.370938912490502</c:v>
                </c:pt>
                <c:pt idx="709">
                  <c:v>54.71354415240463</c:v>
                </c:pt>
                <c:pt idx="710">
                  <c:v>55.054457082085207</c:v>
                </c:pt>
                <c:pt idx="711">
                  <c:v>55.393660634150592</c:v>
                </c:pt>
                <c:pt idx="712">
                  <c:v>55.731138255475614</c:v>
                </c:pt>
                <c:pt idx="713">
                  <c:v>56.066873903533782</c:v>
                </c:pt>
                <c:pt idx="714">
                  <c:v>56.067207055407891</c:v>
                </c:pt>
                <c:pt idx="715">
                  <c:v>56.067540205537014</c:v>
                </c:pt>
                <c:pt idx="716">
                  <c:v>56.067873353921087</c:v>
                </c:pt>
                <c:pt idx="717">
                  <c:v>56.068206500560173</c:v>
                </c:pt>
                <c:pt idx="718">
                  <c:v>56.068539645454209</c:v>
                </c:pt>
                <c:pt idx="719">
                  <c:v>56.068872788603201</c:v>
                </c:pt>
                <c:pt idx="720">
                  <c:v>56.069205930007087</c:v>
                </c:pt>
                <c:pt idx="721">
                  <c:v>56.069539069665908</c:v>
                </c:pt>
                <c:pt idx="722">
                  <c:v>56.069872207579628</c:v>
                </c:pt>
                <c:pt idx="723">
                  <c:v>56.070205343748214</c:v>
                </c:pt>
                <c:pt idx="724">
                  <c:v>56.070538478171692</c:v>
                </c:pt>
                <c:pt idx="725">
                  <c:v>56.07087161085002</c:v>
                </c:pt>
                <c:pt idx="726">
                  <c:v>56.071204741783163</c:v>
                </c:pt>
                <c:pt idx="727">
                  <c:v>56.07153787097112</c:v>
                </c:pt>
                <c:pt idx="728">
                  <c:v>56.071870998413907</c:v>
                </c:pt>
                <c:pt idx="729">
                  <c:v>56.072204124111472</c:v>
                </c:pt>
                <c:pt idx="730">
                  <c:v>56.072537248063817</c:v>
                </c:pt>
                <c:pt idx="731">
                  <c:v>56.072870370270905</c:v>
                </c:pt>
                <c:pt idx="732">
                  <c:v>56.073203490732816</c:v>
                </c:pt>
                <c:pt idx="733">
                  <c:v>56.073536609449405</c:v>
                </c:pt>
                <c:pt idx="734">
                  <c:v>56.073869726420703</c:v>
                </c:pt>
                <c:pt idx="735">
                  <c:v>56.074202841646738</c:v>
                </c:pt>
                <c:pt idx="736">
                  <c:v>56.074535955127445</c:v>
                </c:pt>
                <c:pt idx="737">
                  <c:v>56.074869066862817</c:v>
                </c:pt>
                <c:pt idx="738">
                  <c:v>56.075202176852841</c:v>
                </c:pt>
                <c:pt idx="739">
                  <c:v>56.075535285097523</c:v>
                </c:pt>
                <c:pt idx="740">
                  <c:v>56.075868391596821</c:v>
                </c:pt>
                <c:pt idx="741">
                  <c:v>56.076201496350762</c:v>
                </c:pt>
                <c:pt idx="742">
                  <c:v>56.076534599359263</c:v>
                </c:pt>
                <c:pt idx="743">
                  <c:v>56.076867700622351</c:v>
                </c:pt>
                <c:pt idx="744">
                  <c:v>56.077200800140041</c:v>
                </c:pt>
                <c:pt idx="745">
                  <c:v>56.077533897912247</c:v>
                </c:pt>
                <c:pt idx="746">
                  <c:v>56.077866993939026</c:v>
                </c:pt>
                <c:pt idx="747">
                  <c:v>56.078200088220299</c:v>
                </c:pt>
                <c:pt idx="748">
                  <c:v>56.078533180756111</c:v>
                </c:pt>
                <c:pt idx="749">
                  <c:v>56.078866271546396</c:v>
                </c:pt>
                <c:pt idx="750">
                  <c:v>56.079199360591147</c:v>
                </c:pt>
                <c:pt idx="751">
                  <c:v>56.079532447890379</c:v>
                </c:pt>
                <c:pt idx="752">
                  <c:v>56.079865533444043</c:v>
                </c:pt>
                <c:pt idx="753">
                  <c:v>56.080198617252137</c:v>
                </c:pt>
                <c:pt idx="754">
                  <c:v>56.080531699314676</c:v>
                </c:pt>
                <c:pt idx="755">
                  <c:v>56.080864779631639</c:v>
                </c:pt>
                <c:pt idx="756">
                  <c:v>56.08119785820297</c:v>
                </c:pt>
                <c:pt idx="757">
                  <c:v>56.081530935028638</c:v>
                </c:pt>
                <c:pt idx="758">
                  <c:v>56.081864010108696</c:v>
                </c:pt>
                <c:pt idx="759">
                  <c:v>56.082197083443099</c:v>
                </c:pt>
                <c:pt idx="760">
                  <c:v>56.082530155031826</c:v>
                </c:pt>
                <c:pt idx="761">
                  <c:v>56.082863224874863</c:v>
                </c:pt>
                <c:pt idx="762">
                  <c:v>56.083196292972204</c:v>
                </c:pt>
                <c:pt idx="763">
                  <c:v>56.083529359323833</c:v>
                </c:pt>
                <c:pt idx="764">
                  <c:v>56.083862423929723</c:v>
                </c:pt>
                <c:pt idx="765">
                  <c:v>56.084195486789888</c:v>
                </c:pt>
                <c:pt idx="766">
                  <c:v>56.08452854790427</c:v>
                </c:pt>
                <c:pt idx="767">
                  <c:v>56.084861607272892</c:v>
                </c:pt>
                <c:pt idx="768">
                  <c:v>56.085194664895688</c:v>
                </c:pt>
                <c:pt idx="769">
                  <c:v>56.085527720772731</c:v>
                </c:pt>
                <c:pt idx="770">
                  <c:v>56.085860774903907</c:v>
                </c:pt>
                <c:pt idx="771">
                  <c:v>56.086193827289321</c:v>
                </c:pt>
                <c:pt idx="772">
                  <c:v>56.086526877928819</c:v>
                </c:pt>
                <c:pt idx="773">
                  <c:v>56.08685992682247</c:v>
                </c:pt>
                <c:pt idx="774">
                  <c:v>56.087192973970254</c:v>
                </c:pt>
                <c:pt idx="775">
                  <c:v>56.087526019372092</c:v>
                </c:pt>
                <c:pt idx="776">
                  <c:v>56.087859063028077</c:v>
                </c:pt>
                <c:pt idx="777">
                  <c:v>56.08819210493813</c:v>
                </c:pt>
                <c:pt idx="778">
                  <c:v>56.088525145102246</c:v>
                </c:pt>
                <c:pt idx="779">
                  <c:v>56.088858183520408</c:v>
                </c:pt>
                <c:pt idx="780">
                  <c:v>56.089191220192575</c:v>
                </c:pt>
                <c:pt idx="781">
                  <c:v>56.089524255118789</c:v>
                </c:pt>
                <c:pt idx="782">
                  <c:v>56.089857288298965</c:v>
                </c:pt>
                <c:pt idx="783">
                  <c:v>56.090190319733175</c:v>
                </c:pt>
                <c:pt idx="784">
                  <c:v>56.090523349421368</c:v>
                </c:pt>
                <c:pt idx="785">
                  <c:v>56.090856377363501</c:v>
                </c:pt>
                <c:pt idx="786">
                  <c:v>56.091189403559525</c:v>
                </c:pt>
                <c:pt idx="787">
                  <c:v>56.091522428009519</c:v>
                </c:pt>
                <c:pt idx="788">
                  <c:v>56.09185545071341</c:v>
                </c:pt>
                <c:pt idx="789">
                  <c:v>56.092188471671207</c:v>
                </c:pt>
                <c:pt idx="790">
                  <c:v>56.092521490882888</c:v>
                </c:pt>
                <c:pt idx="791">
                  <c:v>56.092854508348459</c:v>
                </c:pt>
                <c:pt idx="792">
                  <c:v>56.093187524067858</c:v>
                </c:pt>
                <c:pt idx="793">
                  <c:v>56.093520538041069</c:v>
                </c:pt>
                <c:pt idx="794">
                  <c:v>56.09385355026815</c:v>
                </c:pt>
                <c:pt idx="795">
                  <c:v>56.09418656074903</c:v>
                </c:pt>
                <c:pt idx="796">
                  <c:v>56.094519569483666</c:v>
                </c:pt>
                <c:pt idx="797">
                  <c:v>56.0948525764721</c:v>
                </c:pt>
                <c:pt idx="798">
                  <c:v>56.095185581714325</c:v>
                </c:pt>
                <c:pt idx="799">
                  <c:v>56.095518585210264</c:v>
                </c:pt>
                <c:pt idx="800">
                  <c:v>56.09585158695991</c:v>
                </c:pt>
                <c:pt idx="801">
                  <c:v>56.096184586963332</c:v>
                </c:pt>
                <c:pt idx="802">
                  <c:v>56.096517585220411</c:v>
                </c:pt>
                <c:pt idx="803">
                  <c:v>56.096850581731218</c:v>
                </c:pt>
                <c:pt idx="804">
                  <c:v>56.097183576495645</c:v>
                </c:pt>
                <c:pt idx="805">
                  <c:v>56.097516569513793</c:v>
                </c:pt>
                <c:pt idx="806">
                  <c:v>56.097849560785562</c:v>
                </c:pt>
                <c:pt idx="807">
                  <c:v>56.098182550310959</c:v>
                </c:pt>
                <c:pt idx="808">
                  <c:v>56.09851553808997</c:v>
                </c:pt>
                <c:pt idx="809">
                  <c:v>56.098848524122559</c:v>
                </c:pt>
                <c:pt idx="810">
                  <c:v>56.099181508408755</c:v>
                </c:pt>
                <c:pt idx="811">
                  <c:v>56.099514490948508</c:v>
                </c:pt>
                <c:pt idx="812">
                  <c:v>56.099847471741825</c:v>
                </c:pt>
                <c:pt idx="813">
                  <c:v>56.100180450788663</c:v>
                </c:pt>
                <c:pt idx="814">
                  <c:v>56.100513428089037</c:v>
                </c:pt>
                <c:pt idx="815">
                  <c:v>56.100846403642926</c:v>
                </c:pt>
                <c:pt idx="816">
                  <c:v>56.101179377450293</c:v>
                </c:pt>
                <c:pt idx="817">
                  <c:v>56.10151234951114</c:v>
                </c:pt>
                <c:pt idx="818">
                  <c:v>56.101845319825465</c:v>
                </c:pt>
                <c:pt idx="819">
                  <c:v>56.10217828839324</c:v>
                </c:pt>
                <c:pt idx="820">
                  <c:v>56.102511255214445</c:v>
                </c:pt>
                <c:pt idx="821">
                  <c:v>56.102844220289079</c:v>
                </c:pt>
                <c:pt idx="822">
                  <c:v>56.103177183617106</c:v>
                </c:pt>
                <c:pt idx="823">
                  <c:v>56.103510145198527</c:v>
                </c:pt>
                <c:pt idx="824">
                  <c:v>56.103843105033327</c:v>
                </c:pt>
                <c:pt idx="825">
                  <c:v>56.104176063121486</c:v>
                </c:pt>
                <c:pt idx="826">
                  <c:v>56.104509019462995</c:v>
                </c:pt>
                <c:pt idx="827">
                  <c:v>56.104841974057834</c:v>
                </c:pt>
                <c:pt idx="828">
                  <c:v>56.105174926905974</c:v>
                </c:pt>
                <c:pt idx="829">
                  <c:v>56.105507878007444</c:v>
                </c:pt>
                <c:pt idx="830">
                  <c:v>56.105840827362179</c:v>
                </c:pt>
                <c:pt idx="831">
                  <c:v>56.106173774970173</c:v>
                </c:pt>
                <c:pt idx="832">
                  <c:v>56.106506720831447</c:v>
                </c:pt>
                <c:pt idx="833">
                  <c:v>56.106839664945966</c:v>
                </c:pt>
                <c:pt idx="834">
                  <c:v>56.107172607313693</c:v>
                </c:pt>
                <c:pt idx="835">
                  <c:v>56.107505547934615</c:v>
                </c:pt>
                <c:pt idx="836">
                  <c:v>56.107838486808774</c:v>
                </c:pt>
                <c:pt idx="837">
                  <c:v>56.108171423936099</c:v>
                </c:pt>
                <c:pt idx="838">
                  <c:v>56.108504359316562</c:v>
                </c:pt>
                <c:pt idx="839">
                  <c:v>56.10883729295022</c:v>
                </c:pt>
                <c:pt idx="840">
                  <c:v>56.109170224837001</c:v>
                </c:pt>
                <c:pt idx="841">
                  <c:v>56.10950315497692</c:v>
                </c:pt>
                <c:pt idx="842">
                  <c:v>56.109836083369906</c:v>
                </c:pt>
                <c:pt idx="843">
                  <c:v>56.110169010016016</c:v>
                </c:pt>
                <c:pt idx="844">
                  <c:v>56.110501934915192</c:v>
                </c:pt>
                <c:pt idx="845">
                  <c:v>56.110834858067442</c:v>
                </c:pt>
                <c:pt idx="846">
                  <c:v>56.111167779472694</c:v>
                </c:pt>
                <c:pt idx="847">
                  <c:v>56.111500699130993</c:v>
                </c:pt>
                <c:pt idx="848">
                  <c:v>56.111833617042379</c:v>
                </c:pt>
                <c:pt idx="849">
                  <c:v>56.112166533206739</c:v>
                </c:pt>
                <c:pt idx="850">
                  <c:v>56.112499447624032</c:v>
                </c:pt>
                <c:pt idx="851">
                  <c:v>56.112832360294362</c:v>
                </c:pt>
                <c:pt idx="852">
                  <c:v>56.113165271217625</c:v>
                </c:pt>
                <c:pt idx="853">
                  <c:v>56.113498180393819</c:v>
                </c:pt>
                <c:pt idx="854">
                  <c:v>56.113831087822938</c:v>
                </c:pt>
                <c:pt idx="855">
                  <c:v>56.114163993504981</c:v>
                </c:pt>
                <c:pt idx="856">
                  <c:v>56.114496897439942</c:v>
                </c:pt>
                <c:pt idx="857">
                  <c:v>56.114829799627785</c:v>
                </c:pt>
                <c:pt idx="858">
                  <c:v>56.115162700068481</c:v>
                </c:pt>
                <c:pt idx="859">
                  <c:v>56.115495598762024</c:v>
                </c:pt>
                <c:pt idx="860">
                  <c:v>56.115828495708421</c:v>
                </c:pt>
                <c:pt idx="861">
                  <c:v>56.116161390907621</c:v>
                </c:pt>
                <c:pt idx="862">
                  <c:v>56.116494284359653</c:v>
                </c:pt>
                <c:pt idx="863">
                  <c:v>56.116827176064483</c:v>
                </c:pt>
                <c:pt idx="864">
                  <c:v>56.117160066022073</c:v>
                </c:pt>
                <c:pt idx="865">
                  <c:v>56.117492954232432</c:v>
                </c:pt>
                <c:pt idx="866">
                  <c:v>56.117825840695573</c:v>
                </c:pt>
                <c:pt idx="867">
                  <c:v>56.118158725411419</c:v>
                </c:pt>
                <c:pt idx="868">
                  <c:v>56.118491608379991</c:v>
                </c:pt>
                <c:pt idx="869">
                  <c:v>56.11882448960128</c:v>
                </c:pt>
                <c:pt idx="870">
                  <c:v>56.119157369075232</c:v>
                </c:pt>
                <c:pt idx="871">
                  <c:v>56.119490246801909</c:v>
                </c:pt>
                <c:pt idx="872">
                  <c:v>56.119823122781206</c:v>
                </c:pt>
                <c:pt idx="873">
                  <c:v>56.120155997013164</c:v>
                </c:pt>
                <c:pt idx="874">
                  <c:v>56.120488869497734</c:v>
                </c:pt>
                <c:pt idx="875">
                  <c:v>56.120821740234923</c:v>
                </c:pt>
                <c:pt idx="876">
                  <c:v>56.121154609224725</c:v>
                </c:pt>
                <c:pt idx="877">
                  <c:v>56.121487476467081</c:v>
                </c:pt>
                <c:pt idx="878">
                  <c:v>56.121820341962092</c:v>
                </c:pt>
                <c:pt idx="879">
                  <c:v>56.12215320570958</c:v>
                </c:pt>
                <c:pt idx="880">
                  <c:v>56.122486067709673</c:v>
                </c:pt>
                <c:pt idx="881">
                  <c:v>56.122818927962243</c:v>
                </c:pt>
                <c:pt idx="882">
                  <c:v>56.123151786467353</c:v>
                </c:pt>
                <c:pt idx="883">
                  <c:v>56.123484643224941</c:v>
                </c:pt>
                <c:pt idx="884">
                  <c:v>56.12381749823502</c:v>
                </c:pt>
                <c:pt idx="885">
                  <c:v>56.124150351497548</c:v>
                </c:pt>
                <c:pt idx="886">
                  <c:v>56.124483203012545</c:v>
                </c:pt>
                <c:pt idx="887">
                  <c:v>56.124816052779998</c:v>
                </c:pt>
                <c:pt idx="888">
                  <c:v>56.125148900799857</c:v>
                </c:pt>
                <c:pt idx="889">
                  <c:v>56.125481747072101</c:v>
                </c:pt>
                <c:pt idx="890">
                  <c:v>56.1258145915968</c:v>
                </c:pt>
                <c:pt idx="891">
                  <c:v>56.126147434373841</c:v>
                </c:pt>
                <c:pt idx="892">
                  <c:v>56.126480275403253</c:v>
                </c:pt>
                <c:pt idx="893">
                  <c:v>56.126813114684992</c:v>
                </c:pt>
                <c:pt idx="894">
                  <c:v>56.127145952219095</c:v>
                </c:pt>
                <c:pt idx="895">
                  <c:v>56.127478788005519</c:v>
                </c:pt>
                <c:pt idx="896">
                  <c:v>56.127811622044234</c:v>
                </c:pt>
                <c:pt idx="897">
                  <c:v>56.128144454335214</c:v>
                </c:pt>
                <c:pt idx="898">
                  <c:v>56.1284772848785</c:v>
                </c:pt>
                <c:pt idx="899">
                  <c:v>56.128810113674021</c:v>
                </c:pt>
                <c:pt idx="900">
                  <c:v>56.129142940721813</c:v>
                </c:pt>
                <c:pt idx="901">
                  <c:v>56.129475766021827</c:v>
                </c:pt>
                <c:pt idx="902">
                  <c:v>56.129808589574047</c:v>
                </c:pt>
                <c:pt idx="903">
                  <c:v>56.130141411378418</c:v>
                </c:pt>
                <c:pt idx="904">
                  <c:v>56.130474231435052</c:v>
                </c:pt>
                <c:pt idx="905">
                  <c:v>56.130807049743844</c:v>
                </c:pt>
                <c:pt idx="906">
                  <c:v>56.131139866304778</c:v>
                </c:pt>
                <c:pt idx="907">
                  <c:v>56.131472681117856</c:v>
                </c:pt>
                <c:pt idx="908">
                  <c:v>56.131805494183077</c:v>
                </c:pt>
                <c:pt idx="909">
                  <c:v>56.132138305500384</c:v>
                </c:pt>
                <c:pt idx="910">
                  <c:v>56.132471115069777</c:v>
                </c:pt>
                <c:pt idx="911">
                  <c:v>56.132803922891256</c:v>
                </c:pt>
                <c:pt idx="912">
                  <c:v>56.1331367289648</c:v>
                </c:pt>
                <c:pt idx="913">
                  <c:v>56.133469533290409</c:v>
                </c:pt>
                <c:pt idx="914">
                  <c:v>56.133802335868076</c:v>
                </c:pt>
                <c:pt idx="915">
                  <c:v>56.134135136697751</c:v>
                </c:pt>
                <c:pt idx="916">
                  <c:v>56.134467935779433</c:v>
                </c:pt>
                <c:pt idx="917">
                  <c:v>56.134800733113096</c:v>
                </c:pt>
                <c:pt idx="918">
                  <c:v>56.135133528698702</c:v>
                </c:pt>
                <c:pt idx="919">
                  <c:v>56.135466322536331</c:v>
                </c:pt>
                <c:pt idx="920">
                  <c:v>56.135799114625925</c:v>
                </c:pt>
                <c:pt idx="921">
                  <c:v>56.136131904967399</c:v>
                </c:pt>
                <c:pt idx="922">
                  <c:v>56.136464693560775</c:v>
                </c:pt>
                <c:pt idx="923">
                  <c:v>56.136797480406067</c:v>
                </c:pt>
                <c:pt idx="924">
                  <c:v>56.137130265503274</c:v>
                </c:pt>
                <c:pt idx="925">
                  <c:v>56.137463048852318</c:v>
                </c:pt>
                <c:pt idx="926">
                  <c:v>56.137795830453278</c:v>
                </c:pt>
                <c:pt idx="927">
                  <c:v>56.138128610306019</c:v>
                </c:pt>
                <c:pt idx="928">
                  <c:v>56.138461388410619</c:v>
                </c:pt>
                <c:pt idx="929">
                  <c:v>56.138794164767056</c:v>
                </c:pt>
                <c:pt idx="930">
                  <c:v>56.139126939375231</c:v>
                </c:pt>
                <c:pt idx="931">
                  <c:v>56.139459712235244</c:v>
                </c:pt>
                <c:pt idx="932">
                  <c:v>56.13979248334703</c:v>
                </c:pt>
                <c:pt idx="933">
                  <c:v>56.140125252710526</c:v>
                </c:pt>
                <c:pt idx="934">
                  <c:v>56.140458020325816</c:v>
                </c:pt>
                <c:pt idx="935">
                  <c:v>56.140790786192781</c:v>
                </c:pt>
                <c:pt idx="936">
                  <c:v>56.141123550311477</c:v>
                </c:pt>
                <c:pt idx="937">
                  <c:v>56.14145631268191</c:v>
                </c:pt>
                <c:pt idx="938">
                  <c:v>56.141789073303983</c:v>
                </c:pt>
                <c:pt idx="939">
                  <c:v>56.142121832177722</c:v>
                </c:pt>
                <c:pt idx="940">
                  <c:v>56.142454589303107</c:v>
                </c:pt>
                <c:pt idx="941">
                  <c:v>56.14278734468013</c:v>
                </c:pt>
                <c:pt idx="942">
                  <c:v>56.14312009830882</c:v>
                </c:pt>
                <c:pt idx="943">
                  <c:v>56.14345285018905</c:v>
                </c:pt>
                <c:pt idx="944">
                  <c:v>56.143785600320918</c:v>
                </c:pt>
                <c:pt idx="945">
                  <c:v>56.144118348704332</c:v>
                </c:pt>
                <c:pt idx="946">
                  <c:v>56.144451095339328</c:v>
                </c:pt>
                <c:pt idx="947">
                  <c:v>56.144783840225877</c:v>
                </c:pt>
                <c:pt idx="948">
                  <c:v>56.145116583363944</c:v>
                </c:pt>
                <c:pt idx="949">
                  <c:v>56.145449324753493</c:v>
                </c:pt>
                <c:pt idx="950">
                  <c:v>56.145782064394581</c:v>
                </c:pt>
                <c:pt idx="951">
                  <c:v>56.146114802287158</c:v>
                </c:pt>
                <c:pt idx="952">
                  <c:v>56.146447538431218</c:v>
                </c:pt>
                <c:pt idx="953">
                  <c:v>56.146780272826717</c:v>
                </c:pt>
                <c:pt idx="954">
                  <c:v>56.147113005473685</c:v>
                </c:pt>
                <c:pt idx="955">
                  <c:v>56.147445736372049</c:v>
                </c:pt>
                <c:pt idx="956">
                  <c:v>56.147778465521846</c:v>
                </c:pt>
                <c:pt idx="957">
                  <c:v>56.148111192923018</c:v>
                </c:pt>
                <c:pt idx="958">
                  <c:v>56.14844391857563</c:v>
                </c:pt>
                <c:pt idx="959">
                  <c:v>56.148776642479532</c:v>
                </c:pt>
                <c:pt idx="960">
                  <c:v>56.149109364634867</c:v>
                </c:pt>
                <c:pt idx="961">
                  <c:v>56.149442085041493</c:v>
                </c:pt>
                <c:pt idx="962">
                  <c:v>56.149774803699465</c:v>
                </c:pt>
                <c:pt idx="963">
                  <c:v>56.150107520608735</c:v>
                </c:pt>
                <c:pt idx="964">
                  <c:v>56.15044023576931</c:v>
                </c:pt>
                <c:pt idx="965">
                  <c:v>56.150772949181174</c:v>
                </c:pt>
                <c:pt idx="966">
                  <c:v>56.151105660844273</c:v>
                </c:pt>
                <c:pt idx="967">
                  <c:v>56.151438370758612</c:v>
                </c:pt>
                <c:pt idx="968">
                  <c:v>56.15177107892422</c:v>
                </c:pt>
                <c:pt idx="969">
                  <c:v>56.152103785341055</c:v>
                </c:pt>
                <c:pt idx="970">
                  <c:v>56.152436490009109</c:v>
                </c:pt>
                <c:pt idx="971">
                  <c:v>56.152769192928311</c:v>
                </c:pt>
                <c:pt idx="972">
                  <c:v>56.153101894098668</c:v>
                </c:pt>
                <c:pt idx="973">
                  <c:v>56.15343459352021</c:v>
                </c:pt>
                <c:pt idx="974">
                  <c:v>56.153767291192935</c:v>
                </c:pt>
                <c:pt idx="975">
                  <c:v>56.154099987116787</c:v>
                </c:pt>
                <c:pt idx="976">
                  <c:v>56.154432681291716</c:v>
                </c:pt>
                <c:pt idx="977">
                  <c:v>56.154765373717773</c:v>
                </c:pt>
                <c:pt idx="978">
                  <c:v>56.155098064394927</c:v>
                </c:pt>
                <c:pt idx="979">
                  <c:v>56.155430753323138</c:v>
                </c:pt>
                <c:pt idx="980">
                  <c:v>56.155763440502412</c:v>
                </c:pt>
                <c:pt idx="981">
                  <c:v>56.156096125932685</c:v>
                </c:pt>
                <c:pt idx="982">
                  <c:v>56.15642880961402</c:v>
                </c:pt>
                <c:pt idx="983">
                  <c:v>56.156761491546433</c:v>
                </c:pt>
                <c:pt idx="984">
                  <c:v>56.15709417172976</c:v>
                </c:pt>
                <c:pt idx="985">
                  <c:v>56.157426850164121</c:v>
                </c:pt>
                <c:pt idx="986">
                  <c:v>56.157759526849389</c:v>
                </c:pt>
                <c:pt idx="987">
                  <c:v>56.158092201785678</c:v>
                </c:pt>
                <c:pt idx="988">
                  <c:v>56.158424874972873</c:v>
                </c:pt>
                <c:pt idx="989">
                  <c:v>56.158757546410989</c:v>
                </c:pt>
                <c:pt idx="990">
                  <c:v>56.159090216100054</c:v>
                </c:pt>
                <c:pt idx="991">
                  <c:v>56.159422884039962</c:v>
                </c:pt>
                <c:pt idx="992">
                  <c:v>56.159755550230784</c:v>
                </c:pt>
                <c:pt idx="993">
                  <c:v>56.160088214672427</c:v>
                </c:pt>
                <c:pt idx="994">
                  <c:v>56.160420877364992</c:v>
                </c:pt>
                <c:pt idx="995">
                  <c:v>56.160753538308334</c:v>
                </c:pt>
                <c:pt idx="996">
                  <c:v>56.161086197502499</c:v>
                </c:pt>
                <c:pt idx="997">
                  <c:v>56.161418854947513</c:v>
                </c:pt>
                <c:pt idx="998">
                  <c:v>56.161751510643278</c:v>
                </c:pt>
                <c:pt idx="999">
                  <c:v>56.162084164589857</c:v>
                </c:pt>
                <c:pt idx="1000">
                  <c:v>56.16241681678715</c:v>
                </c:pt>
              </c:numCache>
            </c:numRef>
          </c:yVal>
          <c:smooth val="0"/>
          <c:extLst>
            <c:ext xmlns:c16="http://schemas.microsoft.com/office/drawing/2014/chart" uri="{C3380CC4-5D6E-409C-BE32-E72D297353CC}">
              <c16:uniqueId val="{00000002-1935-44BE-AC4A-45F8EA7F0D69}"/>
            </c:ext>
          </c:extLst>
        </c:ser>
        <c:dLbls>
          <c:showLegendKey val="0"/>
          <c:showVal val="0"/>
          <c:showCatName val="0"/>
          <c:showSerName val="0"/>
          <c:showPercent val="0"/>
          <c:showBubbleSize val="0"/>
        </c:dLbls>
        <c:axId val="149500672"/>
        <c:axId val="149502592"/>
      </c:scatterChart>
      <c:valAx>
        <c:axId val="149500672"/>
        <c:scaling>
          <c:orientation val="minMax"/>
        </c:scaling>
        <c:delete val="0"/>
        <c:axPos val="b"/>
        <c:majorGridlines>
          <c:spPr>
            <a:ln w="3175">
              <a:solidFill>
                <a:srgbClr val="000000"/>
              </a:solidFill>
              <a:prstDash val="sysDash"/>
            </a:ln>
          </c:spPr>
        </c:majorGridlines>
        <c:title>
          <c:tx>
            <c:strRef>
              <c:f>Courbes!$B$146</c:f>
              <c:strCache>
                <c:ptCount val="1"/>
                <c:pt idx="0">
                  <c:v>Temps [s]</c:v>
                </c:pt>
              </c:strCache>
            </c:strRef>
          </c:tx>
          <c:overlay val="0"/>
          <c:txPr>
            <a:bodyPr/>
            <a:lstStyle/>
            <a:p>
              <a:pPr>
                <a:defRPr sz="1000" b="1" i="0" u="none" strike="noStrike" baseline="0">
                  <a:solidFill>
                    <a:srgbClr val="000000"/>
                  </a:solidFill>
                  <a:latin typeface="Arial"/>
                  <a:ea typeface="Arial"/>
                  <a:cs typeface="Arial"/>
                </a:defRPr>
              </a:pPr>
              <a:endParaRPr lang="fr-FR"/>
            </a:p>
          </c:tx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149502592"/>
        <c:crosses val="autoZero"/>
        <c:crossBetween val="midCat"/>
      </c:valAx>
      <c:valAx>
        <c:axId val="149502592"/>
        <c:scaling>
          <c:orientation val="minMax"/>
        </c:scaling>
        <c:delete val="0"/>
        <c:axPos val="l"/>
        <c:majorGridlines>
          <c:spPr>
            <a:ln w="3175">
              <a:solidFill>
                <a:srgbClr val="000000"/>
              </a:solidFill>
              <a:prstDash val="sysDash"/>
            </a:ln>
          </c:spPr>
        </c:majorGridlines>
        <c:title>
          <c:tx>
            <c:rich>
              <a:bodyPr/>
              <a:lstStyle/>
              <a:p>
                <a:pPr>
                  <a:defRPr sz="1200" b="1" i="0" u="none" strike="noStrike" baseline="0">
                    <a:solidFill>
                      <a:srgbClr val="000000"/>
                    </a:solidFill>
                    <a:latin typeface="Arial"/>
                    <a:ea typeface="Arial"/>
                    <a:cs typeface="Arial"/>
                  </a:defRPr>
                </a:pPr>
                <a:r>
                  <a:rPr lang="fr-FR"/>
                  <a:t>Forces [N]</a:t>
                </a:r>
              </a:p>
            </c:rich>
          </c:tx>
          <c:layout>
            <c:manualLayout>
              <c:xMode val="edge"/>
              <c:yMode val="edge"/>
              <c:x val="2.0047169811320761E-2"/>
              <c:y val="0.33333438320209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149500672"/>
        <c:crosses val="autoZero"/>
        <c:crossBetween val="midCat"/>
      </c:valAx>
      <c:spPr>
        <a:noFill/>
        <a:ln w="12700">
          <a:solidFill>
            <a:srgbClr val="808080"/>
          </a:solidFill>
          <a:prstDash val="solid"/>
        </a:ln>
      </c:spPr>
    </c:plotArea>
    <c:legend>
      <c:legendPos val="r"/>
      <c:layout>
        <c:manualLayout>
          <c:xMode val="edge"/>
          <c:yMode val="edge"/>
          <c:x val="0.83018929827167842"/>
          <c:y val="0.34444479440069992"/>
          <c:w val="0.13050326845936713"/>
          <c:h val="0.22888888888888886"/>
        </c:manualLayout>
      </c:layout>
      <c:overlay val="0"/>
      <c:spPr>
        <a:solidFill>
          <a:srgbClr val="FFFFFF"/>
        </a:solidFill>
        <a:ln w="3175">
          <a:solidFill>
            <a:srgbClr val="000000"/>
          </a:solidFill>
          <a:prstDash val="solid"/>
        </a:ln>
      </c:spPr>
      <c:txPr>
        <a:bodyPr/>
        <a:lstStyle/>
        <a:p>
          <a:pPr>
            <a:defRPr sz="970" b="0" i="0" u="none" strike="noStrike" baseline="0">
              <a:solidFill>
                <a:srgbClr val="000000"/>
              </a:solidFill>
              <a:latin typeface="Arial"/>
              <a:ea typeface="Arial"/>
              <a:cs typeface="Arial"/>
            </a:defRPr>
          </a:pPr>
          <a:endParaRPr lang="fr-FR"/>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1180555555555562" footer="0.5118055555555556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Courbes!$B$140</c:f>
          <c:strCache>
            <c:ptCount val="1"/>
            <c:pt idx="0">
              <c:v>Vitesse</c:v>
            </c:pt>
          </c:strCache>
        </c:strRef>
      </c:tx>
      <c:overlay val="1"/>
      <c:txPr>
        <a:bodyPr/>
        <a:lstStyle/>
        <a:p>
          <a:pPr>
            <a:defRPr sz="1200" b="1" i="0" u="none" strike="noStrike" baseline="0">
              <a:solidFill>
                <a:srgbClr val="000000"/>
              </a:solidFill>
              <a:latin typeface="Arial"/>
              <a:ea typeface="Arial"/>
              <a:cs typeface="Arial"/>
            </a:defRPr>
          </a:pPr>
          <a:endParaRPr lang="fr-FR"/>
        </a:p>
      </c:txPr>
    </c:title>
    <c:autoTitleDeleted val="0"/>
    <c:plotArea>
      <c:layout>
        <c:manualLayout>
          <c:layoutTarget val="inner"/>
          <c:xMode val="edge"/>
          <c:yMode val="edge"/>
          <c:x val="0.10495283018867926"/>
          <c:y val="9.4771544282144501E-2"/>
          <c:w val="0.87617924528302116"/>
          <c:h val="0.74183243282920064"/>
        </c:manualLayout>
      </c:layout>
      <c:scatterChart>
        <c:scatterStyle val="lineMarker"/>
        <c:varyColors val="0"/>
        <c:ser>
          <c:idx val="0"/>
          <c:order val="0"/>
          <c:tx>
            <c:strRef>
              <c:f>Courbes!$B$140</c:f>
              <c:strCache>
                <c:ptCount val="1"/>
                <c:pt idx="0">
                  <c:v>Vitesse</c:v>
                </c:pt>
              </c:strCache>
            </c:strRef>
          </c:tx>
          <c:spPr>
            <a:ln w="25400">
              <a:solidFill>
                <a:srgbClr val="80000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Calculs!$I$4:$I$1004</c:f>
              <c:numCache>
                <c:formatCode>0.00</c:formatCode>
                <c:ptCount val="1001"/>
                <c:pt idx="0">
                  <c:v>0</c:v>
                </c:pt>
                <c:pt idx="1">
                  <c:v>0</c:v>
                </c:pt>
                <c:pt idx="2">
                  <c:v>0.18799048477538166</c:v>
                </c:pt>
                <c:pt idx="3">
                  <c:v>0.56582720429602962</c:v>
                </c:pt>
                <c:pt idx="4">
                  <c:v>1.1336630206157727</c:v>
                </c:pt>
                <c:pt idx="5">
                  <c:v>1.8917037869115629</c:v>
                </c:pt>
                <c:pt idx="6">
                  <c:v>2.7440274871966186</c:v>
                </c:pt>
                <c:pt idx="7">
                  <c:v>3.594541466861664</c:v>
                </c:pt>
                <c:pt idx="8">
                  <c:v>4.4432379489044411</c:v>
                </c:pt>
                <c:pt idx="9">
                  <c:v>5.2901091837517082</c:v>
                </c:pt>
                <c:pt idx="10">
                  <c:v>6.1351474495016429</c:v>
                </c:pt>
                <c:pt idx="11">
                  <c:v>6.9783450521643742</c:v>
                </c:pt>
                <c:pt idx="12">
                  <c:v>7.8196943259005947</c:v>
                </c:pt>
                <c:pt idx="13">
                  <c:v>8.6591876332582398</c:v>
                </c:pt>
                <c:pt idx="14">
                  <c:v>9.4968173654072174</c:v>
                </c:pt>
                <c:pt idx="15">
                  <c:v>10.332575942372168</c:v>
                </c:pt>
                <c:pt idx="16">
                  <c:v>11.166455813263244</c:v>
                </c:pt>
                <c:pt idx="17">
                  <c:v>11.998449456504876</c:v>
                </c:pt>
                <c:pt idx="18">
                  <c:v>12.82854938006253</c:v>
                </c:pt>
                <c:pt idx="19">
                  <c:v>13.656748121667436</c:v>
                </c:pt>
                <c:pt idx="20">
                  <c:v>14.48303824903925</c:v>
                </c:pt>
                <c:pt idx="21">
                  <c:v>15.307412360106664</c:v>
                </c:pt>
                <c:pt idx="22">
                  <c:v>16.129863083225924</c:v>
                </c:pt>
                <c:pt idx="23">
                  <c:v>16.950383077397273</c:v>
                </c:pt>
                <c:pt idx="24">
                  <c:v>17.768965032479258</c:v>
                </c:pt>
                <c:pt idx="25">
                  <c:v>18.585601669400926</c:v>
                </c:pt>
                <c:pt idx="26">
                  <c:v>19.400285740371871</c:v>
                </c:pt>
                <c:pt idx="27">
                  <c:v>20.213010029090146</c:v>
                </c:pt>
                <c:pt idx="28">
                  <c:v>21.023767350947995</c:v>
                </c:pt>
                <c:pt idx="29">
                  <c:v>21.8325505532354</c:v>
                </c:pt>
                <c:pt idx="30">
                  <c:v>22.639352515341439</c:v>
                </c:pt>
                <c:pt idx="31">
                  <c:v>23.444166148953446</c:v>
                </c:pt>
                <c:pt idx="32">
                  <c:v>24.246984398253947</c:v>
                </c:pt>
                <c:pt idx="33">
                  <c:v>25.047800240115347</c:v>
                </c:pt>
                <c:pt idx="34">
                  <c:v>25.8466066842924</c:v>
                </c:pt>
                <c:pt idx="35">
                  <c:v>26.643402060473019</c:v>
                </c:pt>
                <c:pt idx="36">
                  <c:v>27.438184947741853</c:v>
                </c:pt>
                <c:pt idx="37">
                  <c:v>28.230948220089399</c:v>
                </c:pt>
                <c:pt idx="38">
                  <c:v>29.021684797156091</c:v>
                </c:pt>
                <c:pt idx="39">
                  <c:v>29.810387643432701</c:v>
                </c:pt>
                <c:pt idx="40">
                  <c:v>30.597049767595479</c:v>
                </c:pt>
                <c:pt idx="41">
                  <c:v>31.381664221923902</c:v>
                </c:pt>
                <c:pt idx="42">
                  <c:v>32.164224101790381</c:v>
                </c:pt>
                <c:pt idx="43">
                  <c:v>32.944722545213068</c:v>
                </c:pt>
                <c:pt idx="44">
                  <c:v>33.723152732463937</c:v>
                </c:pt>
                <c:pt idx="45">
                  <c:v>34.49950788572567</c:v>
                </c:pt>
                <c:pt idx="46">
                  <c:v>35.273781268791438</c:v>
                </c:pt>
                <c:pt idx="47">
                  <c:v>36.045966186802723</c:v>
                </c:pt>
                <c:pt idx="48">
                  <c:v>36.816055986020778</c:v>
                </c:pt>
                <c:pt idx="49">
                  <c:v>37.584044053627977</c:v>
                </c:pt>
                <c:pt idx="50">
                  <c:v>38.349923817555748</c:v>
                </c:pt>
                <c:pt idx="51">
                  <c:v>39.114194516771384</c:v>
                </c:pt>
                <c:pt idx="52">
                  <c:v>39.877356165696646</c:v>
                </c:pt>
                <c:pt idx="53">
                  <c:v>40.639403331735537</c:v>
                </c:pt>
                <c:pt idx="54">
                  <c:v>41.400330601916764</c:v>
                </c:pt>
                <c:pt idx="55">
                  <c:v>42.160132582833292</c:v>
                </c:pt>
                <c:pt idx="56">
                  <c:v>42.918803900595229</c:v>
                </c:pt>
                <c:pt idx="57">
                  <c:v>43.676339200794985</c:v>
                </c:pt>
                <c:pt idx="58">
                  <c:v>44.432733148483393</c:v>
                </c:pt>
                <c:pt idx="59">
                  <c:v>45.187980428155903</c:v>
                </c:pt>
                <c:pt idx="60">
                  <c:v>45.942075743747914</c:v>
                </c:pt>
                <c:pt idx="61">
                  <c:v>46.69501381863838</c:v>
                </c:pt>
                <c:pt idx="62">
                  <c:v>47.446789395661014</c:v>
                </c:pt>
                <c:pt idx="63">
                  <c:v>48.197397237122352</c:v>
                </c:pt>
                <c:pt idx="64">
                  <c:v>48.946832124826102</c:v>
                </c:pt>
                <c:pt idx="65">
                  <c:v>49.695088860103233</c:v>
                </c:pt>
                <c:pt idx="66">
                  <c:v>50.442162263847251</c:v>
                </c:pt>
                <c:pt idx="67">
                  <c:v>51.18804717655425</c:v>
                </c:pt>
                <c:pt idx="68">
                  <c:v>51.932738458367268</c:v>
                </c:pt>
                <c:pt idx="69">
                  <c:v>52.67623098912464</c:v>
                </c:pt>
                <c:pt idx="70">
                  <c:v>53.41851966841184</c:v>
                </c:pt>
                <c:pt idx="71">
                  <c:v>54.159599415616711</c:v>
                </c:pt>
                <c:pt idx="72">
                  <c:v>54.899465169987543</c:v>
                </c:pt>
                <c:pt idx="73">
                  <c:v>55.638111890693935</c:v>
                </c:pt>
                <c:pt idx="74">
                  <c:v>56.375534556890003</c:v>
                </c:pt>
                <c:pt idx="75">
                  <c:v>57.111728167779901</c:v>
                </c:pt>
                <c:pt idx="76">
                  <c:v>57.846687742685177</c:v>
                </c:pt>
                <c:pt idx="77">
                  <c:v>58.580408321114099</c:v>
                </c:pt>
                <c:pt idx="78">
                  <c:v>59.312884962832378</c:v>
                </c:pt>
                <c:pt idx="79">
                  <c:v>60.044112747935515</c:v>
                </c:pt>
                <c:pt idx="80">
                  <c:v>60.77408677692226</c:v>
                </c:pt>
                <c:pt idx="81">
                  <c:v>61.502802170769279</c:v>
                </c:pt>
                <c:pt idx="82">
                  <c:v>62.230254071006797</c:v>
                </c:pt>
                <c:pt idx="83">
                  <c:v>62.956437639795027</c:v>
                </c:pt>
                <c:pt idx="84">
                  <c:v>63.681348060001447</c:v>
                </c:pt>
                <c:pt idx="85">
                  <c:v>64.404980535278597</c:v>
                </c:pt>
                <c:pt idx="86">
                  <c:v>65.127330290142467</c:v>
                </c:pt>
                <c:pt idx="87">
                  <c:v>65.848392570051232</c:v>
                </c:pt>
                <c:pt idx="88">
                  <c:v>66.568162641484392</c:v>
                </c:pt>
                <c:pt idx="89">
                  <c:v>67.286635792022167</c:v>
                </c:pt>
                <c:pt idx="90">
                  <c:v>68.00380733042492</c:v>
                </c:pt>
                <c:pt idx="91">
                  <c:v>68.719672586712832</c:v>
                </c:pt>
                <c:pt idx="92">
                  <c:v>69.434226912245549</c:v>
                </c:pt>
                <c:pt idx="93">
                  <c:v>70.147465679801684</c:v>
                </c:pt>
                <c:pt idx="94">
                  <c:v>70.859384283658414</c:v>
                </c:pt>
                <c:pt idx="95">
                  <c:v>71.569978139670653</c:v>
                </c:pt>
                <c:pt idx="96">
                  <c:v>72.279242685350198</c:v>
                </c:pt>
                <c:pt idx="97">
                  <c:v>72.987173379944593</c:v>
                </c:pt>
                <c:pt idx="98">
                  <c:v>73.693765704515528</c:v>
                </c:pt>
                <c:pt idx="99">
                  <c:v>74.399015162016966</c:v>
                </c:pt>
                <c:pt idx="100">
                  <c:v>75.102917277372896</c:v>
                </c:pt>
                <c:pt idx="101">
                  <c:v>75.805234593000179</c:v>
                </c:pt>
                <c:pt idx="102">
                  <c:v>76.505729421048073</c:v>
                </c:pt>
                <c:pt idx="103">
                  <c:v>77.204397045006075</c:v>
                </c:pt>
                <c:pt idx="104">
                  <c:v>77.90123277963842</c:v>
                </c:pt>
                <c:pt idx="105">
                  <c:v>78.596231971045071</c:v>
                </c:pt>
                <c:pt idx="106">
                  <c:v>79.28938999672188</c:v>
                </c:pt>
                <c:pt idx="107">
                  <c:v>79.980702265619186</c:v>
                </c:pt>
                <c:pt idx="108">
                  <c:v>80.67016421819946</c:v>
                </c:pt>
                <c:pt idx="109">
                  <c:v>81.357771326493548</c:v>
                </c:pt>
                <c:pt idx="110">
                  <c:v>82.043519094155656</c:v>
                </c:pt>
                <c:pt idx="111">
                  <c:v>82.727403056517076</c:v>
                </c:pt>
                <c:pt idx="112">
                  <c:v>83.409418780638475</c:v>
                </c:pt>
                <c:pt idx="113">
                  <c:v>84.089561865360963</c:v>
                </c:pt>
                <c:pt idx="114">
                  <c:v>84.767827941355719</c:v>
                </c:pt>
                <c:pt idx="115">
                  <c:v>85.444212671172252</c:v>
                </c:pt>
                <c:pt idx="116">
                  <c:v>86.118711749285183</c:v>
                </c:pt>
                <c:pt idx="117">
                  <c:v>86.791320902139788</c:v>
                </c:pt>
                <c:pt idx="118">
                  <c:v>87.462035888195857</c:v>
                </c:pt>
                <c:pt idx="119">
                  <c:v>88.130852497970352</c:v>
                </c:pt>
                <c:pt idx="120">
                  <c:v>88.797766554078422</c:v>
                </c:pt>
                <c:pt idx="121">
                  <c:v>89.462773911273004</c:v>
                </c:pt>
                <c:pt idx="122">
                  <c:v>90.125870456482986</c:v>
                </c:pt>
                <c:pt idx="123">
                  <c:v>90.787052108849807</c:v>
                </c:pt>
                <c:pt idx="124">
                  <c:v>91.446314819762563</c:v>
                </c:pt>
                <c:pt idx="125">
                  <c:v>92.103654572891628</c:v>
                </c:pt>
                <c:pt idx="126">
                  <c:v>92.759067384220756</c:v>
                </c:pt>
                <c:pt idx="127">
                  <c:v>93.412549302077593</c:v>
                </c:pt>
                <c:pt idx="128">
                  <c:v>94.064096407162722</c:v>
                </c:pt>
                <c:pt idx="129">
                  <c:v>94.71370481257712</c:v>
                </c:pt>
                <c:pt idx="130">
                  <c:v>95.36137066384812</c:v>
                </c:pt>
                <c:pt idx="131">
                  <c:v>96.007090138953771</c:v>
                </c:pt>
                <c:pt idx="132">
                  <c:v>96.650859448345585</c:v>
                </c:pt>
                <c:pt idx="133">
                  <c:v>97.292674834969873</c:v>
                </c:pt>
                <c:pt idx="134">
                  <c:v>97.932532574287464</c:v>
                </c:pt>
                <c:pt idx="135">
                  <c:v>98.570428974291715</c:v>
                </c:pt>
                <c:pt idx="136">
                  <c:v>99.206360375525108</c:v>
                </c:pt>
                <c:pt idx="137">
                  <c:v>99.840323151094296</c:v>
                </c:pt>
                <c:pt idx="138">
                  <c:v>100.47231370668342</c:v>
                </c:pt>
                <c:pt idx="139">
                  <c:v>101.10232848056597</c:v>
                </c:pt>
                <c:pt idx="140">
                  <c:v>101.73036394361505</c:v>
                </c:pt>
                <c:pt idx="141">
                  <c:v>102.35641659931204</c:v>
                </c:pt>
                <c:pt idx="142">
                  <c:v>102.98048298375372</c:v>
                </c:pt>
                <c:pt idx="143">
                  <c:v>103.60255966565775</c:v>
                </c:pt>
                <c:pt idx="144">
                  <c:v>104.2226432463667</c:v>
                </c:pt>
                <c:pt idx="145">
                  <c:v>104.84073035985034</c:v>
                </c:pt>
                <c:pt idx="146">
                  <c:v>105.45681767270652</c:v>
                </c:pt>
                <c:pt idx="147">
                  <c:v>106.07090188416034</c:v>
                </c:pt>
                <c:pt idx="148">
                  <c:v>106.68297972606182</c:v>
                </c:pt>
                <c:pt idx="149">
                  <c:v>107.29304796288208</c:v>
                </c:pt>
                <c:pt idx="150">
                  <c:v>107.90110339170779</c:v>
                </c:pt>
                <c:pt idx="151">
                  <c:v>108.5072220438674</c:v>
                </c:pt>
                <c:pt idx="152">
                  <c:v>109.11148003672801</c:v>
                </c:pt>
                <c:pt idx="153">
                  <c:v>109.71387431112795</c:v>
                </c:pt>
                <c:pt idx="154">
                  <c:v>110.31440183757276</c:v>
                </c:pt>
                <c:pt idx="155">
                  <c:v>110.91305961623272</c:v>
                </c:pt>
                <c:pt idx="156">
                  <c:v>111.50984467693918</c:v>
                </c:pt>
                <c:pt idx="157">
                  <c:v>112.10475407917947</c:v>
                </c:pt>
                <c:pt idx="158">
                  <c:v>112.69778491209036</c:v>
                </c:pt>
                <c:pt idx="159">
                  <c:v>113.28893429445029</c:v>
                </c:pt>
                <c:pt idx="160">
                  <c:v>113.8781993746701</c:v>
                </c:pt>
                <c:pt idx="161">
                  <c:v>114.46557733078247</c:v>
                </c:pt>
                <c:pt idx="162">
                  <c:v>115.05106537042997</c:v>
                </c:pt>
                <c:pt idx="163">
                  <c:v>115.63466073085179</c:v>
                </c:pt>
                <c:pt idx="164">
                  <c:v>116.21636067886914</c:v>
                </c:pt>
                <c:pt idx="165">
                  <c:v>116.79616251086915</c:v>
                </c:pt>
                <c:pt idx="166">
                  <c:v>117.3740635527877</c:v>
                </c:pt>
                <c:pt idx="167">
                  <c:v>117.9500611600906</c:v>
                </c:pt>
                <c:pt idx="168">
                  <c:v>118.52415271775372</c:v>
                </c:pt>
                <c:pt idx="169">
                  <c:v>119.09633564024166</c:v>
                </c:pt>
                <c:pt idx="170">
                  <c:v>119.66660737148499</c:v>
                </c:pt>
                <c:pt idx="171">
                  <c:v>120.23496538485644</c:v>
                </c:pt>
                <c:pt idx="172">
                  <c:v>120.80140718314557</c:v>
                </c:pt>
                <c:pt idx="173">
                  <c:v>121.36593029853221</c:v>
                </c:pt>
                <c:pt idx="174">
                  <c:v>121.92853229255857</c:v>
                </c:pt>
                <c:pt idx="175">
                  <c:v>122.48921075610014</c:v>
                </c:pt>
                <c:pt idx="176">
                  <c:v>123.04796330933515</c:v>
                </c:pt>
                <c:pt idx="177">
                  <c:v>123.60478760171291</c:v>
                </c:pt>
                <c:pt idx="178">
                  <c:v>124.15968131192083</c:v>
                </c:pt>
                <c:pt idx="179">
                  <c:v>124.71264214785009</c:v>
                </c:pt>
                <c:pt idx="180">
                  <c:v>125.26366784656011</c:v>
                </c:pt>
                <c:pt idx="181">
                  <c:v>125.81275617424185</c:v>
                </c:pt>
                <c:pt idx="182">
                  <c:v>126.35990492617967</c:v>
                </c:pt>
                <c:pt idx="183">
                  <c:v>126.90511192671212</c:v>
                </c:pt>
                <c:pt idx="184">
                  <c:v>127.44837502919145</c:v>
                </c:pt>
                <c:pt idx="185">
                  <c:v>127.98969211594185</c:v>
                </c:pt>
                <c:pt idx="186">
                  <c:v>128.52906109821652</c:v>
                </c:pt>
                <c:pt idx="187">
                  <c:v>129.06647991615338</c:v>
                </c:pt>
                <c:pt idx="188">
                  <c:v>129.60194653873</c:v>
                </c:pt>
                <c:pt idx="189">
                  <c:v>130.13545896371673</c:v>
                </c:pt>
                <c:pt idx="190">
                  <c:v>130.66701521762911</c:v>
                </c:pt>
                <c:pt idx="191">
                  <c:v>131.19661335567895</c:v>
                </c:pt>
                <c:pt idx="192">
                  <c:v>131.72425146172407</c:v>
                </c:pt>
                <c:pt idx="193">
                  <c:v>132.24992764821727</c:v>
                </c:pt>
                <c:pt idx="194">
                  <c:v>132.77364005615368</c:v>
                </c:pt>
                <c:pt idx="195">
                  <c:v>133.29538685501731</c:v>
                </c:pt>
                <c:pt idx="196">
                  <c:v>133.81516624272632</c:v>
                </c:pt>
                <c:pt idx="197">
                  <c:v>134.33297644557706</c:v>
                </c:pt>
                <c:pt idx="198">
                  <c:v>134.84881571818732</c:v>
                </c:pt>
                <c:pt idx="199">
                  <c:v>135.36268234343797</c:v>
                </c:pt>
                <c:pt idx="200">
                  <c:v>135.87457463241398</c:v>
                </c:pt>
                <c:pt idx="201">
                  <c:v>136.38449092434399</c:v>
                </c:pt>
                <c:pt idx="202">
                  <c:v>136.89242958653901</c:v>
                </c:pt>
                <c:pt idx="203">
                  <c:v>137.39838901432981</c:v>
                </c:pt>
                <c:pt idx="204">
                  <c:v>137.90236763100359</c:v>
                </c:pt>
                <c:pt idx="205">
                  <c:v>138.40436388773921</c:v>
                </c:pt>
                <c:pt idx="206">
                  <c:v>138.90437626354151</c:v>
                </c:pt>
                <c:pt idx="207">
                  <c:v>139.40240326517477</c:v>
                </c:pt>
                <c:pt idx="208">
                  <c:v>139.89844342709483</c:v>
                </c:pt>
                <c:pt idx="209">
                  <c:v>140.39249531138034</c:v>
                </c:pt>
                <c:pt idx="210">
                  <c:v>140.88455750766295</c:v>
                </c:pt>
                <c:pt idx="211">
                  <c:v>141.37462863305655</c:v>
                </c:pt>
                <c:pt idx="212">
                  <c:v>141.86270733208548</c:v>
                </c:pt>
                <c:pt idx="213">
                  <c:v>142.34879227661159</c:v>
                </c:pt>
                <c:pt idx="214">
                  <c:v>142.83288216576076</c:v>
                </c:pt>
                <c:pt idx="215">
                  <c:v>143.3149757258478</c:v>
                </c:pt>
                <c:pt idx="216">
                  <c:v>143.79507171030096</c:v>
                </c:pt>
                <c:pt idx="217">
                  <c:v>144.27316889958522</c:v>
                </c:pt>
                <c:pt idx="218">
                  <c:v>144.74926610112459</c:v>
                </c:pt>
                <c:pt idx="219">
                  <c:v>145.22336214922373</c:v>
                </c:pt>
                <c:pt idx="220">
                  <c:v>145.69545590498828</c:v>
                </c:pt>
                <c:pt idx="221">
                  <c:v>146.16554625624462</c:v>
                </c:pt>
                <c:pt idx="222">
                  <c:v>146.63363211745852</c:v>
                </c:pt>
                <c:pt idx="223">
                  <c:v>147.09971242965293</c:v>
                </c:pt>
                <c:pt idx="224">
                  <c:v>147.56378616032487</c:v>
                </c:pt>
                <c:pt idx="225">
                  <c:v>148.02585230336163</c:v>
                </c:pt>
                <c:pt idx="226">
                  <c:v>148.48590987895574</c:v>
                </c:pt>
                <c:pt idx="227">
                  <c:v>148.94395793351941</c:v>
                </c:pt>
                <c:pt idx="228">
                  <c:v>149.39999553959805</c:v>
                </c:pt>
                <c:pt idx="229">
                  <c:v>149.85402179578264</c:v>
                </c:pt>
                <c:pt idx="230">
                  <c:v>150.30603582662187</c:v>
                </c:pt>
                <c:pt idx="231">
                  <c:v>150.7560367825329</c:v>
                </c:pt>
                <c:pt idx="232">
                  <c:v>151.20402383971162</c:v>
                </c:pt>
                <c:pt idx="233">
                  <c:v>151.64999620004201</c:v>
                </c:pt>
                <c:pt idx="234">
                  <c:v>152.09395309100469</c:v>
                </c:pt>
                <c:pt idx="235">
                  <c:v>152.53589376558475</c:v>
                </c:pt>
                <c:pt idx="236">
                  <c:v>152.97581750217887</c:v>
                </c:pt>
                <c:pt idx="237">
                  <c:v>153.41372360450148</c:v>
                </c:pt>
                <c:pt idx="238">
                  <c:v>153.84961140149025</c:v>
                </c:pt>
                <c:pt idx="239">
                  <c:v>154.28348024721109</c:v>
                </c:pt>
                <c:pt idx="240">
                  <c:v>154.715329520762</c:v>
                </c:pt>
                <c:pt idx="241">
                  <c:v>155.14515862617654</c:v>
                </c:pt>
                <c:pt idx="242">
                  <c:v>155.57296699232634</c:v>
                </c:pt>
                <c:pt idx="243">
                  <c:v>155.9987540728232</c:v>
                </c:pt>
                <c:pt idx="244">
                  <c:v>156.42251934592016</c:v>
                </c:pt>
                <c:pt idx="245">
                  <c:v>156.84426231441213</c:v>
                </c:pt>
                <c:pt idx="246">
                  <c:v>157.26398250553581</c:v>
                </c:pt>
                <c:pt idx="247">
                  <c:v>157.68167947086889</c:v>
                </c:pt>
                <c:pt idx="248">
                  <c:v>158.09735278622861</c:v>
                </c:pt>
                <c:pt idx="249">
                  <c:v>158.51100205156973</c:v>
                </c:pt>
                <c:pt idx="250">
                  <c:v>158.9226268908819</c:v>
                </c:pt>
                <c:pt idx="251">
                  <c:v>159.33188611013514</c:v>
                </c:pt>
                <c:pt idx="252">
                  <c:v>159.73843855262956</c:v>
                </c:pt>
                <c:pt idx="253">
                  <c:v>160.14228415164908</c:v>
                </c:pt>
                <c:pt idx="254">
                  <c:v>160.54342287428142</c:v>
                </c:pt>
                <c:pt idx="255">
                  <c:v>160.94185472122953</c:v>
                </c:pt>
                <c:pt idx="256">
                  <c:v>161.33757972662153</c:v>
                </c:pt>
                <c:pt idx="257">
                  <c:v>161.73059795782058</c:v>
                </c:pt>
                <c:pt idx="258">
                  <c:v>162.12090951523328</c:v>
                </c:pt>
                <c:pt idx="259">
                  <c:v>162.50851453211774</c:v>
                </c:pt>
                <c:pt idx="260">
                  <c:v>162.89341317439073</c:v>
                </c:pt>
                <c:pt idx="261">
                  <c:v>163.27560564043412</c:v>
                </c:pt>
                <c:pt idx="262">
                  <c:v>163.65509216090078</c:v>
                </c:pt>
                <c:pt idx="263">
                  <c:v>164.0318729985193</c:v>
                </c:pt>
                <c:pt idx="264">
                  <c:v>164.40594844789877</c:v>
                </c:pt>
                <c:pt idx="265">
                  <c:v>164.77731883533204</c:v>
                </c:pt>
                <c:pt idx="266">
                  <c:v>165.14598451859925</c:v>
                </c:pt>
                <c:pt idx="267">
                  <c:v>165.51194588676995</c:v>
                </c:pt>
                <c:pt idx="268">
                  <c:v>165.87520336000506</c:v>
                </c:pt>
                <c:pt idx="269">
                  <c:v>166.23575738935821</c:v>
                </c:pt>
                <c:pt idx="270">
                  <c:v>166.59360845657633</c:v>
                </c:pt>
                <c:pt idx="271">
                  <c:v>166.94875707389988</c:v>
                </c:pt>
                <c:pt idx="272">
                  <c:v>167.30120378386249</c:v>
                </c:pt>
                <c:pt idx="273">
                  <c:v>167.65094915908995</c:v>
                </c:pt>
                <c:pt idx="274">
                  <c:v>167.99799380209899</c:v>
                </c:pt>
                <c:pt idx="275">
                  <c:v>168.34233834509536</c:v>
                </c:pt>
                <c:pt idx="276">
                  <c:v>168.68398344977149</c:v>
                </c:pt>
                <c:pt idx="277">
                  <c:v>169.02292980710376</c:v>
                </c:pt>
                <c:pt idx="278">
                  <c:v>169.3591781371494</c:v>
                </c:pt>
                <c:pt idx="279">
                  <c:v>169.69272918884272</c:v>
                </c:pt>
                <c:pt idx="280">
                  <c:v>170.02358373979132</c:v>
                </c:pt>
                <c:pt idx="281">
                  <c:v>170.35174259607166</c:v>
                </c:pt>
                <c:pt idx="282">
                  <c:v>170.67720659202439</c:v>
                </c:pt>
                <c:pt idx="283">
                  <c:v>170.9999765900493</c:v>
                </c:pt>
                <c:pt idx="284">
                  <c:v>171.32005348040002</c:v>
                </c:pt>
                <c:pt idx="285">
                  <c:v>171.63743818097822</c:v>
                </c:pt>
                <c:pt idx="286">
                  <c:v>171.95213163712785</c:v>
                </c:pt>
                <c:pt idx="287">
                  <c:v>172.2641348214288</c:v>
                </c:pt>
                <c:pt idx="288">
                  <c:v>172.57344873349044</c:v>
                </c:pt>
                <c:pt idx="289">
                  <c:v>172.8800743997449</c:v>
                </c:pt>
                <c:pt idx="290">
                  <c:v>173.18401287324025</c:v>
                </c:pt>
                <c:pt idx="291">
                  <c:v>173.48526523343321</c:v>
                </c:pt>
                <c:pt idx="292">
                  <c:v>173.78383258598188</c:v>
                </c:pt>
                <c:pt idx="293">
                  <c:v>174.0797160625383</c:v>
                </c:pt>
                <c:pt idx="294">
                  <c:v>174.37291682054069</c:v>
                </c:pt>
                <c:pt idx="295">
                  <c:v>174.66343604300576</c:v>
                </c:pt>
                <c:pt idx="296">
                  <c:v>174.95127493832067</c:v>
                </c:pt>
                <c:pt idx="297">
                  <c:v>175.23643474003501</c:v>
                </c:pt>
                <c:pt idx="298">
                  <c:v>175.51518010711226</c:v>
                </c:pt>
                <c:pt idx="299">
                  <c:v>175.78377725052314</c:v>
                </c:pt>
                <c:pt idx="300">
                  <c:v>176.04223246029437</c:v>
                </c:pt>
                <c:pt idx="301">
                  <c:v>176.29055222776842</c:v>
                </c:pt>
                <c:pt idx="302">
                  <c:v>176.52874324290369</c:v>
                </c:pt>
                <c:pt idx="303">
                  <c:v>176.75681239157132</c:v>
                </c:pt>
                <c:pt idx="304">
                  <c:v>176.9747667528498</c:v>
                </c:pt>
                <c:pt idx="305">
                  <c:v>177.18261359631776</c:v>
                </c:pt>
                <c:pt idx="306">
                  <c:v>177.38036037934489</c:v>
                </c:pt>
                <c:pt idx="307">
                  <c:v>177.56801474438208</c:v>
                </c:pt>
                <c:pt idx="308">
                  <c:v>177.74558451625083</c:v>
                </c:pt>
                <c:pt idx="309">
                  <c:v>177.91307769943239</c:v>
                </c:pt>
                <c:pt idx="310">
                  <c:v>178.0705024753573</c:v>
                </c:pt>
                <c:pt idx="311">
                  <c:v>178.21786719969529</c:v>
                </c:pt>
                <c:pt idx="312">
                  <c:v>178.35518039964668</c:v>
                </c:pt>
                <c:pt idx="313">
                  <c:v>178.4824507712348</c:v>
                </c:pt>
                <c:pt idx="314">
                  <c:v>178.59968717660064</c:v>
                </c:pt>
                <c:pt idx="315">
                  <c:v>178.7068986412996</c:v>
                </c:pt>
                <c:pt idx="316">
                  <c:v>178.80409435160107</c:v>
                </c:pt>
                <c:pt idx="317">
                  <c:v>178.89128365179084</c:v>
                </c:pt>
                <c:pt idx="318">
                  <c:v>178.96847604147726</c:v>
                </c:pt>
                <c:pt idx="319">
                  <c:v>179.03568117290087</c:v>
                </c:pt>
                <c:pt idx="320">
                  <c:v>179.09290884824856</c:v>
                </c:pt>
                <c:pt idx="321">
                  <c:v>179.14165434730208</c:v>
                </c:pt>
                <c:pt idx="322">
                  <c:v>179.18341175291602</c:v>
                </c:pt>
                <c:pt idx="323">
                  <c:v>179.21818819444823</c:v>
                </c:pt>
                <c:pt idx="324">
                  <c:v>179.2459908685874</c:v>
                </c:pt>
                <c:pt idx="325">
                  <c:v>179.26682703804383</c:v>
                </c:pt>
                <c:pt idx="326">
                  <c:v>179.28070403024415</c:v>
                </c:pt>
                <c:pt idx="327">
                  <c:v>179.2876292360306</c:v>
                </c:pt>
                <c:pt idx="328">
                  <c:v>179.28761010836388</c:v>
                </c:pt>
                <c:pt idx="329">
                  <c:v>179.28065416103109</c:v>
                </c:pt>
                <c:pt idx="330">
                  <c:v>179.26676896735751</c:v>
                </c:pt>
                <c:pt idx="331">
                  <c:v>179.24596215892342</c:v>
                </c:pt>
                <c:pt idx="332">
                  <c:v>179.21824142428522</c:v>
                </c:pt>
                <c:pt idx="333">
                  <c:v>179.18361450770144</c:v>
                </c:pt>
                <c:pt idx="334">
                  <c:v>179.14208920786359</c:v>
                </c:pt>
                <c:pt idx="335">
                  <c:v>179.09367337663201</c:v>
                </c:pt>
                <c:pt idx="336">
                  <c:v>179.03837491777651</c:v>
                </c:pt>
                <c:pt idx="337">
                  <c:v>178.97620178572222</c:v>
                </c:pt>
                <c:pt idx="338">
                  <c:v>178.90716198430081</c:v>
                </c:pt>
                <c:pt idx="339">
                  <c:v>178.83126356550665</c:v>
                </c:pt>
                <c:pt idx="340">
                  <c:v>178.7485146282585</c:v>
                </c:pt>
                <c:pt idx="341">
                  <c:v>178.65892331716671</c:v>
                </c:pt>
                <c:pt idx="342">
                  <c:v>178.56249782130553</c:v>
                </c:pt>
                <c:pt idx="343">
                  <c:v>178.45924637299149</c:v>
                </c:pt>
                <c:pt idx="344">
                  <c:v>178.34917724656702</c:v>
                </c:pt>
                <c:pt idx="345">
                  <c:v>178.23229875718991</c:v>
                </c:pt>
                <c:pt idx="346">
                  <c:v>178.10861925962865</c:v>
                </c:pt>
                <c:pt idx="347">
                  <c:v>177.97814714706345</c:v>
                </c:pt>
                <c:pt idx="348">
                  <c:v>177.84105098981627</c:v>
                </c:pt>
                <c:pt idx="349">
                  <c:v>177.69749919270151</c:v>
                </c:pt>
                <c:pt idx="350">
                  <c:v>177.54749984001452</c:v>
                </c:pt>
                <c:pt idx="351">
                  <c:v>177.39106104513283</c:v>
                </c:pt>
                <c:pt idx="352">
                  <c:v>177.22819094946013</c:v>
                </c:pt>
                <c:pt idx="353">
                  <c:v>177.05889772137613</c:v>
                </c:pt>
                <c:pt idx="354">
                  <c:v>176.88318955519193</c:v>
                </c:pt>
                <c:pt idx="355">
                  <c:v>176.70107467011118</c:v>
                </c:pt>
                <c:pt idx="356">
                  <c:v>176.51256130919725</c:v>
                </c:pt>
                <c:pt idx="357">
                  <c:v>176.31765773834579</c:v>
                </c:pt>
                <c:pt idx="358">
                  <c:v>176.11637224526351</c:v>
                </c:pt>
                <c:pt idx="359">
                  <c:v>175.90871313845275</c:v>
                </c:pt>
                <c:pt idx="360">
                  <c:v>175.69801909725001</c:v>
                </c:pt>
                <c:pt idx="361">
                  <c:v>175.4876242139066</c:v>
                </c:pt>
                <c:pt idx="362">
                  <c:v>175.27752765112302</c:v>
                </c:pt>
                <c:pt idx="363">
                  <c:v>175.06772857473518</c:v>
                </c:pt>
                <c:pt idx="364">
                  <c:v>174.85822615369977</c:v>
                </c:pt>
                <c:pt idx="365">
                  <c:v>174.64901956007981</c:v>
                </c:pt>
                <c:pt idx="366">
                  <c:v>174.44010796903009</c:v>
                </c:pt>
                <c:pt idx="367">
                  <c:v>174.23149055878309</c:v>
                </c:pt>
                <c:pt idx="368">
                  <c:v>174.0231665106345</c:v>
                </c:pt>
                <c:pt idx="369">
                  <c:v>173.81513500892913</c:v>
                </c:pt>
                <c:pt idx="370">
                  <c:v>173.6073952410469</c:v>
                </c:pt>
                <c:pt idx="371">
                  <c:v>173.39994639738862</c:v>
                </c:pt>
                <c:pt idx="372">
                  <c:v>173.19278767136223</c:v>
                </c:pt>
                <c:pt idx="373">
                  <c:v>172.98591825936896</c:v>
                </c:pt>
                <c:pt idx="374">
                  <c:v>172.77933736078936</c:v>
                </c:pt>
                <c:pt idx="375">
                  <c:v>172.57304417796988</c:v>
                </c:pt>
                <c:pt idx="376">
                  <c:v>172.367037916209</c:v>
                </c:pt>
                <c:pt idx="377">
                  <c:v>172.16131778374381</c:v>
                </c:pt>
                <c:pt idx="378">
                  <c:v>171.9558829917365</c:v>
                </c:pt>
                <c:pt idx="379">
                  <c:v>171.75073275426104</c:v>
                </c:pt>
                <c:pt idx="380">
                  <c:v>171.54586628828977</c:v>
                </c:pt>
                <c:pt idx="381">
                  <c:v>171.34128281368015</c:v>
                </c:pt>
                <c:pt idx="382">
                  <c:v>171.13698155316172</c:v>
                </c:pt>
                <c:pt idx="383">
                  <c:v>170.93296173232287</c:v>
                </c:pt>
                <c:pt idx="384">
                  <c:v>170.72922257959786</c:v>
                </c:pt>
                <c:pt idx="385">
                  <c:v>170.52576332625398</c:v>
                </c:pt>
                <c:pt idx="386">
                  <c:v>170.32258320637843</c:v>
                </c:pt>
                <c:pt idx="387">
                  <c:v>170.11968145686578</c:v>
                </c:pt>
                <c:pt idx="388">
                  <c:v>169.91705731740501</c:v>
                </c:pt>
                <c:pt idx="389">
                  <c:v>169.7147100304671</c:v>
                </c:pt>
                <c:pt idx="390">
                  <c:v>169.51263884129222</c:v>
                </c:pt>
                <c:pt idx="391">
                  <c:v>169.31084299787724</c:v>
                </c:pt>
                <c:pt idx="392">
                  <c:v>169.10932175096343</c:v>
                </c:pt>
                <c:pt idx="393">
                  <c:v>168.90807435402388</c:v>
                </c:pt>
                <c:pt idx="394">
                  <c:v>168.7071000632514</c:v>
                </c:pt>
                <c:pt idx="395">
                  <c:v>168.506398137546</c:v>
                </c:pt>
                <c:pt idx="396">
                  <c:v>168.30596783850302</c:v>
                </c:pt>
                <c:pt idx="397">
                  <c:v>168.10580843040077</c:v>
                </c:pt>
                <c:pt idx="398">
                  <c:v>167.90591918018862</c:v>
                </c:pt>
                <c:pt idx="399">
                  <c:v>167.70629935747502</c:v>
                </c:pt>
                <c:pt idx="400">
                  <c:v>167.50694823451556</c:v>
                </c:pt>
                <c:pt idx="401">
                  <c:v>165.51627323717412</c:v>
                </c:pt>
                <c:pt idx="402">
                  <c:v>163.55215157209417</c:v>
                </c:pt>
                <c:pt idx="403">
                  <c:v>161.61387682303717</c:v>
                </c:pt>
                <c:pt idx="404">
                  <c:v>159.70076765237457</c:v>
                </c:pt>
                <c:pt idx="405">
                  <c:v>157.81216671401</c:v>
                </c:pt>
                <c:pt idx="406">
                  <c:v>155.94743962433827</c:v>
                </c:pt>
                <c:pt idx="407">
                  <c:v>154.10597398773714</c:v>
                </c:pt>
                <c:pt idx="408">
                  <c:v>152.28717847333252</c:v>
                </c:pt>
                <c:pt idx="409">
                  <c:v>150.49048194000602</c:v>
                </c:pt>
                <c:pt idx="410">
                  <c:v>148.71533260682384</c:v>
                </c:pt>
                <c:pt idx="411">
                  <c:v>146.96119726625864</c:v>
                </c:pt>
                <c:pt idx="412">
                  <c:v>145.22756053775734</c:v>
                </c:pt>
                <c:pt idx="413">
                  <c:v>143.51392415937255</c:v>
                </c:pt>
                <c:pt idx="414">
                  <c:v>141.8198063153306</c:v>
                </c:pt>
                <c:pt idx="415">
                  <c:v>140.14474099755154</c:v>
                </c:pt>
                <c:pt idx="416">
                  <c:v>138.48827739926926</c:v>
                </c:pt>
                <c:pt idx="417">
                  <c:v>136.84997933902383</c:v>
                </c:pt>
                <c:pt idx="418">
                  <c:v>135.22942471341204</c:v>
                </c:pt>
                <c:pt idx="419">
                  <c:v>133.62620497709031</c:v>
                </c:pt>
                <c:pt idx="420">
                  <c:v>132.03992464862253</c:v>
                </c:pt>
                <c:pt idx="421">
                  <c:v>130.47020084085963</c:v>
                </c:pt>
                <c:pt idx="422">
                  <c:v>128.91666281462361</c:v>
                </c:pt>
                <c:pt idx="423">
                  <c:v>127.37895155455058</c:v>
                </c:pt>
                <c:pt idx="424">
                  <c:v>125.85671936602407</c:v>
                </c:pt>
                <c:pt idx="425">
                  <c:v>124.3496294921997</c:v>
                </c:pt>
                <c:pt idx="426">
                  <c:v>122.8573557501914</c:v>
                </c:pt>
                <c:pt idx="427">
                  <c:v>121.37958218555092</c:v>
                </c:pt>
                <c:pt idx="428">
                  <c:v>119.91600274423283</c:v>
                </c:pt>
                <c:pt idx="429">
                  <c:v>118.46632096129279</c:v>
                </c:pt>
                <c:pt idx="430">
                  <c:v>117.03024966562045</c:v>
                </c:pt>
                <c:pt idx="431">
                  <c:v>115.60751070005814</c:v>
                </c:pt>
                <c:pt idx="432">
                  <c:v>114.19783465630526</c:v>
                </c:pt>
                <c:pt idx="433">
                  <c:v>112.80096062405252</c:v>
                </c:pt>
                <c:pt idx="434">
                  <c:v>111.416635953835</c:v>
                </c:pt>
                <c:pt idx="435">
                  <c:v>110.04461603313379</c:v>
                </c:pt>
                <c:pt idx="436">
                  <c:v>108.6846640752965</c:v>
                </c:pt>
                <c:pt idx="437">
                  <c:v>107.33655092088478</c:v>
                </c:pt>
                <c:pt idx="438">
                  <c:v>106.00005485109546</c:v>
                </c:pt>
                <c:pt idx="439">
                  <c:v>104.67496141293685</c:v>
                </c:pt>
                <c:pt idx="440">
                  <c:v>103.3610632558777</c:v>
                </c:pt>
                <c:pt idx="441">
                  <c:v>102.05815997972091</c:v>
                </c:pt>
                <c:pt idx="442">
                  <c:v>100.76605799348758</c:v>
                </c:pt>
                <c:pt idx="443">
                  <c:v>99.484570385130553</c:v>
                </c:pt>
                <c:pt idx="444">
                  <c:v>98.213516801930254</c:v>
                </c:pt>
                <c:pt idx="445">
                  <c:v>96.952723341457855</c:v>
                </c:pt>
                <c:pt idx="446">
                  <c:v>95.702022453024512</c:v>
                </c:pt>
                <c:pt idx="447">
                  <c:v>94.461252849568481</c:v>
                </c:pt>
                <c:pt idx="448">
                  <c:v>93.230259429965287</c:v>
                </c:pt>
                <c:pt idx="449">
                  <c:v>92.008893211780318</c:v>
                </c:pt>
                <c:pt idx="450">
                  <c:v>90.797011274518013</c:v>
                </c:pt>
                <c:pt idx="451">
                  <c:v>89.594476713456913</c:v>
                </c:pt>
                <c:pt idx="452">
                  <c:v>88.401158604196752</c:v>
                </c:pt>
                <c:pt idx="453">
                  <c:v>87.21693197808078</c:v>
                </c:pt>
                <c:pt idx="454">
                  <c:v>86.041677808695965</c:v>
                </c:pt>
                <c:pt idx="455">
                  <c:v>84.87528300969349</c:v>
                </c:pt>
                <c:pt idx="456">
                  <c:v>83.717640444213927</c:v>
                </c:pt>
                <c:pt idx="457">
                  <c:v>82.56864894624583</c:v>
                </c:pt>
                <c:pt idx="458">
                  <c:v>81.428213354291231</c:v>
                </c:pt>
                <c:pt idx="459">
                  <c:v>80.296244557760005</c:v>
                </c:pt>
                <c:pt idx="460">
                  <c:v>79.172659556565307</c:v>
                </c:pt>
                <c:pt idx="461">
                  <c:v>78.057381534444218</c:v>
                </c:pt>
                <c:pt idx="462">
                  <c:v>76.950339946583853</c:v>
                </c:pt>
                <c:pt idx="463">
                  <c:v>75.85147062219059</c:v>
                </c:pt>
                <c:pt idx="464">
                  <c:v>74.76071588270139</c:v>
                </c:pt>
                <c:pt idx="465">
                  <c:v>73.678024676399616</c:v>
                </c:pt>
                <c:pt idx="466">
                  <c:v>72.603352730265229</c:v>
                </c:pt>
                <c:pt idx="467">
                  <c:v>71.536662719958898</c:v>
                </c:pt>
                <c:pt idx="468">
                  <c:v>70.477924458912412</c:v>
                </c:pt>
                <c:pt idx="469">
                  <c:v>69.427115107573968</c:v>
                </c:pt>
                <c:pt idx="470">
                  <c:v>68.38421940393502</c:v>
                </c:pt>
                <c:pt idx="471">
                  <c:v>67.349229916546577</c:v>
                </c:pt>
                <c:pt idx="472">
                  <c:v>66.322147321315029</c:v>
                </c:pt>
                <c:pt idx="473">
                  <c:v>65.302980703451539</c:v>
                </c:pt>
                <c:pt idx="474">
                  <c:v>64.291747886032852</c:v>
                </c:pt>
                <c:pt idx="475">
                  <c:v>63.288475786714748</c:v>
                </c:pt>
                <c:pt idx="476">
                  <c:v>62.29320080421904</c:v>
                </c:pt>
                <c:pt idx="477">
                  <c:v>61.305969236292121</c:v>
                </c:pt>
                <c:pt idx="478">
                  <c:v>60.326837730901204</c:v>
                </c:pt>
                <c:pt idx="479">
                  <c:v>59.355873772494519</c:v>
                </c:pt>
                <c:pt idx="480">
                  <c:v>58.393156205196604</c:v>
                </c:pt>
                <c:pt idx="481">
                  <c:v>57.438775794837575</c:v>
                </c:pt>
                <c:pt idx="482">
                  <c:v>56.492835831718303</c:v>
                </c:pt>
                <c:pt idx="483">
                  <c:v>55.555452775986105</c:v>
                </c:pt>
                <c:pt idx="484">
                  <c:v>54.626756947429115</c:v>
                </c:pt>
                <c:pt idx="485">
                  <c:v>53.706893261382078</c:v>
                </c:pt>
                <c:pt idx="486">
                  <c:v>52.796022012260387</c:v>
                </c:pt>
                <c:pt idx="487">
                  <c:v>51.894319705988416</c:v>
                </c:pt>
                <c:pt idx="488">
                  <c:v>51.001979942246557</c:v>
                </c:pt>
                <c:pt idx="489">
                  <c:v>50.119214347008857</c:v>
                </c:pt>
                <c:pt idx="490">
                  <c:v>49.246253555258555</c:v>
                </c:pt>
                <c:pt idx="491">
                  <c:v>48.383348243024642</c:v>
                </c:pt>
                <c:pt idx="492">
                  <c:v>47.530770206951196</c:v>
                </c:pt>
                <c:pt idx="493">
                  <c:v>46.688813488457669</c:v>
                </c:pt>
                <c:pt idx="494">
                  <c:v>45.857795538136585</c:v>
                </c:pt>
                <c:pt idx="495">
                  <c:v>45.038058414323714</c:v>
                </c:pt>
                <c:pt idx="496">
                  <c:v>44.22997000772159</c:v>
                </c:pt>
                <c:pt idx="497">
                  <c:v>43.433925281513176</c:v>
                </c:pt>
                <c:pt idx="498">
                  <c:v>42.650347513523307</c:v>
                </c:pt>
                <c:pt idx="499">
                  <c:v>41.87968952362521</c:v>
                </c:pt>
                <c:pt idx="500">
                  <c:v>41.122434865708733</c:v>
                </c:pt>
                <c:pt idx="501">
                  <c:v>40.379098959095472</c:v>
                </c:pt>
                <c:pt idx="502">
                  <c:v>39.650230129289184</c:v>
                </c:pt>
                <c:pt idx="503">
                  <c:v>38.93641052239564</c:v>
                </c:pt>
                <c:pt idx="504">
                  <c:v>38.238256851476663</c:v>
                </c:pt>
                <c:pt idx="505">
                  <c:v>37.556420926603359</c:v>
                </c:pt>
                <c:pt idx="506">
                  <c:v>36.891589913587218</c:v>
                </c:pt>
                <c:pt idx="507">
                  <c:v>36.244486259511241</c:v>
                </c:pt>
                <c:pt idx="508">
                  <c:v>35.615867216559828</c:v>
                </c:pt>
                <c:pt idx="509">
                  <c:v>35.006523889663562</c:v>
                </c:pt>
                <c:pt idx="510">
                  <c:v>34.417279728653739</c:v>
                </c:pt>
                <c:pt idx="511">
                  <c:v>33.848988382603494</c:v>
                </c:pt>
                <c:pt idx="512">
                  <c:v>33.302530833575126</c:v>
                </c:pt>
                <c:pt idx="513">
                  <c:v>32.778811729953176</c:v>
                </c:pt>
                <c:pt idx="514">
                  <c:v>32.278754846836591</c:v>
                </c:pt>
                <c:pt idx="515">
                  <c:v>31.803297613507418</c:v>
                </c:pt>
                <c:pt idx="516">
                  <c:v>31.353384666615373</c:v>
                </c:pt>
                <c:pt idx="517">
                  <c:v>30.929960413039755</c:v>
                </c:pt>
                <c:pt idx="518">
                  <c:v>30.533960618689306</c:v>
                </c:pt>
                <c:pt idx="519">
                  <c:v>30.166303078555394</c:v>
                </c:pt>
                <c:pt idx="520">
                  <c:v>29.827877468274743</c:v>
                </c:pt>
                <c:pt idx="521">
                  <c:v>29.519534526646428</c:v>
                </c:pt>
                <c:pt idx="522">
                  <c:v>29.242074769518137</c:v>
                </c:pt>
                <c:pt idx="523">
                  <c:v>28.996236984946421</c:v>
                </c:pt>
                <c:pt idx="524">
                  <c:v>28.782686803641433</c:v>
                </c:pt>
                <c:pt idx="525">
                  <c:v>28.602005673170734</c:v>
                </c:pt>
                <c:pt idx="526">
                  <c:v>28.454680585024036</c:v>
                </c:pt>
                <c:pt idx="527">
                  <c:v>28.34109490680812</c:v>
                </c:pt>
                <c:pt idx="528">
                  <c:v>28.261520655031966</c:v>
                </c:pt>
                <c:pt idx="529">
                  <c:v>28.216112506228573</c:v>
                </c:pt>
                <c:pt idx="530">
                  <c:v>28.204903786528028</c:v>
                </c:pt>
                <c:pt idx="531">
                  <c:v>28.227804605241865</c:v>
                </c:pt>
                <c:pt idx="532">
                  <c:v>28.284602211363413</c:v>
                </c:pt>
                <c:pt idx="533">
                  <c:v>28.374963559317727</c:v>
                </c:pt>
                <c:pt idx="534">
                  <c:v>28.498439978679023</c:v>
                </c:pt>
                <c:pt idx="535">
                  <c:v>28.654473758678396</c:v>
                </c:pt>
                <c:pt idx="536">
                  <c:v>28.842406388034366</c:v>
                </c:pt>
                <c:pt idx="537">
                  <c:v>29.061488138325902</c:v>
                </c:pt>
                <c:pt idx="538">
                  <c:v>29.310888647258821</c:v>
                </c:pt>
                <c:pt idx="539">
                  <c:v>29.589708147202629</c:v>
                </c:pt>
                <c:pt idx="540">
                  <c:v>29.896988992892972</c:v>
                </c:pt>
                <c:pt idx="541">
                  <c:v>30.23172716732531</c:v>
                </c:pt>
                <c:pt idx="542">
                  <c:v>30.592883482756768</c:v>
                </c:pt>
                <c:pt idx="543">
                  <c:v>30.979394240103055</c:v>
                </c:pt>
                <c:pt idx="544">
                  <c:v>31.390181160643767</c:v>
                </c:pt>
                <c:pt idx="545">
                  <c:v>31.824160455057175</c:v>
                </c:pt>
                <c:pt idx="546">
                  <c:v>32.280250943322592</c:v>
                </c:pt>
                <c:pt idx="547">
                  <c:v>32.757381182702098</c:v>
                </c:pt>
                <c:pt idx="548">
                  <c:v>33.254495598420391</c:v>
                </c:pt>
                <c:pt idx="549">
                  <c:v>33.770559642121938</c:v>
                </c:pt>
                <c:pt idx="550">
                  <c:v>34.304564026636093</c:v>
                </c:pt>
                <c:pt idx="551">
                  <c:v>34.855528102417708</c:v>
                </c:pt>
                <c:pt idx="552">
                  <c:v>35.422502451957364</c:v>
                </c:pt>
                <c:pt idx="553">
                  <c:v>36.004570784345304</c:v>
                </c:pt>
                <c:pt idx="554">
                  <c:v>36.600851213962713</c:v>
                </c:pt>
                <c:pt idx="555">
                  <c:v>37.210497005879354</c:v>
                </c:pt>
                <c:pt idx="556">
                  <c:v>37.832696866797562</c:v>
                </c:pt>
                <c:pt idx="557">
                  <c:v>38.46667485503442</c:v>
                </c:pt>
                <c:pt idx="558">
                  <c:v>39.111689976688872</c:v>
                </c:pt>
                <c:pt idx="559">
                  <c:v>39.76703552829153</c:v>
                </c:pt>
                <c:pt idx="560">
                  <c:v>40.432038239260777</c:v>
                </c:pt>
                <c:pt idx="561">
                  <c:v>41.1060572606685</c:v>
                </c:pt>
                <c:pt idx="562">
                  <c:v>41.788483040346669</c:v>
                </c:pt>
                <c:pt idx="563">
                  <c:v>42.478736118367742</c:v>
                </c:pt>
                <c:pt idx="564">
                  <c:v>43.176265871477305</c:v>
                </c:pt>
                <c:pt idx="565">
                  <c:v>43.880549230177898</c:v>
                </c:pt>
                <c:pt idx="566">
                  <c:v>44.591089387856243</c:v>
                </c:pt>
                <c:pt idx="567">
                  <c:v>45.307414517592576</c:v>
                </c:pt>
                <c:pt idx="568">
                  <c:v>46.029076509054427</c:v>
                </c:pt>
                <c:pt idx="569">
                  <c:v>46.755649735115426</c:v>
                </c:pt>
                <c:pt idx="570">
                  <c:v>47.48672985550553</c:v>
                </c:pt>
                <c:pt idx="571">
                  <c:v>48.221932662845212</c:v>
                </c:pt>
                <c:pt idx="572">
                  <c:v>48.960892974795293</c:v>
                </c:pt>
                <c:pt idx="573">
                  <c:v>49.703263574723486</c:v>
                </c:pt>
                <c:pt idx="574">
                  <c:v>50.448714202207107</c:v>
                </c:pt>
                <c:pt idx="575">
                  <c:v>51.196930593822266</c:v>
                </c:pt>
                <c:pt idx="576">
                  <c:v>51.947613573981272</c:v>
                </c:pt>
                <c:pt idx="577">
                  <c:v>52.700478195041946</c:v>
                </c:pt>
                <c:pt idx="578">
                  <c:v>53.45525292550127</c:v>
                </c:pt>
                <c:pt idx="579">
                  <c:v>54.211678884778429</c:v>
                </c:pt>
                <c:pt idx="580">
                  <c:v>54.969509122871017</c:v>
                </c:pt>
                <c:pt idx="581">
                  <c:v>55.728507943017028</c:v>
                </c:pt>
                <c:pt idx="582">
                  <c:v>56.488450265400317</c:v>
                </c:pt>
                <c:pt idx="583">
                  <c:v>57.249121029887732</c:v>
                </c:pt>
                <c:pt idx="584">
                  <c:v>58.010314635772914</c:v>
                </c:pt>
                <c:pt idx="585">
                  <c:v>58.771834416515901</c:v>
                </c:pt>
                <c:pt idx="586">
                  <c:v>59.533492147504077</c:v>
                </c:pt>
                <c:pt idx="587">
                  <c:v>60.295107584912238</c:v>
                </c:pt>
                <c:pt idx="588">
                  <c:v>61.056508033804086</c:v>
                </c:pt>
                <c:pt idx="589">
                  <c:v>61.81752794368996</c:v>
                </c:pt>
                <c:pt idx="590">
                  <c:v>62.578008529834058</c:v>
                </c:pt>
                <c:pt idx="591">
                  <c:v>63.337797418686087</c:v>
                </c:pt>
                <c:pt idx="592">
                  <c:v>64.096748315895113</c:v>
                </c:pt>
                <c:pt idx="593">
                  <c:v>64.854720695446773</c:v>
                </c:pt>
                <c:pt idx="594">
                  <c:v>65.611579508547237</c:v>
                </c:pt>
                <c:pt idx="595">
                  <c:v>66.367194910957281</c:v>
                </c:pt>
                <c:pt idx="596">
                  <c:v>67.121442007558386</c:v>
                </c:pt>
                <c:pt idx="597">
                  <c:v>67.874200613007147</c:v>
                </c:pt>
                <c:pt idx="598">
                  <c:v>68.625355027406826</c:v>
                </c:pt>
                <c:pt idx="599">
                  <c:v>69.374793825992711</c:v>
                </c:pt>
                <c:pt idx="600">
                  <c:v>70.122409661893727</c:v>
                </c:pt>
                <c:pt idx="601">
                  <c:v>70.868099081093817</c:v>
                </c:pt>
                <c:pt idx="602">
                  <c:v>71.611762348774889</c:v>
                </c:pt>
                <c:pt idx="603">
                  <c:v>72.353303286277992</c:v>
                </c:pt>
                <c:pt idx="604">
                  <c:v>73.092629117970446</c:v>
                </c:pt>
                <c:pt idx="605">
                  <c:v>73.82965032735531</c:v>
                </c:pt>
                <c:pt idx="606">
                  <c:v>74.564280521804321</c:v>
                </c:pt>
                <c:pt idx="607">
                  <c:v>75.296436305337934</c:v>
                </c:pt>
                <c:pt idx="608">
                  <c:v>76.026037158915244</c:v>
                </c:pt>
                <c:pt idx="609">
                  <c:v>76.753005327733774</c:v>
                </c:pt>
                <c:pt idx="610">
                  <c:v>77.477265715073088</c:v>
                </c:pt>
                <c:pt idx="611">
                  <c:v>78.198745782248437</c:v>
                </c:pt>
                <c:pt idx="612">
                  <c:v>78.917375454270086</c:v>
                </c:pt>
                <c:pt idx="613">
                  <c:v>79.633087030832343</c:v>
                </c:pt>
                <c:pt idx="614">
                  <c:v>80.345815102281307</c:v>
                </c:pt>
                <c:pt idx="615">
                  <c:v>81.05549647023507</c:v>
                </c:pt>
                <c:pt idx="616">
                  <c:v>81.762070072552078</c:v>
                </c:pt>
                <c:pt idx="617">
                  <c:v>82.465476912364196</c:v>
                </c:pt>
                <c:pt idx="618">
                  <c:v>83.165659990910385</c:v>
                </c:pt>
                <c:pt idx="619">
                  <c:v>83.862564243924865</c:v>
                </c:pt>
                <c:pt idx="620">
                  <c:v>84.556136481350251</c:v>
                </c:pt>
                <c:pt idx="621">
                  <c:v>85.246325330161639</c:v>
                </c:pt>
                <c:pt idx="622">
                  <c:v>85.933081180102491</c:v>
                </c:pt>
                <c:pt idx="623">
                  <c:v>86.616356132145711</c:v>
                </c:pt>
                <c:pt idx="624">
                  <c:v>87.296103949506758</c:v>
                </c:pt>
                <c:pt idx="625">
                  <c:v>87.972280011046763</c:v>
                </c:pt>
                <c:pt idx="626">
                  <c:v>88.644841266914213</c:v>
                </c:pt>
                <c:pt idx="627">
                  <c:v>89.313746196284299</c:v>
                </c:pt>
                <c:pt idx="628">
                  <c:v>89.978954767064252</c:v>
                </c:pt>
                <c:pt idx="629">
                  <c:v>90.640428397441269</c:v>
                </c:pt>
                <c:pt idx="630">
                  <c:v>91.298129919158526</c:v>
                </c:pt>
                <c:pt idx="631">
                  <c:v>91.952023542411396</c:v>
                </c:pt>
                <c:pt idx="632">
                  <c:v>92.602074822264086</c:v>
                </c:pt>
                <c:pt idx="633">
                  <c:v>93.248250626492151</c:v>
                </c:pt>
                <c:pt idx="634">
                  <c:v>93.890519104764067</c:v>
                </c:pt>
                <c:pt idx="635">
                  <c:v>94.528849659079</c:v>
                </c:pt>
                <c:pt idx="636">
                  <c:v>95.163212915384662</c:v>
                </c:pt>
                <c:pt idx="637">
                  <c:v>95.79358069630338</c:v>
                </c:pt>
                <c:pt idx="638">
                  <c:v>96.419925994899103</c:v>
                </c:pt>
                <c:pt idx="639">
                  <c:v>97.042222949422694</c:v>
                </c:pt>
                <c:pt idx="640">
                  <c:v>97.660446818976723</c:v>
                </c:pt>
                <c:pt idx="641">
                  <c:v>98.274573960044805</c:v>
                </c:pt>
                <c:pt idx="642">
                  <c:v>98.884581803833768</c:v>
                </c:pt>
                <c:pt idx="643">
                  <c:v>99.490448834380757</c:v>
                </c:pt>
                <c:pt idx="644">
                  <c:v>100.09215456737995</c:v>
                </c:pt>
                <c:pt idx="645">
                  <c:v>100.68967952968659</c:v>
                </c:pt>
                <c:pt idx="646">
                  <c:v>101.28300523945889</c:v>
                </c:pt>
                <c:pt idx="647">
                  <c:v>101.87211418690066</c:v>
                </c:pt>
                <c:pt idx="648">
                  <c:v>102.45698981556994</c:v>
                </c:pt>
                <c:pt idx="649">
                  <c:v>103.03761650422119</c:v>
                </c:pt>
                <c:pt idx="650">
                  <c:v>103.6139795491504</c:v>
                </c:pt>
                <c:pt idx="651">
                  <c:v>104.18606514701489</c:v>
                </c:pt>
                <c:pt idx="652">
                  <c:v>104.75386037810082</c:v>
                </c:pt>
                <c:pt idx="653">
                  <c:v>105.31735319001353</c:v>
                </c:pt>
                <c:pt idx="654">
                  <c:v>105.87653238176709</c:v>
                </c:pt>
                <c:pt idx="655">
                  <c:v>106.43138758825154</c:v>
                </c:pt>
                <c:pt idx="656">
                  <c:v>106.98190926505663</c:v>
                </c:pt>
                <c:pt idx="657">
                  <c:v>107.52808867363342</c:v>
                </c:pt>
                <c:pt idx="658">
                  <c:v>108.0699178667754</c:v>
                </c:pt>
                <c:pt idx="659">
                  <c:v>108.60738967440221</c:v>
                </c:pt>
                <c:pt idx="660">
                  <c:v>109.14049768963056</c:v>
                </c:pt>
                <c:pt idx="661">
                  <c:v>109.66923625511707</c:v>
                </c:pt>
                <c:pt idx="662">
                  <c:v>110.19360044965961</c:v>
                </c:pt>
                <c:pt idx="663">
                  <c:v>110.71358607504403</c:v>
                </c:pt>
                <c:pt idx="664">
                  <c:v>111.2291896431243</c:v>
                </c:pt>
                <c:pt idx="665">
                  <c:v>111.74040836312457</c:v>
                </c:pt>
                <c:pt idx="666">
                  <c:v>112.24724012915303</c:v>
                </c:pt>
                <c:pt idx="667">
                  <c:v>112.74968350791693</c:v>
                </c:pt>
                <c:pt idx="668">
                  <c:v>113.24773772663056</c:v>
                </c:pt>
                <c:pt idx="669">
                  <c:v>113.7414026611068</c:v>
                </c:pt>
                <c:pt idx="670">
                  <c:v>114.23067882402441</c:v>
                </c:pt>
                <c:pt idx="671">
                  <c:v>114.71556735336395</c:v>
                </c:pt>
                <c:pt idx="672">
                  <c:v>115.19607000100478</c:v>
                </c:pt>
                <c:pt idx="673">
                  <c:v>115.67218912147722</c:v>
                </c:pt>
                <c:pt idx="674">
                  <c:v>116.1439276608633</c:v>
                </c:pt>
                <c:pt idx="675">
                  <c:v>116.61128914584087</c:v>
                </c:pt>
                <c:pt idx="676">
                  <c:v>117.07427767286569</c:v>
                </c:pt>
                <c:pt idx="677">
                  <c:v>117.53289789748654</c:v>
                </c:pt>
                <c:pt idx="678">
                  <c:v>117.98715502378903</c:v>
                </c:pt>
                <c:pt idx="679">
                  <c:v>118.43705479396382</c:v>
                </c:pt>
                <c:pt idx="680">
                  <c:v>118.88260347799533</c:v>
                </c:pt>
                <c:pt idx="681">
                  <c:v>119.32380786346749</c:v>
                </c:pt>
                <c:pt idx="682">
                  <c:v>119.7606752454829</c:v>
                </c:pt>
                <c:pt idx="683">
                  <c:v>120.19321341669284</c:v>
                </c:pt>
                <c:pt idx="684">
                  <c:v>120.62143065743476</c:v>
                </c:pt>
                <c:pt idx="685">
                  <c:v>121.04533572597488</c:v>
                </c:pt>
                <c:pt idx="686">
                  <c:v>121.46493784885359</c:v>
                </c:pt>
                <c:pt idx="687">
                  <c:v>121.88024671133122</c:v>
                </c:pt>
                <c:pt idx="688">
                  <c:v>122.29127244793222</c:v>
                </c:pt>
                <c:pt idx="689">
                  <c:v>122.69802563308593</c:v>
                </c:pt>
                <c:pt idx="690">
                  <c:v>123.10051727186233</c:v>
                </c:pt>
                <c:pt idx="691">
                  <c:v>123.49875879080074</c:v>
                </c:pt>
                <c:pt idx="692">
                  <c:v>123.89276202883072</c:v>
                </c:pt>
                <c:pt idx="693">
                  <c:v>124.28253922828338</c:v>
                </c:pt>
                <c:pt idx="694">
                  <c:v>124.66810302599207</c:v>
                </c:pt>
                <c:pt idx="695">
                  <c:v>125.04946644448138</c:v>
                </c:pt>
                <c:pt idx="696">
                  <c:v>125.42664288324357</c:v>
                </c:pt>
                <c:pt idx="697">
                  <c:v>125.79964611010128</c:v>
                </c:pt>
                <c:pt idx="698">
                  <c:v>126.16849025265616</c:v>
                </c:pt>
                <c:pt idx="699">
                  <c:v>126.53318978982227</c:v>
                </c:pt>
                <c:pt idx="700">
                  <c:v>126.89375954344396</c:v>
                </c:pt>
                <c:pt idx="701">
                  <c:v>127.25021466999755</c:v>
                </c:pt>
                <c:pt idx="702">
                  <c:v>127.60257065237612</c:v>
                </c:pt>
                <c:pt idx="703">
                  <c:v>127.95084329175737</c:v>
                </c:pt>
                <c:pt idx="704">
                  <c:v>128.29504869955383</c:v>
                </c:pt>
                <c:pt idx="705">
                  <c:v>128.6352032894452</c:v>
                </c:pt>
                <c:pt idx="706">
                  <c:v>128.9713237694925</c:v>
                </c:pt>
                <c:pt idx="707">
                  <c:v>129.3034271343339</c:v>
                </c:pt>
                <c:pt idx="708">
                  <c:v>129.63153065746172</c:v>
                </c:pt>
                <c:pt idx="709">
                  <c:v>129.95565188358074</c:v>
                </c:pt>
                <c:pt idx="710">
                  <c:v>130.2758086210475</c:v>
                </c:pt>
                <c:pt idx="711">
                  <c:v>130.59201893439027</c:v>
                </c:pt>
                <c:pt idx="712">
                  <c:v>130.90430113691014</c:v>
                </c:pt>
                <c:pt idx="713">
                  <c:v>131.21267378336242</c:v>
                </c:pt>
                <c:pt idx="714">
                  <c:v>131.21297820824435</c:v>
                </c:pt>
                <c:pt idx="715">
                  <c:v>131.21328262926605</c:v>
                </c:pt>
                <c:pt idx="716">
                  <c:v>131.21358704642753</c:v>
                </c:pt>
                <c:pt idx="717">
                  <c:v>131.21389145972884</c:v>
                </c:pt>
                <c:pt idx="718">
                  <c:v>131.21419586916994</c:v>
                </c:pt>
                <c:pt idx="719">
                  <c:v>131.21450027475092</c:v>
                </c:pt>
                <c:pt idx="720">
                  <c:v>131.21480467647169</c:v>
                </c:pt>
                <c:pt idx="721">
                  <c:v>131.21510907433236</c:v>
                </c:pt>
                <c:pt idx="722">
                  <c:v>131.21541346833294</c:v>
                </c:pt>
                <c:pt idx="723">
                  <c:v>131.21571785847343</c:v>
                </c:pt>
                <c:pt idx="724">
                  <c:v>131.21602224475384</c:v>
                </c:pt>
                <c:pt idx="725">
                  <c:v>131.21632662717423</c:v>
                </c:pt>
                <c:pt idx="726">
                  <c:v>131.21663100573457</c:v>
                </c:pt>
                <c:pt idx="727">
                  <c:v>131.21693538043488</c:v>
                </c:pt>
                <c:pt idx="728">
                  <c:v>131.2172397512752</c:v>
                </c:pt>
                <c:pt idx="729">
                  <c:v>131.21754411825555</c:v>
                </c:pt>
                <c:pt idx="730">
                  <c:v>131.21784848137594</c:v>
                </c:pt>
                <c:pt idx="731">
                  <c:v>131.21815284063638</c:v>
                </c:pt>
                <c:pt idx="732">
                  <c:v>131.21845719603695</c:v>
                </c:pt>
                <c:pt idx="733">
                  <c:v>131.2187615475776</c:v>
                </c:pt>
                <c:pt idx="734">
                  <c:v>131.21906589525835</c:v>
                </c:pt>
                <c:pt idx="735">
                  <c:v>131.21937023907927</c:v>
                </c:pt>
                <c:pt idx="736">
                  <c:v>131.21967457904034</c:v>
                </c:pt>
                <c:pt idx="737">
                  <c:v>131.21997891514158</c:v>
                </c:pt>
                <c:pt idx="738">
                  <c:v>131.22028324738301</c:v>
                </c:pt>
                <c:pt idx="739">
                  <c:v>131.22058757576465</c:v>
                </c:pt>
                <c:pt idx="740">
                  <c:v>131.22089190028655</c:v>
                </c:pt>
                <c:pt idx="741">
                  <c:v>131.22119622094868</c:v>
                </c:pt>
                <c:pt idx="742">
                  <c:v>131.22150053775107</c:v>
                </c:pt>
                <c:pt idx="743">
                  <c:v>131.22180485069376</c:v>
                </c:pt>
                <c:pt idx="744">
                  <c:v>131.22210915977678</c:v>
                </c:pt>
                <c:pt idx="745">
                  <c:v>131.2224134650001</c:v>
                </c:pt>
                <c:pt idx="746">
                  <c:v>131.22271776636376</c:v>
                </c:pt>
                <c:pt idx="747">
                  <c:v>131.22302206386783</c:v>
                </c:pt>
                <c:pt idx="748">
                  <c:v>131.22332635751226</c:v>
                </c:pt>
                <c:pt idx="749">
                  <c:v>131.22363064729709</c:v>
                </c:pt>
                <c:pt idx="750">
                  <c:v>131.22393493322232</c:v>
                </c:pt>
                <c:pt idx="751">
                  <c:v>131.22423921528801</c:v>
                </c:pt>
                <c:pt idx="752">
                  <c:v>131.22454349349414</c:v>
                </c:pt>
                <c:pt idx="753">
                  <c:v>131.22484776784074</c:v>
                </c:pt>
                <c:pt idx="754">
                  <c:v>131.22515203832788</c:v>
                </c:pt>
                <c:pt idx="755">
                  <c:v>131.22545630495551</c:v>
                </c:pt>
                <c:pt idx="756">
                  <c:v>131.22576056772371</c:v>
                </c:pt>
                <c:pt idx="757">
                  <c:v>131.22606482663241</c:v>
                </c:pt>
                <c:pt idx="758">
                  <c:v>131.2263690816817</c:v>
                </c:pt>
                <c:pt idx="759">
                  <c:v>131.2266733328716</c:v>
                </c:pt>
                <c:pt idx="760">
                  <c:v>131.22697758020209</c:v>
                </c:pt>
                <c:pt idx="761">
                  <c:v>131.22728182367322</c:v>
                </c:pt>
                <c:pt idx="762">
                  <c:v>131.227586063285</c:v>
                </c:pt>
                <c:pt idx="763">
                  <c:v>131.22789029903743</c:v>
                </c:pt>
                <c:pt idx="764">
                  <c:v>131.22819453093055</c:v>
                </c:pt>
                <c:pt idx="765">
                  <c:v>131.22849875896441</c:v>
                </c:pt>
                <c:pt idx="766">
                  <c:v>131.22880298313893</c:v>
                </c:pt>
                <c:pt idx="767">
                  <c:v>131.22910720345425</c:v>
                </c:pt>
                <c:pt idx="768">
                  <c:v>131.22941141991026</c:v>
                </c:pt>
                <c:pt idx="769">
                  <c:v>131.22971563250712</c:v>
                </c:pt>
                <c:pt idx="770">
                  <c:v>131.23001984124474</c:v>
                </c:pt>
                <c:pt idx="771">
                  <c:v>131.23032404612323</c:v>
                </c:pt>
                <c:pt idx="772">
                  <c:v>131.2306282471425</c:v>
                </c:pt>
                <c:pt idx="773">
                  <c:v>131.23093244430265</c:v>
                </c:pt>
                <c:pt idx="774">
                  <c:v>131.23123663760367</c:v>
                </c:pt>
                <c:pt idx="775">
                  <c:v>131.23154082704556</c:v>
                </c:pt>
                <c:pt idx="776">
                  <c:v>131.23184501262838</c:v>
                </c:pt>
                <c:pt idx="777">
                  <c:v>131.23214919435216</c:v>
                </c:pt>
                <c:pt idx="778">
                  <c:v>131.23245337221687</c:v>
                </c:pt>
                <c:pt idx="779">
                  <c:v>131.23275754622256</c:v>
                </c:pt>
                <c:pt idx="780">
                  <c:v>131.23306171636921</c:v>
                </c:pt>
                <c:pt idx="781">
                  <c:v>131.2333658826569</c:v>
                </c:pt>
                <c:pt idx="782">
                  <c:v>131.23367004508557</c:v>
                </c:pt>
                <c:pt idx="783">
                  <c:v>131.23397420365532</c:v>
                </c:pt>
                <c:pt idx="784">
                  <c:v>131.23427835836617</c:v>
                </c:pt>
                <c:pt idx="785">
                  <c:v>131.23458250921806</c:v>
                </c:pt>
                <c:pt idx="786">
                  <c:v>131.23488665621102</c:v>
                </c:pt>
                <c:pt idx="787">
                  <c:v>131.23519079934513</c:v>
                </c:pt>
                <c:pt idx="788">
                  <c:v>131.23549493862038</c:v>
                </c:pt>
                <c:pt idx="789">
                  <c:v>131.23579907403678</c:v>
                </c:pt>
                <c:pt idx="790">
                  <c:v>131.23610320559436</c:v>
                </c:pt>
                <c:pt idx="791">
                  <c:v>131.23640733329316</c:v>
                </c:pt>
                <c:pt idx="792">
                  <c:v>131.23671145713314</c:v>
                </c:pt>
                <c:pt idx="793">
                  <c:v>131.23701557711436</c:v>
                </c:pt>
                <c:pt idx="794">
                  <c:v>131.23731969323686</c:v>
                </c:pt>
                <c:pt idx="795">
                  <c:v>131.23762380550062</c:v>
                </c:pt>
                <c:pt idx="796">
                  <c:v>131.23792791390562</c:v>
                </c:pt>
                <c:pt idx="797">
                  <c:v>131.23823201845198</c:v>
                </c:pt>
                <c:pt idx="798">
                  <c:v>131.23853611913967</c:v>
                </c:pt>
                <c:pt idx="799">
                  <c:v>131.23884021596868</c:v>
                </c:pt>
                <c:pt idx="800">
                  <c:v>131.23914430893905</c:v>
                </c:pt>
                <c:pt idx="801">
                  <c:v>131.23944839805083</c:v>
                </c:pt>
                <c:pt idx="802">
                  <c:v>131.23975248330399</c:v>
                </c:pt>
                <c:pt idx="803">
                  <c:v>131.24005656469859</c:v>
                </c:pt>
                <c:pt idx="804">
                  <c:v>131.24036064223461</c:v>
                </c:pt>
                <c:pt idx="805">
                  <c:v>131.24066471591212</c:v>
                </c:pt>
                <c:pt idx="806">
                  <c:v>131.2409687857311</c:v>
                </c:pt>
                <c:pt idx="807">
                  <c:v>131.24127285169158</c:v>
                </c:pt>
                <c:pt idx="808">
                  <c:v>131.24157691379355</c:v>
                </c:pt>
                <c:pt idx="809">
                  <c:v>131.24188097203705</c:v>
                </c:pt>
                <c:pt idx="810">
                  <c:v>131.24218502642213</c:v>
                </c:pt>
                <c:pt idx="811">
                  <c:v>131.24248907694877</c:v>
                </c:pt>
                <c:pt idx="812">
                  <c:v>131.24279312361702</c:v>
                </c:pt>
                <c:pt idx="813">
                  <c:v>131.24309716642685</c:v>
                </c:pt>
                <c:pt idx="814">
                  <c:v>131.24340120537832</c:v>
                </c:pt>
                <c:pt idx="815">
                  <c:v>131.24370524047146</c:v>
                </c:pt>
                <c:pt idx="816">
                  <c:v>131.24400927170623</c:v>
                </c:pt>
                <c:pt idx="817">
                  <c:v>131.24431329908271</c:v>
                </c:pt>
                <c:pt idx="818">
                  <c:v>131.24461732260087</c:v>
                </c:pt>
                <c:pt idx="819">
                  <c:v>131.2449213422608</c:v>
                </c:pt>
                <c:pt idx="820">
                  <c:v>131.24522535806244</c:v>
                </c:pt>
                <c:pt idx="821">
                  <c:v>131.24552937000587</c:v>
                </c:pt>
                <c:pt idx="822">
                  <c:v>131.24583337809105</c:v>
                </c:pt>
                <c:pt idx="823">
                  <c:v>131.24613738231804</c:v>
                </c:pt>
                <c:pt idx="824">
                  <c:v>131.24644138268684</c:v>
                </c:pt>
                <c:pt idx="825">
                  <c:v>131.24674537919748</c:v>
                </c:pt>
                <c:pt idx="826">
                  <c:v>131.24704937184998</c:v>
                </c:pt>
                <c:pt idx="827">
                  <c:v>131.24735336064438</c:v>
                </c:pt>
                <c:pt idx="828">
                  <c:v>131.24765734558065</c:v>
                </c:pt>
                <c:pt idx="829">
                  <c:v>131.24796132665884</c:v>
                </c:pt>
                <c:pt idx="830">
                  <c:v>131.24826530387895</c:v>
                </c:pt>
                <c:pt idx="831">
                  <c:v>131.24856927724102</c:v>
                </c:pt>
                <c:pt idx="832">
                  <c:v>131.24887324674506</c:v>
                </c:pt>
                <c:pt idx="833">
                  <c:v>131.24917721239109</c:v>
                </c:pt>
                <c:pt idx="834">
                  <c:v>131.2494811741791</c:v>
                </c:pt>
                <c:pt idx="835">
                  <c:v>131.24978513210914</c:v>
                </c:pt>
                <c:pt idx="836">
                  <c:v>131.25008908618125</c:v>
                </c:pt>
                <c:pt idx="837">
                  <c:v>131.25039303639542</c:v>
                </c:pt>
                <c:pt idx="838">
                  <c:v>131.25069698275166</c:v>
                </c:pt>
                <c:pt idx="839">
                  <c:v>131.25100092525</c:v>
                </c:pt>
                <c:pt idx="840">
                  <c:v>131.25130486389048</c:v>
                </c:pt>
                <c:pt idx="841">
                  <c:v>131.25160879867309</c:v>
                </c:pt>
                <c:pt idx="842">
                  <c:v>131.25191272959785</c:v>
                </c:pt>
                <c:pt idx="843">
                  <c:v>131.25221665666479</c:v>
                </c:pt>
                <c:pt idx="844">
                  <c:v>131.25252057987393</c:v>
                </c:pt>
                <c:pt idx="845">
                  <c:v>131.25282449922528</c:v>
                </c:pt>
                <c:pt idx="846">
                  <c:v>131.25312841471884</c:v>
                </c:pt>
                <c:pt idx="847">
                  <c:v>131.25343232635467</c:v>
                </c:pt>
                <c:pt idx="848">
                  <c:v>131.25373623413282</c:v>
                </c:pt>
                <c:pt idx="849">
                  <c:v>131.25404013805323</c:v>
                </c:pt>
                <c:pt idx="850">
                  <c:v>131.2543440381159</c:v>
                </c:pt>
                <c:pt idx="851">
                  <c:v>131.25464793432096</c:v>
                </c:pt>
                <c:pt idx="852">
                  <c:v>131.25495182666833</c:v>
                </c:pt>
                <c:pt idx="853">
                  <c:v>131.25525571515809</c:v>
                </c:pt>
                <c:pt idx="854">
                  <c:v>131.25555959979022</c:v>
                </c:pt>
                <c:pt idx="855">
                  <c:v>131.25586348056476</c:v>
                </c:pt>
                <c:pt idx="856">
                  <c:v>131.2561673574817</c:v>
                </c:pt>
                <c:pt idx="857">
                  <c:v>131.25647123054111</c:v>
                </c:pt>
                <c:pt idx="858">
                  <c:v>131.25677509974298</c:v>
                </c:pt>
                <c:pt idx="859">
                  <c:v>131.25707896508732</c:v>
                </c:pt>
                <c:pt idx="860">
                  <c:v>131.25738282657414</c:v>
                </c:pt>
                <c:pt idx="861">
                  <c:v>131.25768668420349</c:v>
                </c:pt>
                <c:pt idx="862">
                  <c:v>131.25799053797539</c:v>
                </c:pt>
                <c:pt idx="863">
                  <c:v>131.25829438788983</c:v>
                </c:pt>
                <c:pt idx="864">
                  <c:v>131.25859823394683</c:v>
                </c:pt>
                <c:pt idx="865">
                  <c:v>131.25890207614643</c:v>
                </c:pt>
                <c:pt idx="866">
                  <c:v>131.25920591448869</c:v>
                </c:pt>
                <c:pt idx="867">
                  <c:v>131.25950974897353</c:v>
                </c:pt>
                <c:pt idx="868">
                  <c:v>131.25981357960103</c:v>
                </c:pt>
                <c:pt idx="869">
                  <c:v>131.26011740637119</c:v>
                </c:pt>
                <c:pt idx="870">
                  <c:v>131.26042122928405</c:v>
                </c:pt>
                <c:pt idx="871">
                  <c:v>131.26072504833962</c:v>
                </c:pt>
                <c:pt idx="872">
                  <c:v>131.26102886353792</c:v>
                </c:pt>
                <c:pt idx="873">
                  <c:v>131.26133267487893</c:v>
                </c:pt>
                <c:pt idx="874">
                  <c:v>131.26163648236272</c:v>
                </c:pt>
                <c:pt idx="875">
                  <c:v>131.26194028598928</c:v>
                </c:pt>
                <c:pt idx="876">
                  <c:v>131.26224408575865</c:v>
                </c:pt>
                <c:pt idx="877">
                  <c:v>131.26254788167083</c:v>
                </c:pt>
                <c:pt idx="878">
                  <c:v>131.26285167372589</c:v>
                </c:pt>
                <c:pt idx="879">
                  <c:v>131.26315546192376</c:v>
                </c:pt>
                <c:pt idx="880">
                  <c:v>131.26345924626455</c:v>
                </c:pt>
                <c:pt idx="881">
                  <c:v>131.26376302674819</c:v>
                </c:pt>
                <c:pt idx="882">
                  <c:v>131.26406680337479</c:v>
                </c:pt>
                <c:pt idx="883">
                  <c:v>131.26437057614427</c:v>
                </c:pt>
                <c:pt idx="884">
                  <c:v>131.26467434505673</c:v>
                </c:pt>
                <c:pt idx="885">
                  <c:v>131.26497811011214</c:v>
                </c:pt>
                <c:pt idx="886">
                  <c:v>131.26528187131055</c:v>
                </c:pt>
                <c:pt idx="887">
                  <c:v>131.26558562865199</c:v>
                </c:pt>
                <c:pt idx="888">
                  <c:v>131.26588938213644</c:v>
                </c:pt>
                <c:pt idx="889">
                  <c:v>131.26619313176391</c:v>
                </c:pt>
                <c:pt idx="890">
                  <c:v>131.26649687753451</c:v>
                </c:pt>
                <c:pt idx="891">
                  <c:v>131.26680061944816</c:v>
                </c:pt>
                <c:pt idx="892">
                  <c:v>131.26710435750491</c:v>
                </c:pt>
                <c:pt idx="893">
                  <c:v>131.26740809170477</c:v>
                </c:pt>
                <c:pt idx="894">
                  <c:v>131.2677118220478</c:v>
                </c:pt>
                <c:pt idx="895">
                  <c:v>131.26801554853398</c:v>
                </c:pt>
                <c:pt idx="896">
                  <c:v>131.26831927116334</c:v>
                </c:pt>
                <c:pt idx="897">
                  <c:v>131.26862298993586</c:v>
                </c:pt>
                <c:pt idx="898">
                  <c:v>131.26892670485162</c:v>
                </c:pt>
                <c:pt idx="899">
                  <c:v>131.26923041591061</c:v>
                </c:pt>
                <c:pt idx="900">
                  <c:v>131.26953412311286</c:v>
                </c:pt>
                <c:pt idx="901">
                  <c:v>131.2698378264584</c:v>
                </c:pt>
                <c:pt idx="902">
                  <c:v>131.2701415259472</c:v>
                </c:pt>
                <c:pt idx="903">
                  <c:v>131.27044522157928</c:v>
                </c:pt>
                <c:pt idx="904">
                  <c:v>131.27074891335474</c:v>
                </c:pt>
                <c:pt idx="905">
                  <c:v>131.27105260127354</c:v>
                </c:pt>
                <c:pt idx="906">
                  <c:v>131.27135628533571</c:v>
                </c:pt>
                <c:pt idx="907">
                  <c:v>131.27165996554126</c:v>
                </c:pt>
                <c:pt idx="908">
                  <c:v>131.27196364189024</c:v>
                </c:pt>
                <c:pt idx="909">
                  <c:v>131.27226731438262</c:v>
                </c:pt>
                <c:pt idx="910">
                  <c:v>131.27257098301843</c:v>
                </c:pt>
                <c:pt idx="911">
                  <c:v>131.27287464779769</c:v>
                </c:pt>
                <c:pt idx="912">
                  <c:v>131.27317830872045</c:v>
                </c:pt>
                <c:pt idx="913">
                  <c:v>131.27348196578671</c:v>
                </c:pt>
                <c:pt idx="914">
                  <c:v>131.2737856189965</c:v>
                </c:pt>
                <c:pt idx="915">
                  <c:v>131.27408926834983</c:v>
                </c:pt>
                <c:pt idx="916">
                  <c:v>131.27439291384673</c:v>
                </c:pt>
                <c:pt idx="917">
                  <c:v>131.27469655548717</c:v>
                </c:pt>
                <c:pt idx="918">
                  <c:v>131.27500019327118</c:v>
                </c:pt>
                <c:pt idx="919">
                  <c:v>131.27530382719885</c:v>
                </c:pt>
                <c:pt idx="920">
                  <c:v>131.27560745727016</c:v>
                </c:pt>
                <c:pt idx="921">
                  <c:v>131.27591108348508</c:v>
                </c:pt>
                <c:pt idx="922">
                  <c:v>131.27621470584367</c:v>
                </c:pt>
                <c:pt idx="923">
                  <c:v>131.27651832434597</c:v>
                </c:pt>
                <c:pt idx="924">
                  <c:v>131.27682193899196</c:v>
                </c:pt>
                <c:pt idx="925">
                  <c:v>131.27712554978169</c:v>
                </c:pt>
                <c:pt idx="926">
                  <c:v>131.27742915671516</c:v>
                </c:pt>
                <c:pt idx="927">
                  <c:v>131.27773275979237</c:v>
                </c:pt>
                <c:pt idx="928">
                  <c:v>131.27803635901338</c:v>
                </c:pt>
                <c:pt idx="929">
                  <c:v>131.27833995437823</c:v>
                </c:pt>
                <c:pt idx="930">
                  <c:v>131.27864354588684</c:v>
                </c:pt>
                <c:pt idx="931">
                  <c:v>131.27894713353933</c:v>
                </c:pt>
                <c:pt idx="932">
                  <c:v>131.27925071733569</c:v>
                </c:pt>
                <c:pt idx="933">
                  <c:v>131.27955429727589</c:v>
                </c:pt>
                <c:pt idx="934">
                  <c:v>131.27985787336002</c:v>
                </c:pt>
                <c:pt idx="935">
                  <c:v>131.28016144558802</c:v>
                </c:pt>
                <c:pt idx="936">
                  <c:v>131.28046501396</c:v>
                </c:pt>
                <c:pt idx="937">
                  <c:v>131.28076857847594</c:v>
                </c:pt>
                <c:pt idx="938">
                  <c:v>131.28107213913583</c:v>
                </c:pt>
                <c:pt idx="939">
                  <c:v>131.28137569593972</c:v>
                </c:pt>
                <c:pt idx="940">
                  <c:v>131.2816792488876</c:v>
                </c:pt>
                <c:pt idx="941">
                  <c:v>131.28198279797951</c:v>
                </c:pt>
                <c:pt idx="942">
                  <c:v>131.2822863432155</c:v>
                </c:pt>
                <c:pt idx="943">
                  <c:v>131.28258988459552</c:v>
                </c:pt>
                <c:pt idx="944">
                  <c:v>131.28289342211966</c:v>
                </c:pt>
                <c:pt idx="945">
                  <c:v>131.28319695578787</c:v>
                </c:pt>
                <c:pt idx="946">
                  <c:v>131.28350048560023</c:v>
                </c:pt>
                <c:pt idx="947">
                  <c:v>131.28380401155673</c:v>
                </c:pt>
                <c:pt idx="948">
                  <c:v>131.28410753365736</c:v>
                </c:pt>
                <c:pt idx="949">
                  <c:v>131.28441105190217</c:v>
                </c:pt>
                <c:pt idx="950">
                  <c:v>131.2847145662912</c:v>
                </c:pt>
                <c:pt idx="951">
                  <c:v>131.28501807682443</c:v>
                </c:pt>
                <c:pt idx="952">
                  <c:v>131.28532158350194</c:v>
                </c:pt>
                <c:pt idx="953">
                  <c:v>131.28562508632368</c:v>
                </c:pt>
                <c:pt idx="954">
                  <c:v>131.2859285852897</c:v>
                </c:pt>
                <c:pt idx="955">
                  <c:v>131.2862320804</c:v>
                </c:pt>
                <c:pt idx="956">
                  <c:v>131.28653557165461</c:v>
                </c:pt>
                <c:pt idx="957">
                  <c:v>131.28683905905356</c:v>
                </c:pt>
                <c:pt idx="958">
                  <c:v>131.28714254259688</c:v>
                </c:pt>
                <c:pt idx="959">
                  <c:v>131.28744602228451</c:v>
                </c:pt>
                <c:pt idx="960">
                  <c:v>131.2877494981166</c:v>
                </c:pt>
                <c:pt idx="961">
                  <c:v>131.28805297009305</c:v>
                </c:pt>
                <c:pt idx="962">
                  <c:v>131.28835643821395</c:v>
                </c:pt>
                <c:pt idx="963">
                  <c:v>131.28865990247928</c:v>
                </c:pt>
                <c:pt idx="964">
                  <c:v>131.28896336288909</c:v>
                </c:pt>
                <c:pt idx="965">
                  <c:v>131.28926681944338</c:v>
                </c:pt>
                <c:pt idx="966">
                  <c:v>131.28957027214216</c:v>
                </c:pt>
                <c:pt idx="967">
                  <c:v>131.28987372098544</c:v>
                </c:pt>
                <c:pt idx="968">
                  <c:v>131.29017716597329</c:v>
                </c:pt>
                <c:pt idx="969">
                  <c:v>131.29048060710571</c:v>
                </c:pt>
                <c:pt idx="970">
                  <c:v>131.29078404438269</c:v>
                </c:pt>
                <c:pt idx="971">
                  <c:v>131.29108747780424</c:v>
                </c:pt>
                <c:pt idx="972">
                  <c:v>131.29139090737041</c:v>
                </c:pt>
                <c:pt idx="973">
                  <c:v>131.29169433308121</c:v>
                </c:pt>
                <c:pt idx="974">
                  <c:v>131.29199775493669</c:v>
                </c:pt>
                <c:pt idx="975">
                  <c:v>131.29230117293685</c:v>
                </c:pt>
                <c:pt idx="976">
                  <c:v>131.29260458708168</c:v>
                </c:pt>
                <c:pt idx="977">
                  <c:v>131.29290799737123</c:v>
                </c:pt>
                <c:pt idx="978">
                  <c:v>131.29321140380551</c:v>
                </c:pt>
                <c:pt idx="979">
                  <c:v>131.29351480638454</c:v>
                </c:pt>
                <c:pt idx="980">
                  <c:v>131.29381820510829</c:v>
                </c:pt>
                <c:pt idx="981">
                  <c:v>131.29412159997685</c:v>
                </c:pt>
                <c:pt idx="982">
                  <c:v>131.29442499099022</c:v>
                </c:pt>
                <c:pt idx="983">
                  <c:v>131.29472837814845</c:v>
                </c:pt>
                <c:pt idx="984">
                  <c:v>131.29503176145147</c:v>
                </c:pt>
                <c:pt idx="985">
                  <c:v>131.2953351408994</c:v>
                </c:pt>
                <c:pt idx="986">
                  <c:v>131.29563851649215</c:v>
                </c:pt>
                <c:pt idx="987">
                  <c:v>131.29594188822983</c:v>
                </c:pt>
                <c:pt idx="988">
                  <c:v>131.29624525611243</c:v>
                </c:pt>
                <c:pt idx="989">
                  <c:v>131.29654862013996</c:v>
                </c:pt>
                <c:pt idx="990">
                  <c:v>131.29685198031245</c:v>
                </c:pt>
                <c:pt idx="991">
                  <c:v>131.29715533662991</c:v>
                </c:pt>
                <c:pt idx="992">
                  <c:v>131.29745868909237</c:v>
                </c:pt>
                <c:pt idx="993">
                  <c:v>131.29776203769981</c:v>
                </c:pt>
                <c:pt idx="994">
                  <c:v>131.29806538245234</c:v>
                </c:pt>
                <c:pt idx="995">
                  <c:v>131.29836872334985</c:v>
                </c:pt>
                <c:pt idx="996">
                  <c:v>131.29867206039248</c:v>
                </c:pt>
                <c:pt idx="997">
                  <c:v>131.29897539358018</c:v>
                </c:pt>
                <c:pt idx="998">
                  <c:v>131.29927872291299</c:v>
                </c:pt>
                <c:pt idx="999">
                  <c:v>131.29958204839093</c:v>
                </c:pt>
                <c:pt idx="1000">
                  <c:v>131.29988537001401</c:v>
                </c:pt>
              </c:numCache>
            </c:numRef>
          </c:yVal>
          <c:smooth val="0"/>
          <c:extLst>
            <c:ext xmlns:c16="http://schemas.microsoft.com/office/drawing/2014/chart" uri="{C3380CC4-5D6E-409C-BE32-E72D297353CC}">
              <c16:uniqueId val="{00000000-E6DD-4552-BD91-8DCB14348A10}"/>
            </c:ext>
          </c:extLst>
        </c:ser>
        <c:dLbls>
          <c:showLegendKey val="0"/>
          <c:showVal val="0"/>
          <c:showCatName val="0"/>
          <c:showSerName val="0"/>
          <c:showPercent val="0"/>
          <c:showBubbleSize val="0"/>
        </c:dLbls>
        <c:axId val="149125760"/>
        <c:axId val="149132032"/>
      </c:scatterChart>
      <c:valAx>
        <c:axId val="149125760"/>
        <c:scaling>
          <c:orientation val="minMax"/>
        </c:scaling>
        <c:delete val="0"/>
        <c:axPos val="b"/>
        <c:majorGridlines>
          <c:spPr>
            <a:ln w="3175">
              <a:solidFill>
                <a:srgbClr val="000000"/>
              </a:solidFill>
              <a:prstDash val="sysDash"/>
            </a:ln>
          </c:spPr>
        </c:majorGridlines>
        <c:title>
          <c:tx>
            <c:strRef>
              <c:f>Courbes!$B$146</c:f>
              <c:strCache>
                <c:ptCount val="1"/>
                <c:pt idx="0">
                  <c:v>Temps [s]</c:v>
                </c:pt>
              </c:strCache>
            </c:strRef>
          </c:tx>
          <c:overlay val="0"/>
          <c:txPr>
            <a:bodyPr/>
            <a:lstStyle/>
            <a:p>
              <a:pPr>
                <a:defRPr sz="1000" b="0" i="0" u="none" strike="noStrike" baseline="0">
                  <a:solidFill>
                    <a:srgbClr val="000000"/>
                  </a:solidFill>
                  <a:latin typeface="Arial"/>
                  <a:ea typeface="Arial"/>
                  <a:cs typeface="Arial"/>
                </a:defRPr>
              </a:pPr>
              <a:endParaRPr lang="fr-FR"/>
            </a:p>
          </c:tx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fr-FR"/>
          </a:p>
        </c:txPr>
        <c:crossAx val="149132032"/>
        <c:crosses val="autoZero"/>
        <c:crossBetween val="midCat"/>
      </c:valAx>
      <c:valAx>
        <c:axId val="149132032"/>
        <c:scaling>
          <c:orientation val="minMax"/>
        </c:scaling>
        <c:delete val="0"/>
        <c:axPos val="l"/>
        <c:majorGridlines>
          <c:spPr>
            <a:ln w="3175">
              <a:solidFill>
                <a:srgbClr val="000000"/>
              </a:solidFill>
              <a:prstDash val="sysDash"/>
            </a:ln>
          </c:spPr>
        </c:majorGridlines>
        <c:title>
          <c:tx>
            <c:strRef>
              <c:f>Courbes!$B$141</c:f>
              <c:strCache>
                <c:ptCount val="1"/>
                <c:pt idx="0">
                  <c:v>Vitesse [m/s]</c:v>
                </c:pt>
              </c:strCache>
            </c:strRef>
          </c:tx>
          <c:layout>
            <c:manualLayout>
              <c:xMode val="edge"/>
              <c:yMode val="edge"/>
              <c:x val="2.5943396226415099E-2"/>
              <c:y val="0.22875870516185479"/>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fr-FR"/>
            </a:p>
          </c:tx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fr-FR"/>
          </a:p>
        </c:txPr>
        <c:crossAx val="149125760"/>
        <c:crosses val="autoZero"/>
        <c:crossBetween val="midCat"/>
      </c:valAx>
      <c:spPr>
        <a:noFill/>
        <a:ln w="12700">
          <a:solidFill>
            <a:srgbClr val="808080"/>
          </a:solidFill>
          <a:prstDash val="solid"/>
        </a:ln>
      </c:spPr>
    </c:plotArea>
    <c:legend>
      <c:legendPos val="r"/>
      <c:layout>
        <c:manualLayout>
          <c:xMode val="edge"/>
          <c:yMode val="edge"/>
          <c:x val="0.81839684544148961"/>
          <c:y val="0.46444479440069991"/>
          <c:w val="0.13207559550339221"/>
          <c:h val="7.7777777777777779E-2"/>
        </c:manualLayout>
      </c:layout>
      <c:overlay val="0"/>
      <c:spPr>
        <a:solidFill>
          <a:srgbClr val="FFFFFF"/>
        </a:solidFill>
        <a:ln w="3175">
          <a:solidFill>
            <a:srgbClr val="000000"/>
          </a:solidFill>
          <a:prstDash val="solid"/>
        </a:ln>
      </c:spPr>
      <c:txPr>
        <a:bodyPr/>
        <a:lstStyle/>
        <a:p>
          <a:pPr>
            <a:defRPr sz="970" b="0" i="0" u="none" strike="noStrike" baseline="0">
              <a:solidFill>
                <a:srgbClr val="000000"/>
              </a:solidFill>
              <a:latin typeface="Arial"/>
              <a:ea typeface="Arial"/>
              <a:cs typeface="Arial"/>
            </a:defRPr>
          </a:pPr>
          <a:endParaRPr lang="fr-FR"/>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1180555555555562" footer="0.51180555555555562"/>
    <c:pageSetup firstPageNumber="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FR"/>
              <a:t>Accélérations</a:t>
            </a:r>
          </a:p>
        </c:rich>
      </c:tx>
      <c:overlay val="1"/>
    </c:title>
    <c:autoTitleDeleted val="0"/>
    <c:plotArea>
      <c:layout>
        <c:manualLayout>
          <c:layoutTarget val="inner"/>
          <c:xMode val="edge"/>
          <c:yMode val="edge"/>
          <c:x val="9.4339622641509524E-2"/>
          <c:y val="9.4771241830065356E-2"/>
          <c:w val="0.88679245283019104"/>
          <c:h val="0.81699346405228768"/>
        </c:manualLayout>
      </c:layout>
      <c:scatterChart>
        <c:scatterStyle val="lineMarker"/>
        <c:varyColors val="0"/>
        <c:ser>
          <c:idx val="0"/>
          <c:order val="0"/>
          <c:tx>
            <c:strRef>
              <c:f>Courbes!$B$137</c:f>
              <c:strCache>
                <c:ptCount val="1"/>
                <c:pt idx="0">
                  <c:v>Accélération longitudinale</c:v>
                </c:pt>
              </c:strCache>
            </c:strRef>
          </c:tx>
          <c:spPr>
            <a:ln w="25400">
              <a:solidFill>
                <a:srgbClr val="80000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Calculs!$AG$4:$AG$1004</c:f>
              <c:numCache>
                <c:formatCode>0.00</c:formatCode>
                <c:ptCount val="1001"/>
                <c:pt idx="0">
                  <c:v>0</c:v>
                </c:pt>
                <c:pt idx="1">
                  <c:v>0</c:v>
                </c:pt>
                <c:pt idx="2">
                  <c:v>18.799048475963684</c:v>
                </c:pt>
                <c:pt idx="3">
                  <c:v>37.783671949918315</c:v>
                </c:pt>
                <c:pt idx="4">
                  <c:v>56.783581629163528</c:v>
                </c:pt>
                <c:pt idx="5">
                  <c:v>75.804076626085106</c:v>
                </c:pt>
                <c:pt idx="6">
                  <c:v>85.232370024662458</c:v>
                </c:pt>
                <c:pt idx="7">
                  <c:v>85.051397962659365</c:v>
                </c:pt>
                <c:pt idx="8">
                  <c:v>84.869648200435421</c:v>
                </c:pt>
                <c:pt idx="9">
                  <c:v>84.6871234808888</c:v>
                </c:pt>
                <c:pt idx="10">
                  <c:v>84.503826571160886</c:v>
                </c:pt>
                <c:pt idx="11">
                  <c:v>84.319760262446252</c:v>
                </c:pt>
                <c:pt idx="12">
                  <c:v>84.134927369801062</c:v>
                </c:pt>
                <c:pt idx="13">
                  <c:v>83.94933073194953</c:v>
                </c:pt>
                <c:pt idx="14">
                  <c:v>83.762973211088877</c:v>
                </c:pt>
                <c:pt idx="15">
                  <c:v>83.575857692692381</c:v>
                </c:pt>
                <c:pt idx="16">
                  <c:v>83.387987085310883</c:v>
                </c:pt>
                <c:pt idx="17">
                  <c:v>83.199364320372581</c:v>
                </c:pt>
                <c:pt idx="18">
                  <c:v>83.009992351981168</c:v>
                </c:pt>
                <c:pt idx="19">
                  <c:v>82.819874156712487</c:v>
                </c:pt>
                <c:pt idx="20">
                  <c:v>82.629012733409439</c:v>
                </c:pt>
                <c:pt idx="21">
                  <c:v>82.437411102975531</c:v>
                </c:pt>
                <c:pt idx="22">
                  <c:v>82.245072308166698</c:v>
                </c:pt>
                <c:pt idx="23">
                  <c:v>82.051999413381765</c:v>
                </c:pt>
                <c:pt idx="24">
                  <c:v>81.858195504451373</c:v>
                </c:pt>
                <c:pt idx="25">
                  <c:v>81.663663688425544</c:v>
                </c:pt>
                <c:pt idx="26">
                  <c:v>81.468407093359588</c:v>
                </c:pt>
                <c:pt idx="27">
                  <c:v>81.272428868098984</c:v>
                </c:pt>
                <c:pt idx="28">
                  <c:v>81.07573218206241</c:v>
                </c:pt>
                <c:pt idx="29">
                  <c:v>80.87832022502397</c:v>
                </c:pt>
                <c:pt idx="30">
                  <c:v>80.68019620689364</c:v>
                </c:pt>
                <c:pt idx="31">
                  <c:v>80.481363357496747</c:v>
                </c:pt>
                <c:pt idx="32">
                  <c:v>80.281824926351959</c:v>
                </c:pt>
                <c:pt idx="33">
                  <c:v>80.081584182448026</c:v>
                </c:pt>
                <c:pt idx="34">
                  <c:v>79.880644414019685</c:v>
                </c:pt>
                <c:pt idx="35">
                  <c:v>79.679008928321878</c:v>
                </c:pt>
                <c:pt idx="36">
                  <c:v>79.477756139303295</c:v>
                </c:pt>
                <c:pt idx="37">
                  <c:v>79.275805951993988</c:v>
                </c:pt>
                <c:pt idx="38">
                  <c:v>79.073147151440963</c:v>
                </c:pt>
                <c:pt idx="39">
                  <c:v>78.869784266898378</c:v>
                </c:pt>
                <c:pt idx="40">
                  <c:v>78.665721756653511</c:v>
                </c:pt>
                <c:pt idx="41">
                  <c:v>78.460964016840137</c:v>
                </c:pt>
                <c:pt idx="42">
                  <c:v>78.25551538911887</c:v>
                </c:pt>
                <c:pt idx="43">
                  <c:v>78.049380167390765</c:v>
                </c:pt>
                <c:pt idx="44">
                  <c:v>77.842562603683476</c:v>
                </c:pt>
                <c:pt idx="45">
                  <c:v>77.6350669133259</c:v>
                </c:pt>
                <c:pt idx="46">
                  <c:v>77.426897279508793</c:v>
                </c:pt>
                <c:pt idx="47">
                  <c:v>77.218057857313227</c:v>
                </c:pt>
                <c:pt idx="48">
                  <c:v>77.008552777276677</c:v>
                </c:pt>
                <c:pt idx="49">
                  <c:v>76.798386148555508</c:v>
                </c:pt>
                <c:pt idx="50">
                  <c:v>76.587562061734744</c:v>
                </c:pt>
                <c:pt idx="51">
                  <c:v>76.426661640133943</c:v>
                </c:pt>
                <c:pt idx="52">
                  <c:v>76.315762447156871</c:v>
                </c:pt>
                <c:pt idx="53">
                  <c:v>76.204319792457568</c:v>
                </c:pt>
                <c:pt idx="54">
                  <c:v>76.092335649119903</c:v>
                </c:pt>
                <c:pt idx="55">
                  <c:v>75.979811983434814</c:v>
                </c:pt>
                <c:pt idx="56">
                  <c:v>75.86675075630707</c:v>
                </c:pt>
                <c:pt idx="57">
                  <c:v>75.753153924530324</c:v>
                </c:pt>
                <c:pt idx="58">
                  <c:v>75.639023441944119</c:v>
                </c:pt>
                <c:pt idx="59">
                  <c:v>75.524361260484554</c:v>
                </c:pt>
                <c:pt idx="60">
                  <c:v>75.40916933113958</c:v>
                </c:pt>
                <c:pt idx="61">
                  <c:v>75.293449604817923</c:v>
                </c:pt>
                <c:pt idx="62">
                  <c:v>75.177204033140015</c:v>
                </c:pt>
                <c:pt idx="63">
                  <c:v>75.060434569158446</c:v>
                </c:pt>
                <c:pt idx="64">
                  <c:v>74.943143168014274</c:v>
                </c:pt>
                <c:pt idx="65">
                  <c:v>74.825331787535092</c:v>
                </c:pt>
                <c:pt idx="66">
                  <c:v>74.707002388780154</c:v>
                </c:pt>
                <c:pt idx="67">
                  <c:v>74.588156936537302</c:v>
                </c:pt>
                <c:pt idx="68">
                  <c:v>74.468797399775454</c:v>
                </c:pt>
                <c:pt idx="69">
                  <c:v>74.348925752057127</c:v>
                </c:pt>
                <c:pt idx="70">
                  <c:v>74.228543971913709</c:v>
                </c:pt>
                <c:pt idx="71">
                  <c:v>74.107654043186926</c:v>
                </c:pt>
                <c:pt idx="72">
                  <c:v>73.986257955339298</c:v>
                </c:pt>
                <c:pt idx="73">
                  <c:v>73.86435770373572</c:v>
                </c:pt>
                <c:pt idx="74">
                  <c:v>73.741955289898755</c:v>
                </c:pt>
                <c:pt idx="75">
                  <c:v>73.61905272173972</c:v>
                </c:pt>
                <c:pt idx="76">
                  <c:v>73.495652013767199</c:v>
                </c:pt>
                <c:pt idx="77">
                  <c:v>73.371755187274701</c:v>
                </c:pt>
                <c:pt idx="78">
                  <c:v>73.247364270509337</c:v>
                </c:pt>
                <c:pt idx="79">
                  <c:v>73.12248129882245</c:v>
                </c:pt>
                <c:pt idx="80">
                  <c:v>72.997108314803867</c:v>
                </c:pt>
                <c:pt idx="81">
                  <c:v>72.871247368400759</c:v>
                </c:pt>
                <c:pt idx="82">
                  <c:v>72.744900517022188</c:v>
                </c:pt>
                <c:pt idx="83">
                  <c:v>72.618069825630556</c:v>
                </c:pt>
                <c:pt idx="84">
                  <c:v>72.490757366820347</c:v>
                </c:pt>
                <c:pt idx="85">
                  <c:v>72.362965220885769</c:v>
                </c:pt>
                <c:pt idx="86">
                  <c:v>72.234695475877217</c:v>
                </c:pt>
                <c:pt idx="87">
                  <c:v>72.105950227647966</c:v>
                </c:pt>
                <c:pt idx="88">
                  <c:v>71.976731579891222</c:v>
                </c:pt>
                <c:pt idx="89">
                  <c:v>71.847041644168669</c:v>
                </c:pt>
                <c:pt idx="90">
                  <c:v>71.71688253993041</c:v>
                </c:pt>
                <c:pt idx="91">
                  <c:v>71.586256394527496</c:v>
                </c:pt>
                <c:pt idx="92">
                  <c:v>71.455165343216919</c:v>
                </c:pt>
                <c:pt idx="93">
                  <c:v>71.323611529159948</c:v>
                </c:pt>
                <c:pt idx="94">
                  <c:v>71.191597103414082</c:v>
                </c:pt>
                <c:pt idx="95">
                  <c:v>71.059124224918875</c:v>
                </c:pt>
                <c:pt idx="96">
                  <c:v>70.926195060476147</c:v>
                </c:pt>
                <c:pt idx="97">
                  <c:v>70.792811784724734</c:v>
                </c:pt>
                <c:pt idx="98">
                  <c:v>70.658976580110462</c:v>
                </c:pt>
                <c:pt idx="99">
                  <c:v>70.524691636851173</c:v>
                </c:pt>
                <c:pt idx="100">
                  <c:v>70.389959152897205</c:v>
                </c:pt>
                <c:pt idx="101">
                  <c:v>70.231480877679658</c:v>
                </c:pt>
                <c:pt idx="102">
                  <c:v>70.04923378459479</c:v>
                </c:pt>
                <c:pt idx="103">
                  <c:v>69.866515008580819</c:v>
                </c:pt>
                <c:pt idx="104">
                  <c:v>69.683327677983911</c:v>
                </c:pt>
                <c:pt idx="105">
                  <c:v>69.499674927231766</c:v>
                </c:pt>
                <c:pt idx="106">
                  <c:v>69.3155598967179</c:v>
                </c:pt>
                <c:pt idx="107">
                  <c:v>69.130985732682802</c:v>
                </c:pt>
                <c:pt idx="108">
                  <c:v>68.945955587092044</c:v>
                </c:pt>
                <c:pt idx="109">
                  <c:v>68.760472617511851</c:v>
                </c:pt>
                <c:pt idx="110">
                  <c:v>68.574539986981932</c:v>
                </c:pt>
                <c:pt idx="111">
                  <c:v>68.388160863885858</c:v>
                </c:pt>
                <c:pt idx="112">
                  <c:v>68.201338421819358</c:v>
                </c:pt>
                <c:pt idx="113">
                  <c:v>68.014075839456268</c:v>
                </c:pt>
                <c:pt idx="114">
                  <c:v>67.826376300412633</c:v>
                </c:pt>
                <c:pt idx="115">
                  <c:v>67.638242993108847</c:v>
                </c:pt>
                <c:pt idx="116">
                  <c:v>67.449679110630171</c:v>
                </c:pt>
                <c:pt idx="117">
                  <c:v>67.260687850585427</c:v>
                </c:pt>
                <c:pt idx="118">
                  <c:v>67.071272414964298</c:v>
                </c:pt>
                <c:pt idx="119">
                  <c:v>66.881436009993166</c:v>
                </c:pt>
                <c:pt idx="120">
                  <c:v>66.691181845989618</c:v>
                </c:pt>
                <c:pt idx="121">
                  <c:v>66.500513137215762</c:v>
                </c:pt>
                <c:pt idx="122">
                  <c:v>66.309433101730221</c:v>
                </c:pt>
                <c:pt idx="123">
                  <c:v>66.117944961239331</c:v>
                </c:pt>
                <c:pt idx="124">
                  <c:v>65.926051940947062</c:v>
                </c:pt>
                <c:pt idx="125">
                  <c:v>65.733757269404364</c:v>
                </c:pt>
                <c:pt idx="126">
                  <c:v>65.541064178357246</c:v>
                </c:pt>
                <c:pt idx="127">
                  <c:v>65.347975902594513</c:v>
                </c:pt>
                <c:pt idx="128">
                  <c:v>65.154495679794564</c:v>
                </c:pt>
                <c:pt idx="129">
                  <c:v>64.960626750371546</c:v>
                </c:pt>
                <c:pt idx="130">
                  <c:v>64.766372357320975</c:v>
                </c:pt>
                <c:pt idx="131">
                  <c:v>64.571735746064988</c:v>
                </c:pt>
                <c:pt idx="132">
                  <c:v>64.376720164296842</c:v>
                </c:pt>
                <c:pt idx="133">
                  <c:v>64.181328861825179</c:v>
                </c:pt>
                <c:pt idx="134">
                  <c:v>63.985565090417971</c:v>
                </c:pt>
                <c:pt idx="135">
                  <c:v>63.789432103645993</c:v>
                </c:pt>
                <c:pt idx="136">
                  <c:v>63.592933156726218</c:v>
                </c:pt>
                <c:pt idx="137">
                  <c:v>63.396071506364819</c:v>
                </c:pt>
                <c:pt idx="138">
                  <c:v>63.198850410600187</c:v>
                </c:pt>
                <c:pt idx="139">
                  <c:v>63.001273128645664</c:v>
                </c:pt>
                <c:pt idx="140">
                  <c:v>62.80334292073222</c:v>
                </c:pt>
                <c:pt idx="141">
                  <c:v>62.60506304795117</c:v>
                </c:pt>
                <c:pt idx="142">
                  <c:v>62.406436772096811</c:v>
                </c:pt>
                <c:pt idx="143">
                  <c:v>62.20746735550906</c:v>
                </c:pt>
                <c:pt idx="144">
                  <c:v>62.008158060916223</c:v>
                </c:pt>
                <c:pt idx="145">
                  <c:v>61.808512151277803</c:v>
                </c:pt>
                <c:pt idx="146">
                  <c:v>61.608532889627455</c:v>
                </c:pt>
                <c:pt idx="147">
                  <c:v>61.408223538916175</c:v>
                </c:pt>
                <c:pt idx="148">
                  <c:v>61.20758736185558</c:v>
                </c:pt>
                <c:pt idx="149">
                  <c:v>61.006627620761414</c:v>
                </c:pt>
                <c:pt idx="150">
                  <c:v>60.805347577397391</c:v>
                </c:pt>
                <c:pt idx="151">
                  <c:v>60.611670656284716</c:v>
                </c:pt>
                <c:pt idx="152">
                  <c:v>60.425605461619753</c:v>
                </c:pt>
                <c:pt idx="153">
                  <c:v>60.239234340712599</c:v>
                </c:pt>
                <c:pt idx="154">
                  <c:v>60.052560260456616</c:v>
                </c:pt>
                <c:pt idx="155">
                  <c:v>59.865586187505464</c:v>
                </c:pt>
                <c:pt idx="156">
                  <c:v>59.678315088135591</c:v>
                </c:pt>
                <c:pt idx="157">
                  <c:v>59.490749928108613</c:v>
                </c:pt>
                <c:pt idx="158">
                  <c:v>59.302893672534182</c:v>
                </c:pt>
                <c:pt idx="159">
                  <c:v>59.114749285733275</c:v>
                </c:pt>
                <c:pt idx="160">
                  <c:v>58.926319731101678</c:v>
                </c:pt>
                <c:pt idx="161">
                  <c:v>58.737607970973819</c:v>
                </c:pt>
                <c:pt idx="162">
                  <c:v>58.54861696648716</c:v>
                </c:pt>
                <c:pt idx="163">
                  <c:v>58.359349677446851</c:v>
                </c:pt>
                <c:pt idx="164">
                  <c:v>58.169809062190794</c:v>
                </c:pt>
                <c:pt idx="165">
                  <c:v>57.979998077455221</c:v>
                </c:pt>
                <c:pt idx="166">
                  <c:v>57.789919678240693</c:v>
                </c:pt>
                <c:pt idx="167">
                  <c:v>57.599576817678582</c:v>
                </c:pt>
                <c:pt idx="168">
                  <c:v>57.408972446898019</c:v>
                </c:pt>
                <c:pt idx="169">
                  <c:v>57.218109514893371</c:v>
                </c:pt>
                <c:pt idx="170">
                  <c:v>57.026990968392212</c:v>
                </c:pt>
                <c:pt idx="171">
                  <c:v>56.835619751723897</c:v>
                </c:pt>
                <c:pt idx="172">
                  <c:v>56.643998806688579</c:v>
                </c:pt>
                <c:pt idx="173">
                  <c:v>56.452131072426866</c:v>
                </c:pt>
                <c:pt idx="174">
                  <c:v>56.260019485290108</c:v>
                </c:pt>
                <c:pt idx="175">
                  <c:v>56.067666978711109</c:v>
                </c:pt>
                <c:pt idx="176">
                  <c:v>55.87507648307556</c:v>
                </c:pt>
                <c:pt idx="177">
                  <c:v>55.682250925594175</c:v>
                </c:pt>
                <c:pt idx="178">
                  <c:v>55.489193230175246</c:v>
                </c:pt>
                <c:pt idx="179">
                  <c:v>55.295906317298019</c:v>
                </c:pt>
                <c:pt idx="180">
                  <c:v>55.102393103886712</c:v>
                </c:pt>
                <c:pt idx="181">
                  <c:v>54.908656503185028</c:v>
                </c:pt>
                <c:pt idx="182">
                  <c:v>54.714699424631583</c:v>
                </c:pt>
                <c:pt idx="183">
                  <c:v>54.520524773735914</c:v>
                </c:pt>
                <c:pt idx="184">
                  <c:v>54.326135451955182</c:v>
                </c:pt>
                <c:pt idx="185">
                  <c:v>54.131534356571578</c:v>
                </c:pt>
                <c:pt idx="186">
                  <c:v>53.936724380570531</c:v>
                </c:pt>
                <c:pt idx="187">
                  <c:v>53.741708412519571</c:v>
                </c:pt>
                <c:pt idx="188">
                  <c:v>53.546489336447955</c:v>
                </c:pt>
                <c:pt idx="189">
                  <c:v>53.351070031727104</c:v>
                </c:pt>
                <c:pt idx="190">
                  <c:v>53.155453372951762</c:v>
                </c:pt>
                <c:pt idx="191">
                  <c:v>52.959642229821839</c:v>
                </c:pt>
                <c:pt idx="192">
                  <c:v>52.763639467025222</c:v>
                </c:pt>
                <c:pt idx="193">
                  <c:v>52.567447944121255</c:v>
                </c:pt>
                <c:pt idx="194">
                  <c:v>52.371070515425032</c:v>
                </c:pt>
                <c:pt idx="195">
                  <c:v>52.174510029892502</c:v>
                </c:pt>
                <c:pt idx="196">
                  <c:v>51.977769331006435</c:v>
                </c:pt>
                <c:pt idx="197">
                  <c:v>51.780851256663169</c:v>
                </c:pt>
                <c:pt idx="198">
                  <c:v>51.583758639060136</c:v>
                </c:pt>
                <c:pt idx="199">
                  <c:v>51.38649430458441</c:v>
                </c:pt>
                <c:pt idx="200">
                  <c:v>51.189061073701858</c:v>
                </c:pt>
                <c:pt idx="201">
                  <c:v>50.991461760847372</c:v>
                </c:pt>
                <c:pt idx="202">
                  <c:v>50.793699174315776</c:v>
                </c:pt>
                <c:pt idx="203">
                  <c:v>50.595776116153743</c:v>
                </c:pt>
                <c:pt idx="204">
                  <c:v>50.397695382052547</c:v>
                </c:pt>
                <c:pt idx="205">
                  <c:v>50.199459761241599</c:v>
                </c:pt>
                <c:pt idx="206">
                  <c:v>50.001072036383</c:v>
                </c:pt>
                <c:pt idx="207">
                  <c:v>49.802534983466941</c:v>
                </c:pt>
                <c:pt idx="208">
                  <c:v>49.603851371707997</c:v>
                </c:pt>
                <c:pt idx="209">
                  <c:v>49.405023963442247</c:v>
                </c:pt>
                <c:pt idx="210">
                  <c:v>49.20605551402555</c:v>
                </c:pt>
                <c:pt idx="211">
                  <c:v>49.006948771732354</c:v>
                </c:pt>
                <c:pt idx="212">
                  <c:v>48.807706477655806</c:v>
                </c:pt>
                <c:pt idx="213">
                  <c:v>48.608331365608564</c:v>
                </c:pt>
                <c:pt idx="214">
                  <c:v>48.408826162024553</c:v>
                </c:pt>
                <c:pt idx="215">
                  <c:v>48.209193585861755</c:v>
                </c:pt>
                <c:pt idx="216">
                  <c:v>48.00943634850583</c:v>
                </c:pt>
                <c:pt idx="217">
                  <c:v>47.80955715367471</c:v>
                </c:pt>
                <c:pt idx="218">
                  <c:v>47.60955869732426</c:v>
                </c:pt>
                <c:pt idx="219">
                  <c:v>47.409443667554626</c:v>
                </c:pt>
                <c:pt idx="220">
                  <c:v>47.209214744517851</c:v>
                </c:pt>
                <c:pt idx="221">
                  <c:v>47.008874600326109</c:v>
                </c:pt>
                <c:pt idx="222">
                  <c:v>46.808425898961318</c:v>
                </c:pt>
                <c:pt idx="223">
                  <c:v>46.607871296185237</c:v>
                </c:pt>
                <c:pt idx="224">
                  <c:v>46.407213439450906</c:v>
                </c:pt>
                <c:pt idx="225">
                  <c:v>46.206454967814928</c:v>
                </c:pt>
                <c:pt idx="226">
                  <c:v>46.005598511850621</c:v>
                </c:pt>
                <c:pt idx="227">
                  <c:v>45.804646693562368</c:v>
                </c:pt>
                <c:pt idx="228">
                  <c:v>45.603602126300686</c:v>
                </c:pt>
                <c:pt idx="229">
                  <c:v>45.402467414678455</c:v>
                </c:pt>
                <c:pt idx="230">
                  <c:v>45.201245154488127</c:v>
                </c:pt>
                <c:pt idx="231">
                  <c:v>44.999937932619765</c:v>
                </c:pt>
                <c:pt idx="232">
                  <c:v>44.798548326980267</c:v>
                </c:pt>
                <c:pt idx="233">
                  <c:v>44.597078906413422</c:v>
                </c:pt>
                <c:pt idx="234">
                  <c:v>44.395532230620987</c:v>
                </c:pt>
                <c:pt idx="235">
                  <c:v>44.193910850084876</c:v>
                </c:pt>
                <c:pt idx="236">
                  <c:v>43.99221730599011</c:v>
                </c:pt>
                <c:pt idx="237">
                  <c:v>43.790454130148973</c:v>
                </c:pt>
                <c:pt idx="238">
                  <c:v>43.588623844926055</c:v>
                </c:pt>
                <c:pt idx="239">
                  <c:v>43.386728963164309</c:v>
                </c:pt>
                <c:pt idx="240">
                  <c:v>43.184771988112118</c:v>
                </c:pt>
                <c:pt idx="241">
                  <c:v>42.982755413351256</c:v>
                </c:pt>
                <c:pt idx="242">
                  <c:v>42.780681722726108</c:v>
                </c:pt>
                <c:pt idx="243">
                  <c:v>42.578553390273505</c:v>
                </c:pt>
                <c:pt idx="244">
                  <c:v>42.376372880153852</c:v>
                </c:pt>
                <c:pt idx="245">
                  <c:v>42.174142646583206</c:v>
                </c:pt>
                <c:pt idx="246">
                  <c:v>41.97186513376618</c:v>
                </c:pt>
                <c:pt idx="247">
                  <c:v>41.769542775830054</c:v>
                </c:pt>
                <c:pt idx="248">
                  <c:v>41.567177996759725</c:v>
                </c:pt>
                <c:pt idx="249">
                  <c:v>41.364773210333787</c:v>
                </c:pt>
                <c:pt idx="250">
                  <c:v>41.162330820061428</c:v>
                </c:pt>
                <c:pt idx="251">
                  <c:v>40.925769023685966</c:v>
                </c:pt>
                <c:pt idx="252">
                  <c:v>40.655091553917345</c:v>
                </c:pt>
                <c:pt idx="253">
                  <c:v>40.384407409164901</c:v>
                </c:pt>
                <c:pt idx="254">
                  <c:v>40.113719969853015</c:v>
                </c:pt>
                <c:pt idx="255">
                  <c:v>39.843032597518217</c:v>
                </c:pt>
                <c:pt idx="256">
                  <c:v>39.572348634726502</c:v>
                </c:pt>
                <c:pt idx="257">
                  <c:v>39.301671404992675</c:v>
                </c:pt>
                <c:pt idx="258">
                  <c:v>39.031004212701447</c:v>
                </c:pt>
                <c:pt idx="259">
                  <c:v>38.760350343030538</c:v>
                </c:pt>
                <c:pt idx="260">
                  <c:v>38.489713061875619</c:v>
                </c:pt>
                <c:pt idx="261">
                  <c:v>38.219095615777178</c:v>
                </c:pt>
                <c:pt idx="262">
                  <c:v>37.948501231849242</c:v>
                </c:pt>
                <c:pt idx="263">
                  <c:v>37.677933117709856</c:v>
                </c:pt>
                <c:pt idx="264">
                  <c:v>37.407394461413716</c:v>
                </c:pt>
                <c:pt idx="265">
                  <c:v>37.136888431386289</c:v>
                </c:pt>
                <c:pt idx="266">
                  <c:v>36.866418176360106</c:v>
                </c:pt>
                <c:pt idx="267">
                  <c:v>36.59598682531265</c:v>
                </c:pt>
                <c:pt idx="268">
                  <c:v>36.325597487406242</c:v>
                </c:pt>
                <c:pt idx="269">
                  <c:v>36.055253251929663</c:v>
                </c:pt>
                <c:pt idx="270">
                  <c:v>35.784957188241627</c:v>
                </c:pt>
                <c:pt idx="271">
                  <c:v>35.514712345716021</c:v>
                </c:pt>
                <c:pt idx="272">
                  <c:v>35.244521753689028</c:v>
                </c:pt>
                <c:pt idx="273">
                  <c:v>34.974388421407966</c:v>
                </c:pt>
                <c:pt idx="274">
                  <c:v>34.704315337981889</c:v>
                </c:pt>
                <c:pt idx="275">
                  <c:v>34.43430547233406</c:v>
                </c:pt>
                <c:pt idx="276">
                  <c:v>34.164361773156116</c:v>
                </c:pt>
                <c:pt idx="277">
                  <c:v>33.894487168863989</c:v>
                </c:pt>
                <c:pt idx="278">
                  <c:v>33.624684567555548</c:v>
                </c:pt>
                <c:pt idx="279">
                  <c:v>33.354956856970084</c:v>
                </c:pt>
                <c:pt idx="280">
                  <c:v>33.085306904449396</c:v>
                </c:pt>
                <c:pt idx="281">
                  <c:v>32.815737556900643</c:v>
                </c:pt>
                <c:pt idx="282">
                  <c:v>32.546251640760943</c:v>
                </c:pt>
                <c:pt idx="283">
                  <c:v>32.276851961963544</c:v>
                </c:pt>
                <c:pt idx="284">
                  <c:v>32.007541305905846</c:v>
                </c:pt>
                <c:pt idx="285">
                  <c:v>31.738322437418947</c:v>
                </c:pt>
                <c:pt idx="286">
                  <c:v>31.469198100738947</c:v>
                </c:pt>
                <c:pt idx="287">
                  <c:v>31.200171019479853</c:v>
                </c:pt>
                <c:pt idx="288">
                  <c:v>30.931243896608159</c:v>
                </c:pt>
                <c:pt idx="289">
                  <c:v>30.66241941441902</c:v>
                </c:pt>
                <c:pt idx="290">
                  <c:v>30.393700234514125</c:v>
                </c:pt>
                <c:pt idx="291">
                  <c:v>30.125088997781027</c:v>
                </c:pt>
                <c:pt idx="292">
                  <c:v>29.856588324374243</c:v>
                </c:pt>
                <c:pt idx="293">
                  <c:v>29.588200813697831</c:v>
                </c:pt>
                <c:pt idx="294">
                  <c:v>29.319929044389546</c:v>
                </c:pt>
                <c:pt idx="295">
                  <c:v>29.051775574306639</c:v>
                </c:pt>
                <c:pt idx="296">
                  <c:v>28.783742940513054</c:v>
                </c:pt>
                <c:pt idx="297">
                  <c:v>28.515833659268381</c:v>
                </c:pt>
                <c:pt idx="298">
                  <c:v>27.87439026885469</c:v>
                </c:pt>
                <c:pt idx="299">
                  <c:v>26.859567966911083</c:v>
                </c:pt>
                <c:pt idx="300">
                  <c:v>25.845374659087355</c:v>
                </c:pt>
                <c:pt idx="301">
                  <c:v>24.831830477011597</c:v>
                </c:pt>
                <c:pt idx="302">
                  <c:v>23.818955282301346</c:v>
                </c:pt>
                <c:pt idx="303">
                  <c:v>22.806768666274451</c:v>
                </c:pt>
                <c:pt idx="304">
                  <c:v>21.795289949706053</c:v>
                </c:pt>
                <c:pt idx="305">
                  <c:v>20.78453818263144</c:v>
                </c:pt>
                <c:pt idx="306">
                  <c:v>19.774532144194072</c:v>
                </c:pt>
                <c:pt idx="307">
                  <c:v>18.765290342538201</c:v>
                </c:pt>
                <c:pt idx="308">
                  <c:v>17.756831014745508</c:v>
                </c:pt>
                <c:pt idx="309">
                  <c:v>16.749172126815303</c:v>
                </c:pt>
                <c:pt idx="310">
                  <c:v>15.742331373687522</c:v>
                </c:pt>
                <c:pt idx="311">
                  <c:v>14.736326179308065</c:v>
                </c:pt>
                <c:pt idx="312">
                  <c:v>13.73117369673588</c:v>
                </c:pt>
                <c:pt idx="313">
                  <c:v>12.726890808291</c:v>
                </c:pt>
                <c:pt idx="314">
                  <c:v>11.723494125743278</c:v>
                </c:pt>
                <c:pt idx="315">
                  <c:v>10.720999990540896</c:v>
                </c:pt>
                <c:pt idx="316">
                  <c:v>9.7194244740781599</c:v>
                </c:pt>
                <c:pt idx="317">
                  <c:v>8.7187833780020103</c:v>
                </c:pt>
                <c:pt idx="318">
                  <c:v>7.7190922345565411</c:v>
                </c:pt>
                <c:pt idx="319">
                  <c:v>6.7203663069649995</c:v>
                </c:pt>
                <c:pt idx="320">
                  <c:v>5.7226205898485389</c:v>
                </c:pt>
                <c:pt idx="321">
                  <c:v>4.8744028439045675</c:v>
                </c:pt>
                <c:pt idx="322">
                  <c:v>4.1755933776189131</c:v>
                </c:pt>
                <c:pt idx="323">
                  <c:v>3.4774968413157392</c:v>
                </c:pt>
                <c:pt idx="324">
                  <c:v>2.7801199680625768</c:v>
                </c:pt>
                <c:pt idx="325">
                  <c:v>2.0834693600056955</c:v>
                </c:pt>
                <c:pt idx="326">
                  <c:v>1.3875514887740028</c:v>
                </c:pt>
                <c:pt idx="327">
                  <c:v>0.69237269589376638</c:v>
                </c:pt>
                <c:pt idx="328">
                  <c:v>-2.0608067862379897E-3</c:v>
                </c:pt>
                <c:pt idx="329">
                  <c:v>-0.69574293665917786</c:v>
                </c:pt>
                <c:pt idx="330">
                  <c:v>-1.3886677399146699</c:v>
                </c:pt>
                <c:pt idx="331">
                  <c:v>-2.0808293910833635</c:v>
                </c:pt>
                <c:pt idx="332">
                  <c:v>-2.7722221925719071</c:v>
                </c:pt>
                <c:pt idx="333">
                  <c:v>-3.4628405741885793</c:v>
                </c:pt>
                <c:pt idx="334">
                  <c:v>-4.1526790926596329</c:v>
                </c:pt>
                <c:pt idx="335">
                  <c:v>-4.8417324311368031</c:v>
                </c:pt>
                <c:pt idx="336">
                  <c:v>-5.5299953986959958</c:v>
                </c:pt>
                <c:pt idx="337">
                  <c:v>-6.2174629298274535</c:v>
                </c:pt>
                <c:pt idx="338">
                  <c:v>-6.9041300839176776</c:v>
                </c:pt>
                <c:pt idx="339">
                  <c:v>-7.5899920447231626</c:v>
                </c:pt>
                <c:pt idx="340">
                  <c:v>-8.2750441198363873</c:v>
                </c:pt>
                <c:pt idx="341">
                  <c:v>-8.959281740144025</c:v>
                </c:pt>
                <c:pt idx="342">
                  <c:v>-9.6427004592777639</c:v>
                </c:pt>
                <c:pt idx="343">
                  <c:v>-10.32529595305788</c:v>
                </c:pt>
                <c:pt idx="344">
                  <c:v>-11.007064018929807</c:v>
                </c:pt>
                <c:pt idx="345">
                  <c:v>-11.688000575393829</c:v>
                </c:pt>
                <c:pt idx="346">
                  <c:v>-12.368101661428213</c:v>
                </c:pt>
                <c:pt idx="347">
                  <c:v>-13.04736343590595</c:v>
                </c:pt>
                <c:pt idx="348">
                  <c:v>-13.709768184555401</c:v>
                </c:pt>
                <c:pt idx="349">
                  <c:v>-14.355332458038978</c:v>
                </c:pt>
                <c:pt idx="350">
                  <c:v>-15.00008830831233</c:v>
                </c:pt>
                <c:pt idx="351">
                  <c:v>-15.644032827207447</c:v>
                </c:pt>
                <c:pt idx="352">
                  <c:v>-16.287163212150951</c:v>
                </c:pt>
                <c:pt idx="353">
                  <c:v>-16.929476765597251</c:v>
                </c:pt>
                <c:pt idx="354">
                  <c:v>-17.570970894457638</c:v>
                </c:pt>
                <c:pt idx="355">
                  <c:v>-18.211643109525422</c:v>
                </c:pt>
                <c:pt idx="356">
                  <c:v>-18.851491024897399</c:v>
                </c:pt>
                <c:pt idx="357">
                  <c:v>-19.490512357391744</c:v>
                </c:pt>
                <c:pt idx="358">
                  <c:v>-20.128704925962438</c:v>
                </c:pt>
                <c:pt idx="359">
                  <c:v>-20.766066651110538</c:v>
                </c:pt>
                <c:pt idx="360">
                  <c:v>-21.069560446522658</c:v>
                </c:pt>
                <c:pt idx="361">
                  <c:v>-21.039645017770237</c:v>
                </c:pt>
                <c:pt idx="362">
                  <c:v>-21.009813319939642</c:v>
                </c:pt>
                <c:pt idx="363">
                  <c:v>-20.980065039496246</c:v>
                </c:pt>
                <c:pt idx="364">
                  <c:v>-20.950399864363686</c:v>
                </c:pt>
                <c:pt idx="365">
                  <c:v>-20.920817483915592</c:v>
                </c:pt>
                <c:pt idx="366">
                  <c:v>-20.891317588967318</c:v>
                </c:pt>
                <c:pt idx="367">
                  <c:v>-20.861899871767751</c:v>
                </c:pt>
                <c:pt idx="368">
                  <c:v>-20.832564025991172</c:v>
                </c:pt>
                <c:pt idx="369">
                  <c:v>-20.803309746729166</c:v>
                </c:pt>
                <c:pt idx="370">
                  <c:v>-20.774136730482596</c:v>
                </c:pt>
                <c:pt idx="371">
                  <c:v>-20.745044675153601</c:v>
                </c:pt>
                <c:pt idx="372">
                  <c:v>-20.716033280037685</c:v>
                </c:pt>
                <c:pt idx="373">
                  <c:v>-20.687102245815826</c:v>
                </c:pt>
                <c:pt idx="374">
                  <c:v>-20.658251274546654</c:v>
                </c:pt>
                <c:pt idx="375">
                  <c:v>-20.629480069658669</c:v>
                </c:pt>
                <c:pt idx="376">
                  <c:v>-20.600788335942532</c:v>
                </c:pt>
                <c:pt idx="377">
                  <c:v>-20.572175779543372</c:v>
                </c:pt>
                <c:pt idx="378">
                  <c:v>-20.543642107953158</c:v>
                </c:pt>
                <c:pt idx="379">
                  <c:v>-20.515187030003126</c:v>
                </c:pt>
                <c:pt idx="380">
                  <c:v>-20.486810255856295</c:v>
                </c:pt>
                <c:pt idx="381">
                  <c:v>-20.458511496999904</c:v>
                </c:pt>
                <c:pt idx="382">
                  <c:v>-20.430290466238045</c:v>
                </c:pt>
                <c:pt idx="383">
                  <c:v>-20.40214687768427</c:v>
                </c:pt>
                <c:pt idx="384">
                  <c:v>-20.374080446754242</c:v>
                </c:pt>
                <c:pt idx="385">
                  <c:v>-20.346090890158468</c:v>
                </c:pt>
                <c:pt idx="386">
                  <c:v>-20.318177925895036</c:v>
                </c:pt>
                <c:pt idx="387">
                  <c:v>-20.29034127324244</c:v>
                </c:pt>
                <c:pt idx="388">
                  <c:v>-20.262580652752433</c:v>
                </c:pt>
                <c:pt idx="389">
                  <c:v>-20.234895786242888</c:v>
                </c:pt>
                <c:pt idx="390">
                  <c:v>-20.207286396790799</c:v>
                </c:pt>
                <c:pt idx="391">
                  <c:v>-20.179752208725255</c:v>
                </c:pt>
                <c:pt idx="392">
                  <c:v>-20.152292947620424</c:v>
                </c:pt>
                <c:pt idx="393">
                  <c:v>-20.124908340288705</c:v>
                </c:pt>
                <c:pt idx="394">
                  <c:v>-20.097598114773803</c:v>
                </c:pt>
                <c:pt idx="395">
                  <c:v>-20.070362000343913</c:v>
                </c:pt>
                <c:pt idx="396">
                  <c:v>-20.043199727484918</c:v>
                </c:pt>
                <c:pt idx="397">
                  <c:v>-20.016111027893658</c:v>
                </c:pt>
                <c:pt idx="398">
                  <c:v>-19.989095634471227</c:v>
                </c:pt>
                <c:pt idx="399">
                  <c:v>-19.96215328131629</c:v>
                </c:pt>
                <c:pt idx="400">
                  <c:v>-19.93528370371849</c:v>
                </c:pt>
                <c:pt idx="401">
                  <c:v>-19.90848663815186</c:v>
                </c:pt>
                <c:pt idx="402">
                  <c:v>-19.642994427254784</c:v>
                </c:pt>
                <c:pt idx="403">
                  <c:v>-19.384567565311613</c:v>
                </c:pt>
                <c:pt idx="404">
                  <c:v>-19.132955310486881</c:v>
                </c:pt>
                <c:pt idx="405">
                  <c:v>-18.887917793659291</c:v>
                </c:pt>
                <c:pt idx="406">
                  <c:v>-18.649225438149621</c:v>
                </c:pt>
                <c:pt idx="407">
                  <c:v>-18.41665841450164</c:v>
                </c:pt>
                <c:pt idx="408">
                  <c:v>-18.190006127854872</c:v>
                </c:pt>
                <c:pt idx="409">
                  <c:v>-17.969066735637384</c:v>
                </c:pt>
                <c:pt idx="410">
                  <c:v>-17.753646693480409</c:v>
                </c:pt>
                <c:pt idx="411">
                  <c:v>-17.543560327414752</c:v>
                </c:pt>
                <c:pt idx="412">
                  <c:v>-17.338629430554022</c:v>
                </c:pt>
                <c:pt idx="413">
                  <c:v>-17.138682882602353</c:v>
                </c:pt>
                <c:pt idx="414">
                  <c:v>-16.943556290645823</c:v>
                </c:pt>
                <c:pt idx="415">
                  <c:v>-16.753091649798144</c:v>
                </c:pt>
                <c:pt idx="416">
                  <c:v>-16.567137022373423</c:v>
                </c:pt>
                <c:pt idx="417">
                  <c:v>-16.385546234352304</c:v>
                </c:pt>
                <c:pt idx="418">
                  <c:v>-16.208178587994063</c:v>
                </c:pt>
                <c:pt idx="419">
                  <c:v>-16.034898589525881</c:v>
                </c:pt>
                <c:pt idx="420">
                  <c:v>-15.865575690913269</c:v>
                </c:pt>
                <c:pt idx="421">
                  <c:v>-15.700084044781999</c:v>
                </c:pt>
                <c:pt idx="422">
                  <c:v>-15.538302271623252</c:v>
                </c:pt>
                <c:pt idx="423">
                  <c:v>-15.380113238469665</c:v>
                </c:pt>
                <c:pt idx="424">
                  <c:v>-15.225403848281712</c:v>
                </c:pt>
                <c:pt idx="425">
                  <c:v>-15.074064839331136</c:v>
                </c:pt>
                <c:pt idx="426">
                  <c:v>-14.92599059391163</c:v>
                </c:pt>
                <c:pt idx="427">
                  <c:v>-14.781078955746807</c:v>
                </c:pt>
                <c:pt idx="428">
                  <c:v>-14.639231055501995</c:v>
                </c:pt>
                <c:pt idx="429">
                  <c:v>-14.500351143839907</c:v>
                </c:pt>
                <c:pt idx="430">
                  <c:v>-14.36434643149054</c:v>
                </c:pt>
                <c:pt idx="431">
                  <c:v>-14.231126935833746</c:v>
                </c:pt>
                <c:pt idx="432">
                  <c:v>-14.100605333518008</c:v>
                </c:pt>
                <c:pt idx="433">
                  <c:v>-13.972696818662026</c:v>
                </c:pt>
                <c:pt idx="434">
                  <c:v>-13.84731896620643</c:v>
                </c:pt>
                <c:pt idx="435">
                  <c:v>-13.72439160000145</c:v>
                </c:pt>
                <c:pt idx="436">
                  <c:v>-13.603836665233207</c:v>
                </c:pt>
                <c:pt idx="437">
                  <c:v>-13.485578104805841</c:v>
                </c:pt>
                <c:pt idx="438">
                  <c:v>-13.369541739309691</c:v>
                </c:pt>
                <c:pt idx="439">
                  <c:v>-13.255655150217002</c:v>
                </c:pt>
                <c:pt idx="440">
                  <c:v>-13.143847565956033</c:v>
                </c:pt>
                <c:pt idx="441">
                  <c:v>-13.034049750522424</c:v>
                </c:pt>
                <c:pt idx="442">
                  <c:v>-12.926193894292906</c:v>
                </c:pt>
                <c:pt idx="443">
                  <c:v>-12.820213506711289</c:v>
                </c:pt>
                <c:pt idx="444">
                  <c:v>-12.716043310519805</c:v>
                </c:pt>
                <c:pt idx="445">
                  <c:v>-12.613619137210609</c:v>
                </c:pt>
                <c:pt idx="446">
                  <c:v>-12.512877823372541</c:v>
                </c:pt>
                <c:pt idx="447">
                  <c:v>-12.413757107606777</c:v>
                </c:pt>
                <c:pt idx="448">
                  <c:v>-12.316195527682403</c:v>
                </c:pt>
                <c:pt idx="449">
                  <c:v>-12.220132317598463</c:v>
                </c:pt>
                <c:pt idx="450">
                  <c:v>-12.125507304213231</c:v>
                </c:pt>
                <c:pt idx="451">
                  <c:v>-12.032260803094063</c:v>
                </c:pt>
                <c:pt idx="452">
                  <c:v>-11.940333513232106</c:v>
                </c:pt>
                <c:pt idx="453">
                  <c:v>-11.849666410255621</c:v>
                </c:pt>
                <c:pt idx="454">
                  <c:v>-11.760200637763337</c:v>
                </c:pt>
                <c:pt idx="455">
                  <c:v>-11.671877396385405</c:v>
                </c:pt>
                <c:pt idx="456">
                  <c:v>-11.584637830163906</c:v>
                </c:pt>
                <c:pt idx="457">
                  <c:v>-11.498422909827466</c:v>
                </c:pt>
                <c:pt idx="458">
                  <c:v>-11.413173312515699</c:v>
                </c:pt>
                <c:pt idx="459">
                  <c:v>-11.328829297488216</c:v>
                </c:pt>
                <c:pt idx="460">
                  <c:v>-11.245330577330702</c:v>
                </c:pt>
                <c:pt idx="461">
                  <c:v>-11.16261618414639</c:v>
                </c:pt>
                <c:pt idx="462">
                  <c:v>-11.080624330195587</c:v>
                </c:pt>
                <c:pt idx="463">
                  <c:v>-10.99929226241885</c:v>
                </c:pt>
                <c:pt idx="464">
                  <c:v>-10.918556110251</c:v>
                </c:pt>
                <c:pt idx="465">
                  <c:v>-10.838350726103624</c:v>
                </c:pt>
                <c:pt idx="466">
                  <c:v>-10.758609517863562</c:v>
                </c:pt>
                <c:pt idx="467">
                  <c:v>-10.679264272724243</c:v>
                </c:pt>
                <c:pt idx="468">
                  <c:v>-10.600244971636402</c:v>
                </c:pt>
                <c:pt idx="469">
                  <c:v>-10.521479593635071</c:v>
                </c:pt>
                <c:pt idx="470">
                  <c:v>-10.442893909271945</c:v>
                </c:pt>
                <c:pt idx="471">
                  <c:v>-10.364411262357239</c:v>
                </c:pt>
                <c:pt idx="472">
                  <c:v>-10.285952339194079</c:v>
                </c:pt>
                <c:pt idx="473">
                  <c:v>-10.207434924473535</c:v>
                </c:pt>
                <c:pt idx="474">
                  <c:v>-10.12877364299106</c:v>
                </c:pt>
                <c:pt idx="475">
                  <c:v>-10.04987968634828</c:v>
                </c:pt>
                <c:pt idx="476">
                  <c:v>-9.9706605238207295</c:v>
                </c:pt>
                <c:pt idx="477">
                  <c:v>-9.8910195966059504</c:v>
                </c:pt>
                <c:pt idx="478">
                  <c:v>-9.8108559947221217</c:v>
                </c:pt>
                <c:pt idx="479">
                  <c:v>-9.7300641159100483</c:v>
                </c:pt>
                <c:pt idx="480">
                  <c:v>-9.6485333060082841</c:v>
                </c:pt>
                <c:pt idx="481">
                  <c:v>-9.566147480429267</c:v>
                </c:pt>
                <c:pt idx="482">
                  <c:v>-9.4827847265737724</c:v>
                </c:pt>
                <c:pt idx="483">
                  <c:v>-9.3983168872922178</c:v>
                </c:pt>
                <c:pt idx="484">
                  <c:v>-9.312609125847704</c:v>
                </c:pt>
                <c:pt idx="485">
                  <c:v>-9.2255194732721453</c:v>
                </c:pt>
                <c:pt idx="486">
                  <c:v>-9.1368983595512798</c:v>
                </c:pt>
                <c:pt idx="487">
                  <c:v>-9.0465881307470717</c:v>
                </c:pt>
                <c:pt idx="488">
                  <c:v>-8.9544225549905185</c:v>
                </c:pt>
                <c:pt idx="489">
                  <c:v>-8.8602263212805035</c:v>
                </c:pt>
                <c:pt idx="490">
                  <c:v>-8.7638145362350546</c:v>
                </c:pt>
                <c:pt idx="491">
                  <c:v>-8.6649922253926341</c:v>
                </c:pt>
                <c:pt idx="492">
                  <c:v>-8.5635538473887589</c:v>
                </c:pt>
                <c:pt idx="493">
                  <c:v>-8.4592828313747983</c:v>
                </c:pt>
                <c:pt idx="494">
                  <c:v>-8.3519511504396142</c:v>
                </c:pt>
                <c:pt idx="495">
                  <c:v>-8.2413189465789412</c:v>
                </c:pt>
                <c:pt idx="496">
                  <c:v>-8.1271342259656016</c:v>
                </c:pt>
                <c:pt idx="497">
                  <c:v>-8.0091326469335264</c:v>
                </c:pt>
                <c:pt idx="498">
                  <c:v>-7.8870374272142172</c:v>
                </c:pt>
                <c:pt idx="499">
                  <c:v>-7.7605594015520039</c:v>
                </c:pt>
                <c:pt idx="500">
                  <c:v>-7.6293972658419023</c:v>
                </c:pt>
                <c:pt idx="501">
                  <c:v>-7.4932380493105919</c:v>
                </c:pt>
                <c:pt idx="502">
                  <c:v>-7.3517578618741304</c:v>
                </c:pt>
                <c:pt idx="503">
                  <c:v>-7.2046229694646531</c:v>
                </c:pt>
                <c:pt idx="504">
                  <c:v>-7.0514912555454821</c:v>
                </c:pt>
                <c:pt idx="505">
                  <c:v>-6.892014131847171</c:v>
                </c:pt>
                <c:pt idx="506">
                  <c:v>-6.7258389650481867</c:v>
                </c:pt>
                <c:pt idx="507">
                  <c:v>-6.5526120880433956</c:v>
                </c:pt>
                <c:pt idx="508">
                  <c:v>-6.3719824637878304</c:v>
                </c:pt>
                <c:pt idx="509">
                  <c:v>-6.1836060655159644</c:v>
                </c:pt>
                <c:pt idx="510">
                  <c:v>-5.9871510283251173</c:v>
                </c:pt>
                <c:pt idx="511">
                  <c:v>-5.7823036124895175</c:v>
                </c:pt>
                <c:pt idx="512">
                  <c:v>-5.5687749972361384</c:v>
                </c:pt>
                <c:pt idx="513">
                  <c:v>-5.3463088939637586</c:v>
                </c:pt>
                <c:pt idx="514">
                  <c:v>-5.114689929191325</c:v>
                </c:pt>
                <c:pt idx="515">
                  <c:v>-4.8737526995357578</c:v>
                </c:pt>
                <c:pt idx="516">
                  <c:v>-4.6233913441427177</c:v>
                </c:pt>
                <c:pt idx="517">
                  <c:v>-4.3635694156528615</c:v>
                </c:pt>
                <c:pt idx="518">
                  <c:v>-4.0943297616988659</c:v>
                </c:pt>
                <c:pt idx="519">
                  <c:v>-3.815804059303844</c:v>
                </c:pt>
                <c:pt idx="520">
                  <c:v>-3.5282215801490038</c:v>
                </c:pt>
                <c:pt idx="521">
                  <c:v>-3.2319167126529167</c:v>
                </c:pt>
                <c:pt idx="522">
                  <c:v>-2.9273347352675922</c:v>
                </c:pt>
                <c:pt idx="523">
                  <c:v>-2.6150353326476705</c:v>
                </c:pt>
                <c:pt idx="524">
                  <c:v>-2.2956933797950683</c:v>
                </c:pt>
                <c:pt idx="525">
                  <c:v>-1.9700965941279698</c:v>
                </c:pt>
                <c:pt idx="526">
                  <c:v>-1.6391397733189907</c:v>
                </c:pt>
                <c:pt idx="527">
                  <c:v>-1.30381549463391</c:v>
                </c:pt>
                <c:pt idx="528">
                  <c:v>-0.96520134096511945</c:v>
                </c:pt>
                <c:pt idx="529">
                  <c:v>-0.6244439261413971</c:v>
                </c:pt>
                <c:pt idx="530">
                  <c:v>-0.28274019956986673</c:v>
                </c:pt>
                <c:pt idx="531">
                  <c:v>5.8683302237348689E-2</c:v>
                </c:pt>
                <c:pt idx="532">
                  <c:v>0.39859244183681891</c:v>
                </c:pt>
                <c:pt idx="533">
                  <c:v>0.73576779746172927</c:v>
                </c:pt>
                <c:pt idx="534">
                  <c:v>1.0690263774956219</c:v>
                </c:pt>
                <c:pt idx="535">
                  <c:v>1.3972418444717913</c:v>
                </c:pt>
                <c:pt idx="536">
                  <c:v>1.7193624689446199</c:v>
                </c:pt>
                <c:pt idx="537">
                  <c:v>2.0344261944283963</c:v>
                </c:pt>
                <c:pt idx="538">
                  <c:v>2.3415723900703709</c:v>
                </c:pt>
                <c:pt idx="539">
                  <c:v>2.6400500777293479</c:v>
                </c:pt>
                <c:pt idx="540">
                  <c:v>2.9292226249003526</c:v>
                </c:pt>
                <c:pt idx="541">
                  <c:v>3.2085690775144218</c:v>
                </c:pt>
                <c:pt idx="542">
                  <c:v>3.4776824546757314</c:v>
                </c:pt>
                <c:pt idx="543">
                  <c:v>3.7362654338792058</c:v>
                </c:pt>
                <c:pt idx="544">
                  <c:v>3.9841239184621409</c:v>
                </c:pt>
                <c:pt idx="545">
                  <c:v>4.2211590017309319</c:v>
                </c:pt>
                <c:pt idx="546">
                  <c:v>4.4473578303449894</c:v>
                </c:pt>
                <c:pt idx="547">
                  <c:v>4.6627838309630425</c:v>
                </c:pt>
                <c:pt idx="548">
                  <c:v>4.8675667072730135</c:v>
                </c:pt>
                <c:pt idx="549">
                  <c:v>5.061892547314903</c:v>
                </c:pt>
                <c:pt idx="550">
                  <c:v>5.2459943103303956</c:v>
                </c:pt>
                <c:pt idx="551">
                  <c:v>5.4201428936188458</c:v>
                </c:pt>
                <c:pt idx="552">
                  <c:v>5.5846389168641508</c:v>
                </c:pt>
                <c:pt idx="553">
                  <c:v>5.739805306476069</c:v>
                </c:pt>
                <c:pt idx="554">
                  <c:v>5.885980716780427</c:v>
                </c:pt>
                <c:pt idx="555">
                  <c:v>6.0235137885554977</c:v>
                </c:pt>
                <c:pt idx="556">
                  <c:v>6.1527582179280298</c:v>
                </c:pt>
                <c:pt idx="557">
                  <c:v>6.2740685890689658</c:v>
                </c:pt>
                <c:pt idx="558">
                  <c:v>6.3877969113024928</c:v>
                </c:pt>
                <c:pt idx="559">
                  <c:v>6.4942897939363844</c:v>
                </c:pt>
                <c:pt idx="560">
                  <c:v>6.5938861891537286</c:v>
                </c:pt>
                <c:pt idx="561">
                  <c:v>6.6869156336044435</c:v>
                </c:pt>
                <c:pt idx="562">
                  <c:v>6.7736969219737162</c:v>
                </c:pt>
                <c:pt idx="563">
                  <c:v>6.8545371500153278</c:v>
                </c:pt>
                <c:pt idx="564">
                  <c:v>6.9297310697063725</c:v>
                </c:pt>
                <c:pt idx="565">
                  <c:v>6.9995607048311479</c:v>
                </c:pt>
                <c:pt idx="566">
                  <c:v>7.0642951810832706</c:v>
                </c:pt>
                <c:pt idx="567">
                  <c:v>7.1241907304341909</c:v>
                </c:pt>
                <c:pt idx="568">
                  <c:v>7.179490834883695</c:v>
                </c:pt>
                <c:pt idx="569">
                  <c:v>7.2304264796777229</c:v>
                </c:pt>
                <c:pt idx="570">
                  <c:v>7.2772164905933474</c:v>
                </c:pt>
                <c:pt idx="571">
                  <c:v>7.3200679339286445</c:v>
                </c:pt>
                <c:pt idx="572">
                  <c:v>7.3591765613993996</c:v>
                </c:pt>
                <c:pt idx="573">
                  <c:v>7.3947272852557155</c:v>
                </c:pt>
                <c:pt idx="574">
                  <c:v>7.426894671620321</c:v>
                </c:pt>
                <c:pt idx="575">
                  <c:v>7.4558434423533919</c:v>
                </c:pt>
                <c:pt idx="576">
                  <c:v>7.481728977705604</c:v>
                </c:pt>
                <c:pt idx="577">
                  <c:v>7.5046978136708313</c:v>
                </c:pt>
                <c:pt idx="578">
                  <c:v>7.5248881293308445</c:v>
                </c:pt>
                <c:pt idx="579">
                  <c:v>7.5424302206316973</c:v>
                </c:pt>
                <c:pt idx="580">
                  <c:v>7.5574469579779304</c:v>
                </c:pt>
                <c:pt idx="581">
                  <c:v>7.570054225805432</c:v>
                </c:pt>
                <c:pt idx="582">
                  <c:v>7.5803613429229202</c:v>
                </c:pt>
                <c:pt idx="583">
                  <c:v>7.5884714629181591</c:v>
                </c:pt>
                <c:pt idx="584">
                  <c:v>7.5944819543283231</c:v>
                </c:pt>
                <c:pt idx="585">
                  <c:v>7.5984847605911998</c:v>
                </c:pt>
                <c:pt idx="586">
                  <c:v>7.6005667400403398</c:v>
                </c:pt>
                <c:pt idx="587">
                  <c:v>7.6008099863946352</c:v>
                </c:pt>
                <c:pt idx="588">
                  <c:v>7.5992921303325733</c:v>
                </c:pt>
                <c:pt idx="589">
                  <c:v>7.5960866228417068</c:v>
                </c:pt>
                <c:pt idx="590">
                  <c:v>7.591263001102746</c:v>
                </c:pt>
                <c:pt idx="591">
                  <c:v>7.5848871377110845</c:v>
                </c:pt>
                <c:pt idx="592">
                  <c:v>7.5770214740617954</c:v>
                </c:pt>
                <c:pt idx="593">
                  <c:v>7.567725238731482</c:v>
                </c:pt>
                <c:pt idx="594">
                  <c:v>7.5570546516852772</c:v>
                </c:pt>
                <c:pt idx="595">
                  <c:v>7.5450631151228853</c:v>
                </c:pt>
                <c:pt idx="596">
                  <c:v>7.5318013917558275</c:v>
                </c:pt>
                <c:pt idx="597">
                  <c:v>7.517317771281478</c:v>
                </c:pt>
                <c:pt idx="598">
                  <c:v>7.5016582257888489</c:v>
                </c:pt>
                <c:pt idx="599">
                  <c:v>7.4848665547985052</c:v>
                </c:pt>
                <c:pt idx="600">
                  <c:v>7.4669845206046377</c:v>
                </c:pt>
                <c:pt idx="601">
                  <c:v>7.4480519745526195</c:v>
                </c:pt>
                <c:pt idx="602">
                  <c:v>7.4281069748504427</c:v>
                </c:pt>
                <c:pt idx="603">
                  <c:v>7.407185896478099</c:v>
                </c:pt>
                <c:pt idx="604">
                  <c:v>7.3853235337253036</c:v>
                </c:pt>
                <c:pt idx="605">
                  <c:v>7.3625531958554911</c:v>
                </c:pt>
                <c:pt idx="606">
                  <c:v>7.3389067963625454</c:v>
                </c:pt>
                <c:pt idx="607">
                  <c:v>7.3144149362569744</c:v>
                </c:pt>
                <c:pt idx="608">
                  <c:v>7.2891069817894518</c:v>
                </c:pt>
                <c:pt idx="609">
                  <c:v>7.2630111369928754</c:v>
                </c:pt>
                <c:pt idx="610">
                  <c:v>7.2361545113982855</c:v>
                </c:pt>
                <c:pt idx="611">
                  <c:v>7.2085631832559978</c:v>
                </c:pt>
                <c:pt idx="612">
                  <c:v>7.1802622585707079</c:v>
                </c:pt>
                <c:pt idx="613">
                  <c:v>7.1512759262379184</c:v>
                </c:pt>
                <c:pt idx="614">
                  <c:v>7.1216275095492909</c:v>
                </c:pt>
                <c:pt idx="615">
                  <c:v>7.0913395143158269</c:v>
                </c:pt>
                <c:pt idx="616">
                  <c:v>7.0604336738404525</c:v>
                </c:pt>
                <c:pt idx="617">
                  <c:v>7.028930990955347</c:v>
                </c:pt>
                <c:pt idx="618">
                  <c:v>6.9968517773242649</c:v>
                </c:pt>
                <c:pt idx="619">
                  <c:v>6.9642156901961076</c:v>
                </c:pt>
                <c:pt idx="620">
                  <c:v>6.9310417667827675</c:v>
                </c:pt>
                <c:pt idx="621">
                  <c:v>6.8973484564223178</c:v>
                </c:pt>
                <c:pt idx="622">
                  <c:v>6.8631536506771518</c:v>
                </c:pt>
                <c:pt idx="623">
                  <c:v>6.8284747115062192</c:v>
                </c:pt>
                <c:pt idx="624">
                  <c:v>6.7933284976408599</c:v>
                </c:pt>
                <c:pt idx="625">
                  <c:v>6.7577313892845412</c:v>
                </c:pt>
                <c:pt idx="626">
                  <c:v>6.7216993112484911</c:v>
                </c:pt>
                <c:pt idx="627">
                  <c:v>6.6852477546273992</c:v>
                </c:pt>
                <c:pt idx="628">
                  <c:v>6.6483917971121542</c:v>
                </c:pt>
                <c:pt idx="629">
                  <c:v>6.6111461220298144</c:v>
                </c:pt>
                <c:pt idx="630">
                  <c:v>6.5735250361948241</c:v>
                </c:pt>
                <c:pt idx="631">
                  <c:v>6.5355424866497041</c:v>
                </c:pt>
                <c:pt idx="632">
                  <c:v>6.497212076368049</c:v>
                </c:pt>
                <c:pt idx="633">
                  <c:v>6.4585470789877348</c:v>
                </c:pt>
                <c:pt idx="634">
                  <c:v>6.4195604526375787</c:v>
                </c:pt>
                <c:pt idx="635">
                  <c:v>6.3802648529163699</c:v>
                </c:pt>
                <c:pt idx="636">
                  <c:v>6.3406726450793407</c:v>
                </c:pt>
                <c:pt idx="637">
                  <c:v>6.3007959154832616</c:v>
                </c:pt>
                <c:pt idx="638">
                  <c:v>6.2606464823380534</c:v>
                </c:pt>
                <c:pt idx="639">
                  <c:v>6.2202359058095187</c:v>
                </c:pt>
                <c:pt idx="640">
                  <c:v>6.1795754975149322</c:v>
                </c:pt>
                <c:pt idx="641">
                  <c:v>6.1386763294503304</c:v>
                </c:pt>
                <c:pt idx="642">
                  <c:v>6.0975492423858864</c:v>
                </c:pt>
                <c:pt idx="643">
                  <c:v>6.0562048537633499</c:v>
                </c:pt>
                <c:pt idx="644">
                  <c:v>6.0146535651272437</c:v>
                </c:pt>
                <c:pt idx="645">
                  <c:v>5.9729055691195292</c:v>
                </c:pt>
                <c:pt idx="646">
                  <c:v>5.9309708560654819</c:v>
                </c:pt>
                <c:pt idx="647">
                  <c:v>5.8888592201767125</c:v>
                </c:pt>
                <c:pt idx="648">
                  <c:v>5.8465802653956507</c:v>
                </c:pt>
                <c:pt idx="649">
                  <c:v>5.8041434109041994</c:v>
                </c:pt>
                <c:pt idx="650">
                  <c:v>5.7615578963178287</c:v>
                </c:pt>
                <c:pt idx="651">
                  <c:v>5.7188327865850983</c:v>
                </c:pt>
                <c:pt idx="652">
                  <c:v>5.6759769766111665</c:v>
                </c:pt>
                <c:pt idx="653">
                  <c:v>5.6329991956228822</c:v>
                </c:pt>
                <c:pt idx="654">
                  <c:v>5.5899080112917696</c:v>
                </c:pt>
                <c:pt idx="655">
                  <c:v>5.5467118336302965</c:v>
                </c:pt>
                <c:pt idx="656">
                  <c:v>5.5034189186758251</c:v>
                </c:pt>
                <c:pt idx="657">
                  <c:v>5.4600373719757496</c:v>
                </c:pt>
                <c:pt idx="658">
                  <c:v>5.4165751518864633</c:v>
                </c:pt>
                <c:pt idx="659">
                  <c:v>5.3730400726980827</c:v>
                </c:pt>
                <c:pt idx="660">
                  <c:v>5.3294398075960157</c:v>
                </c:pt>
                <c:pt idx="661">
                  <c:v>5.2857818914698926</c:v>
                </c:pt>
                <c:pt idx="662">
                  <c:v>5.2420737235796331</c:v>
                </c:pt>
                <c:pt idx="663">
                  <c:v>5.1983225700878988</c:v>
                </c:pt>
                <c:pt idx="664">
                  <c:v>5.1545355664675565</c:v>
                </c:pt>
                <c:pt idx="665">
                  <c:v>5.1107197197922973</c:v>
                </c:pt>
                <c:pt idx="666">
                  <c:v>5.0668819109180161</c:v>
                </c:pt>
                <c:pt idx="667">
                  <c:v>5.0230288965621313</c:v>
                </c:pt>
                <c:pt idx="668">
                  <c:v>4.9791673112875747</c:v>
                </c:pt>
                <c:pt idx="669">
                  <c:v>4.9353036693977455</c:v>
                </c:pt>
                <c:pt idx="670">
                  <c:v>4.8914443667483756</c:v>
                </c:pt>
                <c:pt idx="671">
                  <c:v>4.8475956824818738</c:v>
                </c:pt>
                <c:pt idx="672">
                  <c:v>4.8037637806893931</c:v>
                </c:pt>
                <c:pt idx="673">
                  <c:v>4.7599547120055057</c:v>
                </c:pt>
                <c:pt idx="674">
                  <c:v>4.7161744151401228</c:v>
                </c:pt>
                <c:pt idx="675">
                  <c:v>4.6724287183519797</c:v>
                </c:pt>
                <c:pt idx="676">
                  <c:v>4.6287233408677482</c:v>
                </c:pt>
                <c:pt idx="677">
                  <c:v>4.5850638942506228</c:v>
                </c:pt>
                <c:pt idx="678">
                  <c:v>4.5414558837218957</c:v>
                </c:pt>
                <c:pt idx="679">
                  <c:v>4.4979047094389699</c:v>
                </c:pt>
                <c:pt idx="680">
                  <c:v>4.4544156677328735</c:v>
                </c:pt>
                <c:pt idx="681">
                  <c:v>4.4109939523083082</c:v>
                </c:pt>
                <c:pt idx="682">
                  <c:v>4.3676446554089283</c:v>
                </c:pt>
                <c:pt idx="683">
                  <c:v>4.3243727689505489</c:v>
                </c:pt>
                <c:pt idx="684">
                  <c:v>4.2811831856245774</c:v>
                </c:pt>
                <c:pt idx="685">
                  <c:v>4.2380806999740832</c:v>
                </c:pt>
                <c:pt idx="686">
                  <c:v>4.1950700094445583</c:v>
                </c:pt>
                <c:pt idx="687">
                  <c:v>4.1521557154113804</c:v>
                </c:pt>
                <c:pt idx="688">
                  <c:v>4.1093423241858469</c:v>
                </c:pt>
                <c:pt idx="689">
                  <c:v>4.0666342480015354</c:v>
                </c:pt>
                <c:pt idx="690">
                  <c:v>4.0240358059825851</c:v>
                </c:pt>
                <c:pt idx="691">
                  <c:v>3.9815512250954539</c:v>
                </c:pt>
                <c:pt idx="692">
                  <c:v>3.9391846410855509</c:v>
                </c:pt>
                <c:pt idx="693">
                  <c:v>3.8969400994000427</c:v>
                </c:pt>
                <c:pt idx="694">
                  <c:v>3.8548215560981021</c:v>
                </c:pt>
                <c:pt idx="695">
                  <c:v>3.812832878749699</c:v>
                </c:pt>
                <c:pt idx="696">
                  <c:v>3.7709778473240236</c:v>
                </c:pt>
                <c:pt idx="697">
                  <c:v>3.729260155068495</c:v>
                </c:pt>
                <c:pt idx="698">
                  <c:v>3.6876834093793072</c:v>
                </c:pt>
                <c:pt idx="699">
                  <c:v>3.6462511326642923</c:v>
                </c:pt>
                <c:pt idx="700">
                  <c:v>3.6049667631989237</c:v>
                </c:pt>
                <c:pt idx="701">
                  <c:v>3.5638336559761923</c:v>
                </c:pt>
                <c:pt idx="702">
                  <c:v>3.5228550835509003</c:v>
                </c:pt>
                <c:pt idx="703">
                  <c:v>3.4820342368791577</c:v>
                </c:pt>
                <c:pt idx="704">
                  <c:v>3.4413742261534646</c:v>
                </c:pt>
                <c:pt idx="705">
                  <c:v>3.4008780816339677</c:v>
                </c:pt>
                <c:pt idx="706">
                  <c:v>3.3605487544763584</c:v>
                </c:pt>
                <c:pt idx="707">
                  <c:v>3.3203891175567515</c:v>
                </c:pt>
                <c:pt idx="708">
                  <c:v>3.2804019662940318</c:v>
                </c:pt>
                <c:pt idx="709">
                  <c:v>3.240590019469888</c:v>
                </c:pt>
                <c:pt idx="710">
                  <c:v>3.200955920046944</c:v>
                </c:pt>
                <c:pt idx="711">
                  <c:v>3.1615022359851483</c:v>
                </c:pt>
                <c:pt idx="712">
                  <c:v>3.1222314610567885</c:v>
                </c:pt>
                <c:pt idx="713">
                  <c:v>3.0831460156601764</c:v>
                </c:pt>
                <c:pt idx="714">
                  <c:v>3.0442482476323169</c:v>
                </c:pt>
                <c:pt idx="715">
                  <c:v>3.0442096452573377</c:v>
                </c:pt>
                <c:pt idx="716">
                  <c:v>3.0441710430709215</c:v>
                </c:pt>
                <c:pt idx="717">
                  <c:v>3.044132441073077</c:v>
                </c:pt>
                <c:pt idx="718">
                  <c:v>3.0440938392637893</c:v>
                </c:pt>
                <c:pt idx="719">
                  <c:v>3.0440552376430752</c:v>
                </c:pt>
                <c:pt idx="720">
                  <c:v>3.0440166362109293</c:v>
                </c:pt>
                <c:pt idx="721">
                  <c:v>3.0439780349673597</c:v>
                </c:pt>
                <c:pt idx="722">
                  <c:v>3.0439394339123664</c:v>
                </c:pt>
                <c:pt idx="723">
                  <c:v>3.0439008330459476</c:v>
                </c:pt>
                <c:pt idx="724">
                  <c:v>3.0438622323681113</c:v>
                </c:pt>
                <c:pt idx="725">
                  <c:v>3.0438236318788547</c:v>
                </c:pt>
                <c:pt idx="726">
                  <c:v>3.0437850315781851</c:v>
                </c:pt>
                <c:pt idx="727">
                  <c:v>3.0437464314661016</c:v>
                </c:pt>
                <c:pt idx="728">
                  <c:v>3.0437078315426094</c:v>
                </c:pt>
                <c:pt idx="729">
                  <c:v>3.0436692318077041</c:v>
                </c:pt>
                <c:pt idx="730">
                  <c:v>3.0436306322613946</c:v>
                </c:pt>
                <c:pt idx="731">
                  <c:v>3.043592032903681</c:v>
                </c:pt>
                <c:pt idx="732">
                  <c:v>3.0435534337345684</c:v>
                </c:pt>
                <c:pt idx="733">
                  <c:v>3.0435148347540428</c:v>
                </c:pt>
                <c:pt idx="734">
                  <c:v>3.0434762359621281</c:v>
                </c:pt>
                <c:pt idx="735">
                  <c:v>3.0434376373588199</c:v>
                </c:pt>
                <c:pt idx="736">
                  <c:v>3.0433990389441119</c:v>
                </c:pt>
                <c:pt idx="737">
                  <c:v>3.0433604407180148</c:v>
                </c:pt>
                <c:pt idx="738">
                  <c:v>3.0433218426805304</c:v>
                </c:pt>
                <c:pt idx="739">
                  <c:v>3.0432832448316578</c:v>
                </c:pt>
                <c:pt idx="740">
                  <c:v>3.0432446471714005</c:v>
                </c:pt>
                <c:pt idx="741">
                  <c:v>3.0432060496997613</c:v>
                </c:pt>
                <c:pt idx="742">
                  <c:v>3.0431674524167383</c:v>
                </c:pt>
                <c:pt idx="743">
                  <c:v>3.0431288553223421</c:v>
                </c:pt>
                <c:pt idx="744">
                  <c:v>3.0430902584165676</c:v>
                </c:pt>
                <c:pt idx="745">
                  <c:v>3.0430516616994172</c:v>
                </c:pt>
                <c:pt idx="746">
                  <c:v>3.0430130651708991</c:v>
                </c:pt>
                <c:pt idx="747">
                  <c:v>3.042974468831007</c:v>
                </c:pt>
                <c:pt idx="748">
                  <c:v>3.0429358726797506</c:v>
                </c:pt>
                <c:pt idx="749">
                  <c:v>3.0428972767171292</c:v>
                </c:pt>
                <c:pt idx="750">
                  <c:v>3.0428586809431426</c:v>
                </c:pt>
                <c:pt idx="751">
                  <c:v>3.0428200853577998</c:v>
                </c:pt>
                <c:pt idx="752">
                  <c:v>3.0427814899610954</c:v>
                </c:pt>
                <c:pt idx="753">
                  <c:v>3.0427428947530375</c:v>
                </c:pt>
                <c:pt idx="754">
                  <c:v>3.0427042997336242</c:v>
                </c:pt>
                <c:pt idx="755">
                  <c:v>3.0426657049028574</c:v>
                </c:pt>
                <c:pt idx="756">
                  <c:v>3.0426271102607387</c:v>
                </c:pt>
                <c:pt idx="757">
                  <c:v>3.0425885158072754</c:v>
                </c:pt>
                <c:pt idx="758">
                  <c:v>3.0425499215424692</c:v>
                </c:pt>
                <c:pt idx="759">
                  <c:v>3.0425113274663182</c:v>
                </c:pt>
                <c:pt idx="760">
                  <c:v>3.0424727335788235</c:v>
                </c:pt>
                <c:pt idx="761">
                  <c:v>3.0424341398799939</c:v>
                </c:pt>
                <c:pt idx="762">
                  <c:v>3.0423955463698285</c:v>
                </c:pt>
                <c:pt idx="763">
                  <c:v>3.0423569530483263</c:v>
                </c:pt>
                <c:pt idx="764">
                  <c:v>3.0423183599154937</c:v>
                </c:pt>
                <c:pt idx="765">
                  <c:v>3.0422797669713306</c:v>
                </c:pt>
                <c:pt idx="766">
                  <c:v>3.042241174215838</c:v>
                </c:pt>
                <c:pt idx="767">
                  <c:v>3.0422025816490192</c:v>
                </c:pt>
                <c:pt idx="768">
                  <c:v>3.0421639892708789</c:v>
                </c:pt>
                <c:pt idx="769">
                  <c:v>3.0421253970814224</c:v>
                </c:pt>
                <c:pt idx="770">
                  <c:v>3.0420868050806371</c:v>
                </c:pt>
                <c:pt idx="771">
                  <c:v>3.0420482132685418</c:v>
                </c:pt>
                <c:pt idx="772">
                  <c:v>3.0420096216451267</c:v>
                </c:pt>
                <c:pt idx="773">
                  <c:v>3.041971030210405</c:v>
                </c:pt>
                <c:pt idx="774">
                  <c:v>3.0419324389643707</c:v>
                </c:pt>
                <c:pt idx="775">
                  <c:v>3.0418938479070263</c:v>
                </c:pt>
                <c:pt idx="776">
                  <c:v>3.0418552570383843</c:v>
                </c:pt>
                <c:pt idx="777">
                  <c:v>3.0418166663584305</c:v>
                </c:pt>
                <c:pt idx="778">
                  <c:v>3.0417780758671737</c:v>
                </c:pt>
                <c:pt idx="779">
                  <c:v>3.041739485564622</c:v>
                </c:pt>
                <c:pt idx="780">
                  <c:v>3.04170089545077</c:v>
                </c:pt>
                <c:pt idx="781">
                  <c:v>3.0416623055256293</c:v>
                </c:pt>
                <c:pt idx="782">
                  <c:v>3.041623715789191</c:v>
                </c:pt>
                <c:pt idx="783">
                  <c:v>3.0415851262414639</c:v>
                </c:pt>
                <c:pt idx="784">
                  <c:v>3.0415465368824455</c:v>
                </c:pt>
                <c:pt idx="785">
                  <c:v>3.0415079477121409</c:v>
                </c:pt>
                <c:pt idx="786">
                  <c:v>3.0414693587305521</c:v>
                </c:pt>
                <c:pt idx="787">
                  <c:v>3.0414307699376879</c:v>
                </c:pt>
                <c:pt idx="788">
                  <c:v>3.0413921813335394</c:v>
                </c:pt>
                <c:pt idx="789">
                  <c:v>3.0413535929181155</c:v>
                </c:pt>
                <c:pt idx="790">
                  <c:v>3.041315004691417</c:v>
                </c:pt>
                <c:pt idx="791">
                  <c:v>3.0412764166534441</c:v>
                </c:pt>
                <c:pt idx="792">
                  <c:v>3.0412378288041957</c:v>
                </c:pt>
                <c:pt idx="793">
                  <c:v>3.0411992411436826</c:v>
                </c:pt>
                <c:pt idx="794">
                  <c:v>3.0411606536719091</c:v>
                </c:pt>
                <c:pt idx="795">
                  <c:v>3.041122066388863</c:v>
                </c:pt>
                <c:pt idx="796">
                  <c:v>3.0410834792945547</c:v>
                </c:pt>
                <c:pt idx="797">
                  <c:v>3.0410448923889932</c:v>
                </c:pt>
                <c:pt idx="798">
                  <c:v>3.0410063056721715</c:v>
                </c:pt>
                <c:pt idx="799">
                  <c:v>3.0409677191440903</c:v>
                </c:pt>
                <c:pt idx="800">
                  <c:v>3.0409291328047621</c:v>
                </c:pt>
                <c:pt idx="801">
                  <c:v>3.0408905466541842</c:v>
                </c:pt>
                <c:pt idx="802">
                  <c:v>3.0408519606923514</c:v>
                </c:pt>
                <c:pt idx="803">
                  <c:v>3.0408133749192743</c:v>
                </c:pt>
                <c:pt idx="804">
                  <c:v>3.040774789334951</c:v>
                </c:pt>
                <c:pt idx="805">
                  <c:v>3.0407362039393915</c:v>
                </c:pt>
                <c:pt idx="806">
                  <c:v>3.040697618732584</c:v>
                </c:pt>
                <c:pt idx="807">
                  <c:v>3.0406590337145412</c:v>
                </c:pt>
                <c:pt idx="808">
                  <c:v>3.0406204488852611</c:v>
                </c:pt>
                <c:pt idx="809">
                  <c:v>3.0405818642447517</c:v>
                </c:pt>
                <c:pt idx="810">
                  <c:v>3.0405432797930114</c:v>
                </c:pt>
                <c:pt idx="811">
                  <c:v>3.0405046955300374</c:v>
                </c:pt>
                <c:pt idx="812">
                  <c:v>3.0404661114558404</c:v>
                </c:pt>
                <c:pt idx="813">
                  <c:v>3.0404275275704169</c:v>
                </c:pt>
                <c:pt idx="814">
                  <c:v>3.0403889438737721</c:v>
                </c:pt>
                <c:pt idx="815">
                  <c:v>3.0403503603659061</c:v>
                </c:pt>
                <c:pt idx="816">
                  <c:v>3.0403117770468215</c:v>
                </c:pt>
                <c:pt idx="817">
                  <c:v>3.0402731939165228</c:v>
                </c:pt>
                <c:pt idx="818">
                  <c:v>3.0402346109750109</c:v>
                </c:pt>
                <c:pt idx="819">
                  <c:v>3.040196028222284</c:v>
                </c:pt>
                <c:pt idx="820">
                  <c:v>3.04015744565835</c:v>
                </c:pt>
                <c:pt idx="821">
                  <c:v>3.0401188632832064</c:v>
                </c:pt>
                <c:pt idx="822">
                  <c:v>3.0400802810968575</c:v>
                </c:pt>
                <c:pt idx="823">
                  <c:v>3.0400416990993104</c:v>
                </c:pt>
                <c:pt idx="824">
                  <c:v>3.0400031172905591</c:v>
                </c:pt>
                <c:pt idx="825">
                  <c:v>3.0399645356706104</c:v>
                </c:pt>
                <c:pt idx="826">
                  <c:v>3.0399259542394645</c:v>
                </c:pt>
                <c:pt idx="827">
                  <c:v>3.0398873729971259</c:v>
                </c:pt>
                <c:pt idx="828">
                  <c:v>3.0398487919435935</c:v>
                </c:pt>
                <c:pt idx="829">
                  <c:v>3.0398102110788727</c:v>
                </c:pt>
                <c:pt idx="830">
                  <c:v>3.0397716304029627</c:v>
                </c:pt>
                <c:pt idx="831">
                  <c:v>3.0397330499158688</c:v>
                </c:pt>
                <c:pt idx="832">
                  <c:v>3.0396944696175936</c:v>
                </c:pt>
                <c:pt idx="833">
                  <c:v>3.0396558895081354</c:v>
                </c:pt>
                <c:pt idx="834">
                  <c:v>3.0396173095874959</c:v>
                </c:pt>
                <c:pt idx="835">
                  <c:v>3.039578729855684</c:v>
                </c:pt>
                <c:pt idx="836">
                  <c:v>3.039540150312698</c:v>
                </c:pt>
                <c:pt idx="837">
                  <c:v>3.0395015709585378</c:v>
                </c:pt>
                <c:pt idx="838">
                  <c:v>3.0394629917932061</c:v>
                </c:pt>
                <c:pt idx="839">
                  <c:v>3.0394244128167109</c:v>
                </c:pt>
                <c:pt idx="840">
                  <c:v>3.0393858340290478</c:v>
                </c:pt>
                <c:pt idx="841">
                  <c:v>3.0393472554302194</c:v>
                </c:pt>
                <c:pt idx="842">
                  <c:v>3.0393086770202302</c:v>
                </c:pt>
                <c:pt idx="843">
                  <c:v>3.0392700987990864</c:v>
                </c:pt>
                <c:pt idx="844">
                  <c:v>3.0392315207667817</c:v>
                </c:pt>
                <c:pt idx="845">
                  <c:v>3.0391929429233242</c:v>
                </c:pt>
                <c:pt idx="846">
                  <c:v>3.0391543652687103</c:v>
                </c:pt>
                <c:pt idx="847">
                  <c:v>3.0391157878029551</c:v>
                </c:pt>
                <c:pt idx="848">
                  <c:v>3.039077210526048</c:v>
                </c:pt>
                <c:pt idx="849">
                  <c:v>3.0390386334379862</c:v>
                </c:pt>
                <c:pt idx="850">
                  <c:v>3.0390000565387858</c:v>
                </c:pt>
                <c:pt idx="851">
                  <c:v>3.0389614798284494</c:v>
                </c:pt>
                <c:pt idx="852">
                  <c:v>3.0389229033069647</c:v>
                </c:pt>
                <c:pt idx="853">
                  <c:v>3.0388843269743484</c:v>
                </c:pt>
                <c:pt idx="854">
                  <c:v>3.0388457508305997</c:v>
                </c:pt>
                <c:pt idx="855">
                  <c:v>3.0388071748757151</c:v>
                </c:pt>
                <c:pt idx="856">
                  <c:v>3.0387685991096998</c:v>
                </c:pt>
                <c:pt idx="857">
                  <c:v>3.0387300235325547</c:v>
                </c:pt>
                <c:pt idx="858">
                  <c:v>3.0386914481442826</c:v>
                </c:pt>
                <c:pt idx="859">
                  <c:v>3.0386528729448905</c:v>
                </c:pt>
                <c:pt idx="860">
                  <c:v>3.0386142979343749</c:v>
                </c:pt>
                <c:pt idx="861">
                  <c:v>3.0385757231127393</c:v>
                </c:pt>
                <c:pt idx="862">
                  <c:v>3.0385371484799881</c:v>
                </c:pt>
                <c:pt idx="863">
                  <c:v>3.0384985740361197</c:v>
                </c:pt>
                <c:pt idx="864">
                  <c:v>3.0384599997811366</c:v>
                </c:pt>
                <c:pt idx="865">
                  <c:v>3.0384214257150441</c:v>
                </c:pt>
                <c:pt idx="866">
                  <c:v>3.0383828518378451</c:v>
                </c:pt>
                <c:pt idx="867">
                  <c:v>3.038344278149534</c:v>
                </c:pt>
                <c:pt idx="868">
                  <c:v>3.0383057046501225</c:v>
                </c:pt>
                <c:pt idx="869">
                  <c:v>3.0382671313396088</c:v>
                </c:pt>
                <c:pt idx="870">
                  <c:v>3.0382285582179938</c:v>
                </c:pt>
                <c:pt idx="871">
                  <c:v>3.0381899852852836</c:v>
                </c:pt>
                <c:pt idx="872">
                  <c:v>3.038151412541473</c:v>
                </c:pt>
                <c:pt idx="873">
                  <c:v>3.0381128399865718</c:v>
                </c:pt>
                <c:pt idx="874">
                  <c:v>3.0380742676205799</c:v>
                </c:pt>
                <c:pt idx="875">
                  <c:v>3.0380356954434991</c:v>
                </c:pt>
                <c:pt idx="876">
                  <c:v>3.0379971234553338</c:v>
                </c:pt>
                <c:pt idx="877">
                  <c:v>3.0379585516560805</c:v>
                </c:pt>
                <c:pt idx="878">
                  <c:v>3.0379199800457499</c:v>
                </c:pt>
                <c:pt idx="879">
                  <c:v>3.037881408624326</c:v>
                </c:pt>
                <c:pt idx="880">
                  <c:v>3.0378428373918371</c:v>
                </c:pt>
                <c:pt idx="881">
                  <c:v>3.0378042663482621</c:v>
                </c:pt>
                <c:pt idx="882">
                  <c:v>3.0377656954936194</c:v>
                </c:pt>
                <c:pt idx="883">
                  <c:v>3.0377271248279047</c:v>
                </c:pt>
                <c:pt idx="884">
                  <c:v>3.0376885543511207</c:v>
                </c:pt>
                <c:pt idx="885">
                  <c:v>3.0376499840632691</c:v>
                </c:pt>
                <c:pt idx="886">
                  <c:v>3.0376114139643544</c:v>
                </c:pt>
                <c:pt idx="887">
                  <c:v>3.0375728440543748</c:v>
                </c:pt>
                <c:pt idx="888">
                  <c:v>3.037534274333332</c:v>
                </c:pt>
                <c:pt idx="889">
                  <c:v>3.0374957048012332</c:v>
                </c:pt>
                <c:pt idx="890">
                  <c:v>3.0374571354580828</c:v>
                </c:pt>
                <c:pt idx="891">
                  <c:v>3.0374185663038684</c:v>
                </c:pt>
                <c:pt idx="892">
                  <c:v>3.037379997338606</c:v>
                </c:pt>
                <c:pt idx="893">
                  <c:v>3.0373414285622964</c:v>
                </c:pt>
                <c:pt idx="894">
                  <c:v>3.0373028599749397</c:v>
                </c:pt>
                <c:pt idx="895">
                  <c:v>3.0372642915765322</c:v>
                </c:pt>
                <c:pt idx="896">
                  <c:v>3.0372257233670839</c:v>
                </c:pt>
                <c:pt idx="897">
                  <c:v>3.0371871553465937</c:v>
                </c:pt>
                <c:pt idx="898">
                  <c:v>3.0371485875150706</c:v>
                </c:pt>
                <c:pt idx="899">
                  <c:v>3.0371100198725065</c:v>
                </c:pt>
                <c:pt idx="900">
                  <c:v>3.0370714524189104</c:v>
                </c:pt>
                <c:pt idx="901">
                  <c:v>3.0370328851542796</c:v>
                </c:pt>
                <c:pt idx="902">
                  <c:v>3.0369943180786176</c:v>
                </c:pt>
                <c:pt idx="903">
                  <c:v>3.0369557511919307</c:v>
                </c:pt>
                <c:pt idx="904">
                  <c:v>3.0369171844942233</c:v>
                </c:pt>
                <c:pt idx="905">
                  <c:v>3.0368786179854821</c:v>
                </c:pt>
                <c:pt idx="906">
                  <c:v>3.0368400516657239</c:v>
                </c:pt>
                <c:pt idx="907">
                  <c:v>3.0368014855349461</c:v>
                </c:pt>
                <c:pt idx="908">
                  <c:v>3.0367629195931505</c:v>
                </c:pt>
                <c:pt idx="909">
                  <c:v>3.0367243538403397</c:v>
                </c:pt>
                <c:pt idx="910">
                  <c:v>3.0366857882765173</c:v>
                </c:pt>
                <c:pt idx="911">
                  <c:v>3.0366472229016868</c:v>
                </c:pt>
                <c:pt idx="912">
                  <c:v>3.0366086577158491</c:v>
                </c:pt>
                <c:pt idx="913">
                  <c:v>3.0365700927190034</c:v>
                </c:pt>
                <c:pt idx="914">
                  <c:v>3.0365315279111513</c:v>
                </c:pt>
                <c:pt idx="915">
                  <c:v>3.0364929632922992</c:v>
                </c:pt>
                <c:pt idx="916">
                  <c:v>3.0364543988624462</c:v>
                </c:pt>
                <c:pt idx="917">
                  <c:v>3.0364158346215957</c:v>
                </c:pt>
                <c:pt idx="918">
                  <c:v>3.036377270569754</c:v>
                </c:pt>
                <c:pt idx="919">
                  <c:v>3.0363387067069212</c:v>
                </c:pt>
                <c:pt idx="920">
                  <c:v>3.0363001430330909</c:v>
                </c:pt>
                <c:pt idx="921">
                  <c:v>3.0362615795482695</c:v>
                </c:pt>
                <c:pt idx="922">
                  <c:v>3.0362230162524675</c:v>
                </c:pt>
                <c:pt idx="923">
                  <c:v>3.036184453145685</c:v>
                </c:pt>
                <c:pt idx="924">
                  <c:v>3.0361458902279184</c:v>
                </c:pt>
                <c:pt idx="925">
                  <c:v>3.0361073274991677</c:v>
                </c:pt>
                <c:pt idx="926">
                  <c:v>3.0360687649594453</c:v>
                </c:pt>
                <c:pt idx="927">
                  <c:v>3.0360302026087389</c:v>
                </c:pt>
                <c:pt idx="928">
                  <c:v>3.0359916404470679</c:v>
                </c:pt>
                <c:pt idx="929">
                  <c:v>3.0359530784744218</c:v>
                </c:pt>
                <c:pt idx="930">
                  <c:v>3.0359145166908039</c:v>
                </c:pt>
                <c:pt idx="931">
                  <c:v>3.035875955096226</c:v>
                </c:pt>
                <c:pt idx="932">
                  <c:v>3.0358373936906791</c:v>
                </c:pt>
                <c:pt idx="933">
                  <c:v>3.0357988324741685</c:v>
                </c:pt>
                <c:pt idx="934">
                  <c:v>3.0357602714467022</c:v>
                </c:pt>
                <c:pt idx="935">
                  <c:v>3.0357217106082732</c:v>
                </c:pt>
                <c:pt idx="936">
                  <c:v>3.0356831499588921</c:v>
                </c:pt>
                <c:pt idx="937">
                  <c:v>3.0356445894985553</c:v>
                </c:pt>
                <c:pt idx="938">
                  <c:v>3.0356060292272637</c:v>
                </c:pt>
                <c:pt idx="939">
                  <c:v>3.0355674691450254</c:v>
                </c:pt>
                <c:pt idx="940">
                  <c:v>3.035528909251842</c:v>
                </c:pt>
                <c:pt idx="941">
                  <c:v>3.0354903495477137</c:v>
                </c:pt>
                <c:pt idx="942">
                  <c:v>3.035451790032643</c:v>
                </c:pt>
                <c:pt idx="943">
                  <c:v>3.0354132307066246</c:v>
                </c:pt>
                <c:pt idx="944">
                  <c:v>3.0353746715696746</c:v>
                </c:pt>
                <c:pt idx="945">
                  <c:v>3.0353361126217875</c:v>
                </c:pt>
                <c:pt idx="946">
                  <c:v>3.035297553862967</c:v>
                </c:pt>
                <c:pt idx="947">
                  <c:v>3.0352589952932121</c:v>
                </c:pt>
                <c:pt idx="948">
                  <c:v>3.0352204369125273</c:v>
                </c:pt>
                <c:pt idx="949">
                  <c:v>3.035181878720917</c:v>
                </c:pt>
                <c:pt idx="950">
                  <c:v>3.0351433207183849</c:v>
                </c:pt>
                <c:pt idx="951">
                  <c:v>3.0351047629049264</c:v>
                </c:pt>
                <c:pt idx="952">
                  <c:v>3.0350662052805468</c:v>
                </c:pt>
                <c:pt idx="953">
                  <c:v>3.0350276478452445</c:v>
                </c:pt>
                <c:pt idx="954">
                  <c:v>3.03498909059903</c:v>
                </c:pt>
                <c:pt idx="955">
                  <c:v>3.0349505335418989</c:v>
                </c:pt>
                <c:pt idx="956">
                  <c:v>3.0349119766738593</c:v>
                </c:pt>
                <c:pt idx="957">
                  <c:v>3.0348734199949057</c:v>
                </c:pt>
                <c:pt idx="958">
                  <c:v>3.0348348635050479</c:v>
                </c:pt>
                <c:pt idx="959">
                  <c:v>3.034796307204279</c:v>
                </c:pt>
                <c:pt idx="960">
                  <c:v>3.0347577510926147</c:v>
                </c:pt>
                <c:pt idx="961">
                  <c:v>3.0347191951700401</c:v>
                </c:pt>
                <c:pt idx="962">
                  <c:v>3.034680639436572</c:v>
                </c:pt>
                <c:pt idx="963">
                  <c:v>3.0346420838922032</c:v>
                </c:pt>
                <c:pt idx="964">
                  <c:v>3.0346035285369437</c:v>
                </c:pt>
                <c:pt idx="965">
                  <c:v>3.034564973370788</c:v>
                </c:pt>
                <c:pt idx="966">
                  <c:v>3.0345264183937415</c:v>
                </c:pt>
                <c:pt idx="967">
                  <c:v>3.0344878636058112</c:v>
                </c:pt>
                <c:pt idx="968">
                  <c:v>3.0344493090069937</c:v>
                </c:pt>
                <c:pt idx="969">
                  <c:v>3.0344107545972916</c:v>
                </c:pt>
                <c:pt idx="970">
                  <c:v>3.0343722003767057</c:v>
                </c:pt>
                <c:pt idx="971">
                  <c:v>3.0343336463452388</c:v>
                </c:pt>
                <c:pt idx="972">
                  <c:v>3.034295092502898</c:v>
                </c:pt>
                <c:pt idx="973">
                  <c:v>3.0342565388496867</c:v>
                </c:pt>
                <c:pt idx="974">
                  <c:v>3.0342179853855988</c:v>
                </c:pt>
                <c:pt idx="975">
                  <c:v>3.0341794321106361</c:v>
                </c:pt>
                <c:pt idx="976">
                  <c:v>3.0341408790248074</c:v>
                </c:pt>
                <c:pt idx="977">
                  <c:v>3.0341023261281137</c:v>
                </c:pt>
                <c:pt idx="978">
                  <c:v>3.034063773420554</c:v>
                </c:pt>
                <c:pt idx="979">
                  <c:v>3.0340252209021301</c:v>
                </c:pt>
                <c:pt idx="980">
                  <c:v>3.03398666857285</c:v>
                </c:pt>
                <c:pt idx="981">
                  <c:v>3.0339481164327102</c:v>
                </c:pt>
                <c:pt idx="982">
                  <c:v>3.0339095644817213</c:v>
                </c:pt>
                <c:pt idx="983">
                  <c:v>3.0338710127198727</c:v>
                </c:pt>
                <c:pt idx="984">
                  <c:v>3.033832461147167</c:v>
                </c:pt>
                <c:pt idx="985">
                  <c:v>3.033793909763622</c:v>
                </c:pt>
                <c:pt idx="986">
                  <c:v>3.0337553585692243</c:v>
                </c:pt>
                <c:pt idx="987">
                  <c:v>3.0337168075639891</c:v>
                </c:pt>
                <c:pt idx="988">
                  <c:v>3.033678256747903</c:v>
                </c:pt>
                <c:pt idx="989">
                  <c:v>3.0336397061209821</c:v>
                </c:pt>
                <c:pt idx="990">
                  <c:v>3.0336011556832219</c:v>
                </c:pt>
                <c:pt idx="991">
                  <c:v>3.0335626054346214</c:v>
                </c:pt>
                <c:pt idx="992">
                  <c:v>3.033524055375195</c:v>
                </c:pt>
                <c:pt idx="993">
                  <c:v>3.0334855055049319</c:v>
                </c:pt>
                <c:pt idx="994">
                  <c:v>3.0334469558238437</c:v>
                </c:pt>
                <c:pt idx="995">
                  <c:v>3.0334084063319207</c:v>
                </c:pt>
                <c:pt idx="996">
                  <c:v>3.0333698570291805</c:v>
                </c:pt>
                <c:pt idx="997">
                  <c:v>3.0333313079156152</c:v>
                </c:pt>
                <c:pt idx="998">
                  <c:v>3.0332927589912249</c:v>
                </c:pt>
                <c:pt idx="999">
                  <c:v>3.03325421025602</c:v>
                </c:pt>
                <c:pt idx="1000">
                  <c:v>3.0332156617099955</c:v>
                </c:pt>
              </c:numCache>
            </c:numRef>
          </c:yVal>
          <c:smooth val="0"/>
          <c:extLst>
            <c:ext xmlns:c16="http://schemas.microsoft.com/office/drawing/2014/chart" uri="{C3380CC4-5D6E-409C-BE32-E72D297353CC}">
              <c16:uniqueId val="{00000000-98FB-44D3-B8F5-8492B90384BD}"/>
            </c:ext>
          </c:extLst>
        </c:ser>
        <c:ser>
          <c:idx val="1"/>
          <c:order val="1"/>
          <c:tx>
            <c:strRef>
              <c:f>Courbes!$B$138</c:f>
              <c:strCache>
                <c:ptCount val="1"/>
                <c:pt idx="0">
                  <c:v>Charge vue par un capteur</c:v>
                </c:pt>
              </c:strCache>
            </c:strRef>
          </c:tx>
          <c:spPr>
            <a:ln w="25400">
              <a:solidFill>
                <a:srgbClr val="00800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Calculs!$AH$4:$AH$1004</c:f>
              <c:numCache>
                <c:formatCode>0.00</c:formatCode>
                <c:ptCount val="1001"/>
                <c:pt idx="0">
                  <c:v>0</c:v>
                </c:pt>
                <c:pt idx="1">
                  <c:v>9.6609640570497604</c:v>
                </c:pt>
                <c:pt idx="2">
                  <c:v>28.460012533013444</c:v>
                </c:pt>
                <c:pt idx="3">
                  <c:v>47.444636006968075</c:v>
                </c:pt>
                <c:pt idx="4">
                  <c:v>66.444545686213289</c:v>
                </c:pt>
                <c:pt idx="5">
                  <c:v>85.465040683134859</c:v>
                </c:pt>
                <c:pt idx="6">
                  <c:v>94.893334081712226</c:v>
                </c:pt>
                <c:pt idx="7">
                  <c:v>94.712362019709133</c:v>
                </c:pt>
                <c:pt idx="8">
                  <c:v>94.530612257485174</c:v>
                </c:pt>
                <c:pt idx="9">
                  <c:v>94.348087537938568</c:v>
                </c:pt>
                <c:pt idx="10">
                  <c:v>94.164790628210653</c:v>
                </c:pt>
                <c:pt idx="11">
                  <c:v>93.980724319496019</c:v>
                </c:pt>
                <c:pt idx="12">
                  <c:v>93.795891426850815</c:v>
                </c:pt>
                <c:pt idx="13">
                  <c:v>93.610294788999298</c:v>
                </c:pt>
                <c:pt idx="14">
                  <c:v>93.42393726813863</c:v>
                </c:pt>
                <c:pt idx="15">
                  <c:v>93.236821749742148</c:v>
                </c:pt>
                <c:pt idx="16">
                  <c:v>93.04895114236065</c:v>
                </c:pt>
                <c:pt idx="17">
                  <c:v>92.860328377422348</c:v>
                </c:pt>
                <c:pt idx="18">
                  <c:v>92.670956409030936</c:v>
                </c:pt>
                <c:pt idx="19">
                  <c:v>92.480838213762254</c:v>
                </c:pt>
                <c:pt idx="20">
                  <c:v>92.289976790459207</c:v>
                </c:pt>
                <c:pt idx="21">
                  <c:v>92.098375160025299</c:v>
                </c:pt>
                <c:pt idx="22">
                  <c:v>91.906036365216451</c:v>
                </c:pt>
                <c:pt idx="23">
                  <c:v>91.712963470431518</c:v>
                </c:pt>
                <c:pt idx="24">
                  <c:v>91.519159561501141</c:v>
                </c:pt>
                <c:pt idx="25">
                  <c:v>91.324627745475311</c:v>
                </c:pt>
                <c:pt idx="26">
                  <c:v>91.129371150409355</c:v>
                </c:pt>
                <c:pt idx="27">
                  <c:v>90.933392925148738</c:v>
                </c:pt>
                <c:pt idx="28">
                  <c:v>90.736696239112163</c:v>
                </c:pt>
                <c:pt idx="29">
                  <c:v>90.539284282073723</c:v>
                </c:pt>
                <c:pt idx="30">
                  <c:v>90.341160263943408</c:v>
                </c:pt>
                <c:pt idx="31">
                  <c:v>90.142327414546514</c:v>
                </c:pt>
                <c:pt idx="32">
                  <c:v>89.942788983401712</c:v>
                </c:pt>
                <c:pt idx="33">
                  <c:v>89.742548239497793</c:v>
                </c:pt>
                <c:pt idx="34">
                  <c:v>89.541608471069438</c:v>
                </c:pt>
                <c:pt idx="35">
                  <c:v>89.339972985371645</c:v>
                </c:pt>
                <c:pt idx="36">
                  <c:v>89.137645009240543</c:v>
                </c:pt>
                <c:pt idx="37">
                  <c:v>88.934627771846507</c:v>
                </c:pt>
                <c:pt idx="38">
                  <c:v>88.730924622373053</c:v>
                </c:pt>
                <c:pt idx="39">
                  <c:v>88.526538928447948</c:v>
                </c:pt>
                <c:pt idx="40">
                  <c:v>88.321474075897598</c:v>
                </c:pt>
                <c:pt idx="41">
                  <c:v>88.115733468500565</c:v>
                </c:pt>
                <c:pt idx="42">
                  <c:v>87.909320527741471</c:v>
                </c:pt>
                <c:pt idx="43">
                  <c:v>87.702238692564734</c:v>
                </c:pt>
                <c:pt idx="44">
                  <c:v>87.494491419128309</c:v>
                </c:pt>
                <c:pt idx="45">
                  <c:v>87.286082180557329</c:v>
                </c:pt>
                <c:pt idx="46">
                  <c:v>87.077014466697705</c:v>
                </c:pt>
                <c:pt idx="47">
                  <c:v>86.867291783869348</c:v>
                </c:pt>
                <c:pt idx="48">
                  <c:v>86.656917654619434</c:v>
                </c:pt>
                <c:pt idx="49">
                  <c:v>86.44589561747506</c:v>
                </c:pt>
                <c:pt idx="50">
                  <c:v>86.234229226696158</c:v>
                </c:pt>
                <c:pt idx="51">
                  <c:v>86.072499100833809</c:v>
                </c:pt>
                <c:pt idx="52">
                  <c:v>85.960782338189887</c:v>
                </c:pt>
                <c:pt idx="53">
                  <c:v>85.848533819410264</c:v>
                </c:pt>
                <c:pt idx="54">
                  <c:v>85.73575511156821</c:v>
                </c:pt>
                <c:pt idx="55">
                  <c:v>85.622447796293969</c:v>
                </c:pt>
                <c:pt idx="56">
                  <c:v>85.508613469680569</c:v>
                </c:pt>
                <c:pt idx="57">
                  <c:v>85.394253742189051</c:v>
                </c:pt>
                <c:pt idx="58">
                  <c:v>85.279370238553028</c:v>
                </c:pt>
                <c:pt idx="59">
                  <c:v>85.163964597682551</c:v>
                </c:pt>
                <c:pt idx="60">
                  <c:v>85.048038472567427</c:v>
                </c:pt>
                <c:pt idx="61">
                  <c:v>84.931593530179796</c:v>
                </c:pt>
                <c:pt idx="62">
                  <c:v>84.814631451376158</c:v>
                </c:pt>
                <c:pt idx="63">
                  <c:v>84.697153930798663</c:v>
                </c:pt>
                <c:pt idx="64">
                  <c:v>84.579162676775795</c:v>
                </c:pt>
                <c:pt idx="65">
                  <c:v>84.460659411222366</c:v>
                </c:pt>
                <c:pt idx="66">
                  <c:v>84.34164586953888</c:v>
                </c:pt>
                <c:pt idx="67">
                  <c:v>84.222123800510289</c:v>
                </c:pt>
                <c:pt idx="68">
                  <c:v>84.102094966203978</c:v>
                </c:pt>
                <c:pt idx="69">
                  <c:v>83.981561141867275</c:v>
                </c:pt>
                <c:pt idx="70">
                  <c:v>83.860524115824177</c:v>
                </c:pt>
                <c:pt idx="71">
                  <c:v>83.738985689371447</c:v>
                </c:pt>
                <c:pt idx="72">
                  <c:v>83.616947676674272</c:v>
                </c:pt>
                <c:pt idx="73">
                  <c:v>83.494411904661021</c:v>
                </c:pt>
                <c:pt idx="74">
                  <c:v>83.371380212917501</c:v>
                </c:pt>
                <c:pt idx="75">
                  <c:v>83.247854453580658</c:v>
                </c:pt>
                <c:pt idx="76">
                  <c:v>83.123836491231657</c:v>
                </c:pt>
                <c:pt idx="77">
                  <c:v>82.999328202788163</c:v>
                </c:pt>
                <c:pt idx="78">
                  <c:v>82.874331477396382</c:v>
                </c:pt>
                <c:pt idx="79">
                  <c:v>82.748848216322145</c:v>
                </c:pt>
                <c:pt idx="80">
                  <c:v>82.622880332841632</c:v>
                </c:pt>
                <c:pt idx="81">
                  <c:v>82.496429752131533</c:v>
                </c:pt>
                <c:pt idx="82">
                  <c:v>82.369498411158474</c:v>
                </c:pt>
                <c:pt idx="83">
                  <c:v>82.242088258568131</c:v>
                </c:pt>
                <c:pt idx="84">
                  <c:v>82.114201254573459</c:v>
                </c:pt>
                <c:pt idx="85">
                  <c:v>81.985839370842825</c:v>
                </c:pt>
                <c:pt idx="86">
                  <c:v>81.857004590387177</c:v>
                </c:pt>
                <c:pt idx="87">
                  <c:v>81.727698907446992</c:v>
                </c:pt>
                <c:pt idx="88">
                  <c:v>81.597924327378479</c:v>
                </c:pt>
                <c:pt idx="89">
                  <c:v>81.46768286653959</c:v>
                </c:pt>
                <c:pt idx="90">
                  <c:v>81.336976552175159</c:v>
                </c:pt>
                <c:pt idx="91">
                  <c:v>81.205807422301916</c:v>
                </c:pt>
                <c:pt idx="92">
                  <c:v>81.074177525592717</c:v>
                </c:pt>
                <c:pt idx="93">
                  <c:v>80.94208892126052</c:v>
                </c:pt>
                <c:pt idx="94">
                  <c:v>80.80954367894185</c:v>
                </c:pt>
                <c:pt idx="95">
                  <c:v>80.676543878579807</c:v>
                </c:pt>
                <c:pt idx="96">
                  <c:v>80.543091610306618</c:v>
                </c:pt>
                <c:pt idx="97">
                  <c:v>80.409188974325772</c:v>
                </c:pt>
                <c:pt idx="98">
                  <c:v>80.274838080793813</c:v>
                </c:pt>
                <c:pt idx="99">
                  <c:v>80.140041049701694</c:v>
                </c:pt>
                <c:pt idx="100">
                  <c:v>80.004800010755616</c:v>
                </c:pt>
                <c:pt idx="101">
                  <c:v>79.845816647049489</c:v>
                </c:pt>
                <c:pt idx="102">
                  <c:v>79.663067865934181</c:v>
                </c:pt>
                <c:pt idx="103">
                  <c:v>79.479850736617237</c:v>
                </c:pt>
                <c:pt idx="104">
                  <c:v>79.296168323545402</c:v>
                </c:pt>
                <c:pt idx="105">
                  <c:v>79.112023699008873</c:v>
                </c:pt>
                <c:pt idx="106">
                  <c:v>78.927419942959688</c:v>
                </c:pt>
                <c:pt idx="107">
                  <c:v>78.742360142829909</c:v>
                </c:pt>
                <c:pt idx="108">
                  <c:v>78.556847393349798</c:v>
                </c:pt>
                <c:pt idx="109">
                  <c:v>78.370884796366184</c:v>
                </c:pt>
                <c:pt idx="110">
                  <c:v>78.184475460660607</c:v>
                </c:pt>
                <c:pt idx="111">
                  <c:v>77.997622501767665</c:v>
                </c:pt>
                <c:pt idx="112">
                  <c:v>77.810329041793338</c:v>
                </c:pt>
                <c:pt idx="113">
                  <c:v>77.622598209233431</c:v>
                </c:pt>
                <c:pt idx="114">
                  <c:v>77.434433138792073</c:v>
                </c:pt>
                <c:pt idx="115">
                  <c:v>77.245836971200333</c:v>
                </c:pt>
                <c:pt idx="116">
                  <c:v>77.056812853035026</c:v>
                </c:pt>
                <c:pt idx="117">
                  <c:v>76.867363936537544</c:v>
                </c:pt>
                <c:pt idx="118">
                  <c:v>76.677493379432875</c:v>
                </c:pt>
                <c:pt idx="119">
                  <c:v>76.487204344748875</c:v>
                </c:pt>
                <c:pt idx="120">
                  <c:v>76.29650000063566</c:v>
                </c:pt>
                <c:pt idx="121">
                  <c:v>76.105383520185256</c:v>
                </c:pt>
                <c:pt idx="122">
                  <c:v>75.913858081251362</c:v>
                </c:pt>
                <c:pt idx="123">
                  <c:v>75.721926866269513</c:v>
                </c:pt>
                <c:pt idx="124">
                  <c:v>75.529593062077311</c:v>
                </c:pt>
                <c:pt idx="125">
                  <c:v>75.336859859735213</c:v>
                </c:pt>
                <c:pt idx="126">
                  <c:v>75.143730454347221</c:v>
                </c:pt>
                <c:pt idx="127">
                  <c:v>74.950208044882231</c:v>
                </c:pt>
                <c:pt idx="128">
                  <c:v>74.756295833995537</c:v>
                </c:pt>
                <c:pt idx="129">
                  <c:v>74.561997027850609</c:v>
                </c:pt>
                <c:pt idx="130">
                  <c:v>74.367314835941372</c:v>
                </c:pt>
                <c:pt idx="131">
                  <c:v>74.172252470914813</c:v>
                </c:pt>
                <c:pt idx="132">
                  <c:v>73.976813148393916</c:v>
                </c:pt>
                <c:pt idx="133">
                  <c:v>73.781000086800972</c:v>
                </c:pt>
                <c:pt idx="134">
                  <c:v>73.584816507181472</c:v>
                </c:pt>
                <c:pt idx="135">
                  <c:v>73.388265633028183</c:v>
                </c:pt>
                <c:pt idx="136">
                  <c:v>73.191350690105907</c:v>
                </c:pt>
                <c:pt idx="137">
                  <c:v>72.994074906276524</c:v>
                </c:pt>
                <c:pt idx="138">
                  <c:v>72.796441511324616</c:v>
                </c:pt>
                <c:pt idx="139">
                  <c:v>72.598453736783554</c:v>
                </c:pt>
                <c:pt idx="140">
                  <c:v>72.400114815761995</c:v>
                </c:pt>
                <c:pt idx="141">
                  <c:v>72.201427982771051</c:v>
                </c:pt>
                <c:pt idx="142">
                  <c:v>72.002396473551926</c:v>
                </c:pt>
                <c:pt idx="143">
                  <c:v>71.803023524904049</c:v>
                </c:pt>
                <c:pt idx="144">
                  <c:v>71.603312374513834</c:v>
                </c:pt>
                <c:pt idx="145">
                  <c:v>71.403266260783965</c:v>
                </c:pt>
                <c:pt idx="146">
                  <c:v>71.202888422663307</c:v>
                </c:pt>
                <c:pt idx="147">
                  <c:v>71.002182099477437</c:v>
                </c:pt>
                <c:pt idx="148">
                  <c:v>70.801150530759756</c:v>
                </c:pt>
                <c:pt idx="149">
                  <c:v>70.599796956083168</c:v>
                </c:pt>
                <c:pt idx="150">
                  <c:v>70.398124614892524</c:v>
                </c:pt>
                <c:pt idx="151">
                  <c:v>70.2040569098031</c:v>
                </c:pt>
                <c:pt idx="152">
                  <c:v>70.017602423791871</c:v>
                </c:pt>
                <c:pt idx="153">
                  <c:v>69.830843483615865</c:v>
                </c:pt>
                <c:pt idx="154">
                  <c:v>69.643783035982992</c:v>
                </c:pt>
                <c:pt idx="155">
                  <c:v>69.456424027719905</c:v>
                </c:pt>
                <c:pt idx="156">
                  <c:v>69.268769405625591</c:v>
                </c:pt>
                <c:pt idx="157">
                  <c:v>69.080822116325137</c:v>
                </c:pt>
                <c:pt idx="158">
                  <c:v>68.892585106124244</c:v>
                </c:pt>
                <c:pt idx="159">
                  <c:v>68.704061320864412</c:v>
                </c:pt>
                <c:pt idx="160">
                  <c:v>68.515253705778576</c:v>
                </c:pt>
                <c:pt idx="161">
                  <c:v>68.326165205347337</c:v>
                </c:pt>
                <c:pt idx="162">
                  <c:v>68.136798763155937</c:v>
                </c:pt>
                <c:pt idx="163">
                  <c:v>67.94715732175176</c:v>
                </c:pt>
                <c:pt idx="164">
                  <c:v>67.75724382250246</c:v>
                </c:pt>
                <c:pt idx="165">
                  <c:v>67.567061205454763</c:v>
                </c:pt>
                <c:pt idx="166">
                  <c:v>67.376612409193939</c:v>
                </c:pt>
                <c:pt idx="167">
                  <c:v>67.185900370703891</c:v>
                </c:pt>
                <c:pt idx="168">
                  <c:v>66.994928025227949</c:v>
                </c:pt>
                <c:pt idx="169">
                  <c:v>66.803698306130343</c:v>
                </c:pt>
                <c:pt idx="170">
                  <c:v>66.61221414475834</c:v>
                </c:pt>
                <c:pt idx="171">
                  <c:v>66.420478470305156</c:v>
                </c:pt>
                <c:pt idx="172">
                  <c:v>66.228494209673457</c:v>
                </c:pt>
                <c:pt idx="173">
                  <c:v>66.036264287339691</c:v>
                </c:pt>
                <c:pt idx="174">
                  <c:v>65.843791625219168</c:v>
                </c:pt>
                <c:pt idx="175">
                  <c:v>65.651079142531685</c:v>
                </c:pt>
                <c:pt idx="176">
                  <c:v>65.458129755668082</c:v>
                </c:pt>
                <c:pt idx="177">
                  <c:v>65.264946378057573</c:v>
                </c:pt>
                <c:pt idx="178">
                  <c:v>65.071531920035653</c:v>
                </c:pt>
                <c:pt idx="179">
                  <c:v>64.87788928871295</c:v>
                </c:pt>
                <c:pt idx="180">
                  <c:v>64.684021387844837</c:v>
                </c:pt>
                <c:pt idx="181">
                  <c:v>64.489931117701644</c:v>
                </c:pt>
                <c:pt idx="182">
                  <c:v>64.295621374939941</c:v>
                </c:pt>
                <c:pt idx="183">
                  <c:v>64.101095052474463</c:v>
                </c:pt>
                <c:pt idx="184">
                  <c:v>63.906355039350863</c:v>
                </c:pt>
                <c:pt idx="185">
                  <c:v>63.711404220619272</c:v>
                </c:pt>
                <c:pt idx="186">
                  <c:v>63.516245477208727</c:v>
                </c:pt>
                <c:pt idx="187">
                  <c:v>63.320881685802419</c:v>
                </c:pt>
                <c:pt idx="188">
                  <c:v>63.125315718713743</c:v>
                </c:pt>
                <c:pt idx="189">
                  <c:v>62.929550443763247</c:v>
                </c:pt>
                <c:pt idx="190">
                  <c:v>62.733588724156419</c:v>
                </c:pt>
                <c:pt idx="191">
                  <c:v>62.537433418362269</c:v>
                </c:pt>
                <c:pt idx="192">
                  <c:v>62.341087379992864</c:v>
                </c:pt>
                <c:pt idx="193">
                  <c:v>62.14455345768372</c:v>
                </c:pt>
                <c:pt idx="194">
                  <c:v>61.947834494975034</c:v>
                </c:pt>
                <c:pt idx="195">
                  <c:v>61.750933330193789</c:v>
                </c:pt>
                <c:pt idx="196">
                  <c:v>61.553852796336855</c:v>
                </c:pt>
                <c:pt idx="197">
                  <c:v>61.356595720954843</c:v>
                </c:pt>
                <c:pt idx="198">
                  <c:v>61.159164926036929</c:v>
                </c:pt>
                <c:pt idx="199">
                  <c:v>60.961563227896647</c:v>
                </c:pt>
                <c:pt idx="200">
                  <c:v>60.763793437058453</c:v>
                </c:pt>
                <c:pt idx="201">
                  <c:v>60.565858358145348</c:v>
                </c:pt>
                <c:pt idx="202">
                  <c:v>60.367760789767317</c:v>
                </c:pt>
                <c:pt idx="203">
                  <c:v>60.169503524410764</c:v>
                </c:pt>
                <c:pt idx="204">
                  <c:v>59.97108934832886</c:v>
                </c:pt>
                <c:pt idx="205">
                  <c:v>59.77252104143281</c:v>
                </c:pt>
                <c:pt idx="206">
                  <c:v>59.573801377184047</c:v>
                </c:pt>
                <c:pt idx="207">
                  <c:v>59.374933122487455</c:v>
                </c:pt>
                <c:pt idx="208">
                  <c:v>59.175919037585466</c:v>
                </c:pt>
                <c:pt idx="209">
                  <c:v>58.976761875953073</c:v>
                </c:pt>
                <c:pt idx="210">
                  <c:v>58.777464384193983</c:v>
                </c:pt>
                <c:pt idx="211">
                  <c:v>58.578029301937462</c:v>
                </c:pt>
                <c:pt idx="212">
                  <c:v>58.378459361736411</c:v>
                </c:pt>
                <c:pt idx="213">
                  <c:v>58.178757288966253</c:v>
                </c:pt>
                <c:pt idx="214">
                  <c:v>57.978925801724806</c:v>
                </c:pt>
                <c:pt idx="215">
                  <c:v>57.778967610733183</c:v>
                </c:pt>
                <c:pt idx="216">
                  <c:v>57.578885419237665</c:v>
                </c:pt>
                <c:pt idx="217">
                  <c:v>57.378681922912456</c:v>
                </c:pt>
                <c:pt idx="218">
                  <c:v>57.178359809763649</c:v>
                </c:pt>
                <c:pt idx="219">
                  <c:v>56.977921760033858</c:v>
                </c:pt>
                <c:pt idx="220">
                  <c:v>56.777370446108208</c:v>
                </c:pt>
                <c:pt idx="221">
                  <c:v>56.576708532420916</c:v>
                </c:pt>
                <c:pt idx="222">
                  <c:v>56.375938675363308</c:v>
                </c:pt>
                <c:pt idx="223">
                  <c:v>56.175063523192406</c:v>
                </c:pt>
                <c:pt idx="224">
                  <c:v>55.974085715940824</c:v>
                </c:pt>
                <c:pt idx="225">
                  <c:v>55.773007885327537</c:v>
                </c:pt>
                <c:pt idx="226">
                  <c:v>55.571832654669628</c:v>
                </c:pt>
                <c:pt idx="227">
                  <c:v>55.370562638795164</c:v>
                </c:pt>
                <c:pt idx="228">
                  <c:v>55.169200443956903</c:v>
                </c:pt>
                <c:pt idx="229">
                  <c:v>54.967748667747145</c:v>
                </c:pt>
                <c:pt idx="230">
                  <c:v>54.766209899013603</c:v>
                </c:pt>
                <c:pt idx="231">
                  <c:v>54.564586717776123</c:v>
                </c:pt>
                <c:pt idx="232">
                  <c:v>54.362881695144637</c:v>
                </c:pt>
                <c:pt idx="233">
                  <c:v>54.161097393237952</c:v>
                </c:pt>
                <c:pt idx="234">
                  <c:v>53.959236365103607</c:v>
                </c:pt>
                <c:pt idx="235">
                  <c:v>53.757301154638839</c:v>
                </c:pt>
                <c:pt idx="236">
                  <c:v>53.555294296512372</c:v>
                </c:pt>
                <c:pt idx="237">
                  <c:v>53.353218316087393</c:v>
                </c:pt>
                <c:pt idx="238">
                  <c:v>53.151075729345472</c:v>
                </c:pt>
                <c:pt idx="239">
                  <c:v>52.948869042811495</c:v>
                </c:pt>
                <c:pt idx="240">
                  <c:v>52.746600753479655</c:v>
                </c:pt>
                <c:pt idx="241">
                  <c:v>52.54427334874034</c:v>
                </c:pt>
                <c:pt idx="242">
                  <c:v>52.341889306308275</c:v>
                </c:pt>
                <c:pt idx="243">
                  <c:v>52.139451094151383</c:v>
                </c:pt>
                <c:pt idx="244">
                  <c:v>51.936961170420865</c:v>
                </c:pt>
                <c:pt idx="245">
                  <c:v>51.734421983382298</c:v>
                </c:pt>
                <c:pt idx="246">
                  <c:v>51.531835971347576</c:v>
                </c:pt>
                <c:pt idx="247">
                  <c:v>51.32920556260806</c:v>
                </c:pt>
                <c:pt idx="248">
                  <c:v>51.1265331753686</c:v>
                </c:pt>
                <c:pt idx="249">
                  <c:v>50.923821217682708</c:v>
                </c:pt>
                <c:pt idx="250">
                  <c:v>50.721072087388549</c:v>
                </c:pt>
                <c:pt idx="251">
                  <c:v>50.484203976611575</c:v>
                </c:pt>
                <c:pt idx="252">
                  <c:v>50.213220611841642</c:v>
                </c:pt>
                <c:pt idx="253">
                  <c:v>49.942230984674332</c:v>
                </c:pt>
                <c:pt idx="254">
                  <c:v>49.6712384687848</c:v>
                </c:pt>
                <c:pt idx="255">
                  <c:v>49.400246419023681</c:v>
                </c:pt>
                <c:pt idx="256">
                  <c:v>49.129258171333248</c:v>
                </c:pt>
                <c:pt idx="257">
                  <c:v>48.858277042665598</c:v>
                </c:pt>
                <c:pt idx="258">
                  <c:v>48.587306330902635</c:v>
                </c:pt>
                <c:pt idx="259">
                  <c:v>48.316349314778058</c:v>
                </c:pt>
                <c:pt idx="260">
                  <c:v>48.045409253801253</c:v>
                </c:pt>
                <c:pt idx="261">
                  <c:v>47.774489388183049</c:v>
                </c:pt>
                <c:pt idx="262">
                  <c:v>47.503592938763447</c:v>
                </c:pt>
                <c:pt idx="263">
                  <c:v>47.232723106941059</c:v>
                </c:pt>
                <c:pt idx="264">
                  <c:v>46.961883074604728</c:v>
                </c:pt>
                <c:pt idx="265">
                  <c:v>46.691076004066701</c:v>
                </c:pt>
                <c:pt idx="266">
                  <c:v>46.420305037997906</c:v>
                </c:pt>
                <c:pt idx="267">
                  <c:v>46.149573299364945</c:v>
                </c:pt>
                <c:pt idx="268">
                  <c:v>45.878883891369</c:v>
                </c:pt>
                <c:pt idx="269">
                  <c:v>45.608239897386611</c:v>
                </c:pt>
                <c:pt idx="270">
                  <c:v>45.337644380912167</c:v>
                </c:pt>
                <c:pt idx="271">
                  <c:v>45.067100385502329</c:v>
                </c:pt>
                <c:pt idx="272">
                  <c:v>44.796610934722274</c:v>
                </c:pt>
                <c:pt idx="273">
                  <c:v>44.526179032093658</c:v>
                </c:pt>
                <c:pt idx="274">
                  <c:v>44.255807661044429</c:v>
                </c:pt>
                <c:pt idx="275">
                  <c:v>43.985499784860444</c:v>
                </c:pt>
                <c:pt idx="276">
                  <c:v>43.715258346638826</c:v>
                </c:pt>
                <c:pt idx="277">
                  <c:v>43.44508626924312</c:v>
                </c:pt>
                <c:pt idx="278">
                  <c:v>43.174986455260147</c:v>
                </c:pt>
                <c:pt idx="279">
                  <c:v>42.904961786958708</c:v>
                </c:pt>
                <c:pt idx="280">
                  <c:v>42.635015126249932</c:v>
                </c:pt>
                <c:pt idx="281">
                  <c:v>42.365149314649386</c:v>
                </c:pt>
                <c:pt idx="282">
                  <c:v>42.095367173240938</c:v>
                </c:pt>
                <c:pt idx="283">
                  <c:v>41.825671502642237</c:v>
                </c:pt>
                <c:pt idx="284">
                  <c:v>41.55606508297199</c:v>
                </c:pt>
                <c:pt idx="285">
                  <c:v>41.286550673818873</c:v>
                </c:pt>
                <c:pt idx="286">
                  <c:v>41.01713101421209</c:v>
                </c:pt>
                <c:pt idx="287">
                  <c:v>40.747808822593655</c:v>
                </c:pt>
                <c:pt idx="288">
                  <c:v>40.478586796792278</c:v>
                </c:pt>
                <c:pt idx="289">
                  <c:v>40.209467613998939</c:v>
                </c:pt>
                <c:pt idx="290">
                  <c:v>39.940453930744056</c:v>
                </c:pt>
                <c:pt idx="291">
                  <c:v>39.671548382876239</c:v>
                </c:pt>
                <c:pt idx="292">
                  <c:v>39.402753585542747</c:v>
                </c:pt>
                <c:pt idx="293">
                  <c:v>39.134072133171465</c:v>
                </c:pt>
                <c:pt idx="294">
                  <c:v>38.865506599454434</c:v>
                </c:pt>
                <c:pt idx="295">
                  <c:v>38.597059537333095</c:v>
                </c:pt>
                <c:pt idx="296">
                  <c:v>38.328733478984887</c:v>
                </c:pt>
                <c:pt idx="297">
                  <c:v>38.060530935811613</c:v>
                </c:pt>
                <c:pt idx="298">
                  <c:v>37.418794441265725</c:v>
                </c:pt>
                <c:pt idx="299">
                  <c:v>36.403679181945876</c:v>
                </c:pt>
                <c:pt idx="300">
                  <c:v>35.389193046296569</c:v>
                </c:pt>
                <c:pt idx="301">
                  <c:v>34.375356148833561</c:v>
                </c:pt>
                <c:pt idx="302">
                  <c:v>33.362188334148989</c:v>
                </c:pt>
                <c:pt idx="303">
                  <c:v>32.34970917661628</c:v>
                </c:pt>
                <c:pt idx="304">
                  <c:v>31.337937980141241</c:v>
                </c:pt>
                <c:pt idx="305">
                  <c:v>30.326893777959139</c:v>
                </c:pt>
                <c:pt idx="306">
                  <c:v>29.316595332476997</c:v>
                </c:pt>
                <c:pt idx="307">
                  <c:v>28.307061135160545</c:v>
                </c:pt>
                <c:pt idx="308">
                  <c:v>27.298309406465304</c:v>
                </c:pt>
                <c:pt idx="309">
                  <c:v>26.290358095811197</c:v>
                </c:pt>
                <c:pt idx="310">
                  <c:v>25.283224881600113</c:v>
                </c:pt>
                <c:pt idx="311">
                  <c:v>24.276927171275776</c:v>
                </c:pt>
                <c:pt idx="312">
                  <c:v>23.271482101425459</c:v>
                </c:pt>
                <c:pt idx="313">
                  <c:v>22.266906537922665</c:v>
                </c:pt>
                <c:pt idx="314">
                  <c:v>21.263217076110536</c:v>
                </c:pt>
                <c:pt idx="315">
                  <c:v>20.260430041025081</c:v>
                </c:pt>
                <c:pt idx="316">
                  <c:v>19.258561487657708</c:v>
                </c:pt>
                <c:pt idx="317">
                  <c:v>18.257627201256494</c:v>
                </c:pt>
                <c:pt idx="318">
                  <c:v>17.257642697665474</c:v>
                </c:pt>
                <c:pt idx="319">
                  <c:v>16.258623223701445</c:v>
                </c:pt>
                <c:pt idx="320">
                  <c:v>15.260583757567492</c:v>
                </c:pt>
                <c:pt idx="321">
                  <c:v>14.412072043526159</c:v>
                </c:pt>
                <c:pt idx="322">
                  <c:v>13.712968376046415</c:v>
                </c:pt>
                <c:pt idx="323">
                  <c:v>13.014577393854831</c:v>
                </c:pt>
                <c:pt idx="324">
                  <c:v>12.316905818400228</c:v>
                </c:pt>
                <c:pt idx="325">
                  <c:v>11.619960240186487</c:v>
                </c:pt>
                <c:pt idx="326">
                  <c:v>10.923747119173852</c:v>
                </c:pt>
                <c:pt idx="327">
                  <c:v>10.228272785191097</c:v>
                </c:pt>
                <c:pt idx="328">
                  <c:v>9.5335434383580591</c:v>
                </c:pt>
                <c:pt idx="329">
                  <c:v>8.8395651495185987</c:v>
                </c:pt>
                <c:pt idx="330">
                  <c:v>8.1463438606834764</c:v>
                </c:pt>
                <c:pt idx="331">
                  <c:v>7.4538853854831375</c:v>
                </c:pt>
                <c:pt idx="332">
                  <c:v>6.7621954096301016</c:v>
                </c:pt>
                <c:pt idx="333">
                  <c:v>6.0712794913906816</c:v>
                </c:pt>
                <c:pt idx="334">
                  <c:v>5.3811430620659477</c:v>
                </c:pt>
                <c:pt idx="335">
                  <c:v>4.6917914264815366</c:v>
                </c:pt>
                <c:pt idx="336">
                  <c:v>4.0032297634862344</c:v>
                </c:pt>
                <c:pt idx="337">
                  <c:v>3.3154631264590648</c:v>
                </c:pt>
                <c:pt idx="338">
                  <c:v>2.6284964438246297</c:v>
                </c:pt>
                <c:pt idx="339">
                  <c:v>1.9423345195765407</c:v>
                </c:pt>
                <c:pt idx="340">
                  <c:v>1.2569820338086448</c:v>
                </c:pt>
                <c:pt idx="341">
                  <c:v>0.57244354325396274</c:v>
                </c:pt>
                <c:pt idx="342">
                  <c:v>-0.11127651816902752</c:v>
                </c:pt>
                <c:pt idx="343">
                  <c:v>-0.79417383880286019</c:v>
                </c:pt>
                <c:pt idx="344">
                  <c:v>-1.4762442286905937</c:v>
                </c:pt>
                <c:pt idx="345">
                  <c:v>-2.1574836190084818</c:v>
                </c:pt>
                <c:pt idx="346">
                  <c:v>-2.837888061492134</c:v>
                </c:pt>
                <c:pt idx="347">
                  <c:v>-3.5174537278562985</c:v>
                </c:pt>
                <c:pt idx="348">
                  <c:v>-4.1801629167586123</c:v>
                </c:pt>
                <c:pt idx="349">
                  <c:v>-4.8260321916067142</c:v>
                </c:pt>
                <c:pt idx="350">
                  <c:v>-5.4710936169176847</c:v>
                </c:pt>
                <c:pt idx="351">
                  <c:v>-6.1153442971775034</c:v>
                </c:pt>
                <c:pt idx="352">
                  <c:v>-6.7587814425623458</c:v>
                </c:pt>
                <c:pt idx="353">
                  <c:v>-7.4014023683747991</c:v>
                </c:pt>
                <c:pt idx="354">
                  <c:v>-8.0432044944760364</c:v>
                </c:pt>
                <c:pt idx="355">
                  <c:v>-8.6841853447141322</c:v>
                </c:pt>
                <c:pt idx="356">
                  <c:v>-9.3243425463487277</c:v>
                </c:pt>
                <c:pt idx="357">
                  <c:v>-9.9636738294721727</c:v>
                </c:pt>
                <c:pt idx="358">
                  <c:v>-10.602177026427276</c:v>
                </c:pt>
                <c:pt idx="359">
                  <c:v>-11.239850071221934</c:v>
                </c:pt>
                <c:pt idx="360">
                  <c:v>-11.543655891171072</c:v>
                </c:pt>
                <c:pt idx="361">
                  <c:v>-11.514053199669728</c:v>
                </c:pt>
                <c:pt idx="362">
                  <c:v>-11.484534953744472</c:v>
                </c:pt>
                <c:pt idx="363">
                  <c:v>-11.455100841807731</c:v>
                </c:pt>
                <c:pt idx="364">
                  <c:v>-11.4257505537371</c:v>
                </c:pt>
                <c:pt idx="365">
                  <c:v>-11.396483780867069</c:v>
                </c:pt>
                <c:pt idx="366">
                  <c:v>-11.367300215980816</c:v>
                </c:pt>
                <c:pt idx="367">
                  <c:v>-11.33819955330201</c:v>
                </c:pt>
                <c:pt idx="368">
                  <c:v>-11.309181488486733</c:v>
                </c:pt>
                <c:pt idx="369">
                  <c:v>-11.280245718615404</c:v>
                </c:pt>
                <c:pt idx="370">
                  <c:v>-11.251391942184769</c:v>
                </c:pt>
                <c:pt idx="371">
                  <c:v>-11.222619859099961</c:v>
                </c:pt>
                <c:pt idx="372">
                  <c:v>-11.193929170666582</c:v>
                </c:pt>
                <c:pt idx="373">
                  <c:v>-11.165319579582864</c:v>
                </c:pt>
                <c:pt idx="374">
                  <c:v>-11.136790789931869</c:v>
                </c:pt>
                <c:pt idx="375">
                  <c:v>-11.108342507173742</c:v>
                </c:pt>
                <c:pt idx="376">
                  <c:v>-11.079974438138025</c:v>
                </c:pt>
                <c:pt idx="377">
                  <c:v>-11.051686291015995</c:v>
                </c:pt>
                <c:pt idx="378">
                  <c:v>-11.023477775353072</c:v>
                </c:pt>
                <c:pt idx="379">
                  <c:v>-10.995348602041277</c:v>
                </c:pt>
                <c:pt idx="380">
                  <c:v>-10.967298483311753</c:v>
                </c:pt>
                <c:pt idx="381">
                  <c:v>-10.939327132727275</c:v>
                </c:pt>
                <c:pt idx="382">
                  <c:v>-10.911434265174888</c:v>
                </c:pt>
                <c:pt idx="383">
                  <c:v>-10.883619596858539</c:v>
                </c:pt>
                <c:pt idx="384">
                  <c:v>-10.855882845291774</c:v>
                </c:pt>
                <c:pt idx="385">
                  <c:v>-10.828223729290496</c:v>
                </c:pt>
                <c:pt idx="386">
                  <c:v>-10.800641968965735</c:v>
                </c:pt>
                <c:pt idx="387">
                  <c:v>-10.773137285716507</c:v>
                </c:pt>
                <c:pt idx="388">
                  <c:v>-10.745709402222682</c:v>
                </c:pt>
                <c:pt idx="389">
                  <c:v>-10.718358042437904</c:v>
                </c:pt>
                <c:pt idx="390">
                  <c:v>-10.691082931582606</c:v>
                </c:pt>
                <c:pt idx="391">
                  <c:v>-10.663883796137013</c:v>
                </c:pt>
                <c:pt idx="392">
                  <c:v>-10.636760363834171</c:v>
                </c:pt>
                <c:pt idx="393">
                  <c:v>-10.609712363653122</c:v>
                </c:pt>
                <c:pt idx="394">
                  <c:v>-10.582739525812016</c:v>
                </c:pt>
                <c:pt idx="395">
                  <c:v>-10.555841581761323</c:v>
                </c:pt>
                <c:pt idx="396">
                  <c:v>-10.529018264177076</c:v>
                </c:pt>
                <c:pt idx="397">
                  <c:v>-10.502269306954151</c:v>
                </c:pt>
                <c:pt idx="398">
                  <c:v>-10.47559444519962</c:v>
                </c:pt>
                <c:pt idx="399">
                  <c:v>-10.44899341522609</c:v>
                </c:pt>
                <c:pt idx="400">
                  <c:v>-10.422465954545139</c:v>
                </c:pt>
                <c:pt idx="401">
                  <c:v>-10.396011801860778</c:v>
                </c:pt>
                <c:pt idx="402">
                  <c:v>-10.13400289949632</c:v>
                </c:pt>
                <c:pt idx="403">
                  <c:v>-9.879141924599093</c:v>
                </c:pt>
                <c:pt idx="404">
                  <c:v>-9.6311805220959474</c:v>
                </c:pt>
                <c:pt idx="405">
                  <c:v>-9.3898812987672837</c:v>
                </c:pt>
                <c:pt idx="406">
                  <c:v>-9.1550172468766853</c:v>
                </c:pt>
                <c:pt idx="407">
                  <c:v>-8.9263712030529199</c:v>
                </c:pt>
                <c:pt idx="408">
                  <c:v>-8.7037353399744486</c:v>
                </c:pt>
                <c:pt idx="409">
                  <c:v>-8.4869106885970069</c:v>
                </c:pt>
                <c:pt idx="410">
                  <c:v>-8.2757066888388575</c:v>
                </c:pt>
                <c:pt idx="411">
                  <c:v>-8.0699407667976288</c:v>
                </c:pt>
                <c:pt idx="412">
                  <c:v>-7.8694379367184233</c:v>
                </c:pt>
                <c:pt idx="413">
                  <c:v>-7.6740304260665466</c:v>
                </c:pt>
                <c:pt idx="414">
                  <c:v>-7.4835573221808298</c:v>
                </c:pt>
                <c:pt idx="415">
                  <c:v>-7.2978642390958841</c:v>
                </c:pt>
                <c:pt idx="416">
                  <c:v>-7.1168030032251046</c:v>
                </c:pt>
                <c:pt idx="417">
                  <c:v>-6.940231356691057</c:v>
                </c:pt>
                <c:pt idx="418">
                  <c:v>-6.768012677177385</c:v>
                </c:pt>
                <c:pt idx="419">
                  <c:v>-6.6000157132566333</c:v>
                </c:pt>
                <c:pt idx="420">
                  <c:v>-6.4361143342225837</c:v>
                </c:pt>
                <c:pt idx="421">
                  <c:v>-6.2761872935238703</c:v>
                </c:pt>
                <c:pt idx="422">
                  <c:v>-6.1201180049586936</c:v>
                </c:pt>
                <c:pt idx="423">
                  <c:v>-5.9677943308484851</c:v>
                </c:pt>
                <c:pt idx="424">
                  <c:v>-5.8191083814621143</c:v>
                </c:pt>
                <c:pt idx="425">
                  <c:v>-5.6739563250118614</c:v>
                </c:pt>
                <c:pt idx="426">
                  <c:v>-5.5322382075881436</c:v>
                </c:pt>
                <c:pt idx="427">
                  <c:v>-5.3938577824425638</c:v>
                </c:pt>
                <c:pt idx="428">
                  <c:v>-5.2587223480680496</c:v>
                </c:pt>
                <c:pt idx="429">
                  <c:v>-5.1267425945613514</c:v>
                </c:pt>
                <c:pt idx="430">
                  <c:v>-4.9978324577868225</c:v>
                </c:pt>
                <c:pt idx="431">
                  <c:v>-4.8719089808918357</c:v>
                </c:pt>
                <c:pt idx="432">
                  <c:v>-4.748892182753095</c:v>
                </c:pt>
                <c:pt idx="433">
                  <c:v>-4.6287049329602725</c:v>
                </c:pt>
                <c:pt idx="434">
                  <c:v>-4.5112728329682454</c:v>
                </c:pt>
                <c:pt idx="435">
                  <c:v>-4.3965241030727356</c:v>
                </c:pt>
                <c:pt idx="436">
                  <c:v>-4.2843894748856446</c:v>
                </c:pt>
                <c:pt idx="437">
                  <c:v>-4.1748020890066986</c:v>
                </c:pt>
                <c:pt idx="438">
                  <c:v>-4.0676973976066328</c:v>
                </c:pt>
                <c:pt idx="439">
                  <c:v>-3.9630130716548537</c:v>
                </c:pt>
                <c:pt idx="440">
                  <c:v>-3.8606889125406108</c:v>
                </c:pt>
                <c:pt idx="441">
                  <c:v>-3.7606667678520669</c:v>
                </c:pt>
                <c:pt idx="442">
                  <c:v>-3.6628904510917675</c:v>
                </c:pt>
                <c:pt idx="443">
                  <c:v>-3.5673056651202906</c:v>
                </c:pt>
                <c:pt idx="444">
                  <c:v>-3.4738599291321868</c:v>
                </c:pt>
                <c:pt idx="445">
                  <c:v>-3.3825025089799383</c:v>
                </c:pt>
                <c:pt idx="446">
                  <c:v>-3.293184350672385</c:v>
                </c:pt>
                <c:pt idx="447">
                  <c:v>-3.2058580168842226</c:v>
                </c:pt>
                <c:pt idx="448">
                  <c:v>-3.1204776263226317</c:v>
                </c:pt>
                <c:pt idx="449">
                  <c:v>-3.0369987958058946</c:v>
                </c:pt>
                <c:pt idx="450">
                  <c:v>-2.9553785849171716</c:v>
                </c:pt>
                <c:pt idx="451">
                  <c:v>-2.8755754431043865</c:v>
                </c:pt>
                <c:pt idx="452">
                  <c:v>-2.7975491591043817</c:v>
                </c:pt>
                <c:pt idx="453">
                  <c:v>-2.7212608125763977</c:v>
                </c:pt>
                <c:pt idx="454">
                  <c:v>-2.6466727278362456</c:v>
                </c:pt>
                <c:pt idx="455">
                  <c:v>-2.5737484295886111</c:v>
                </c:pt>
                <c:pt idx="456">
                  <c:v>-2.5024526005605234</c:v>
                </c:pt>
                <c:pt idx="457">
                  <c:v>-2.4327510409443014</c:v>
                </c:pt>
                <c:pt idx="458">
                  <c:v>-2.3646106295632974</c:v>
                </c:pt>
                <c:pt idx="459">
                  <c:v>-2.2979992866783809</c:v>
                </c:pt>
                <c:pt idx="460">
                  <c:v>-2.2328859383575201</c:v>
                </c:pt>
                <c:pt idx="461">
                  <c:v>-2.1692404823349376</c:v>
                </c:pt>
                <c:pt idx="462">
                  <c:v>-2.1070337552901899</c:v>
                </c:pt>
                <c:pt idx="463">
                  <c:v>-2.0462375014811709</c:v>
                </c:pt>
                <c:pt idx="464">
                  <c:v>-1.9868243426684942</c:v>
                </c:pt>
                <c:pt idx="465">
                  <c:v>-1.9287677492719069</c:v>
                </c:pt>
                <c:pt idx="466">
                  <c:v>-1.8720420127024471</c:v>
                </c:pt>
                <c:pt idx="467">
                  <c:v>-1.816622218816947</c:v>
                </c:pt>
                <c:pt idx="468">
                  <c:v>-1.7624842224441331</c:v>
                </c:pt>
                <c:pt idx="469">
                  <c:v>-1.7096046229341573</c:v>
                </c:pt>
                <c:pt idx="470">
                  <c:v>-1.6579607406857664</c:v>
                </c:pt>
                <c:pt idx="471">
                  <c:v>-1.6075305946075642</c:v>
                </c:pt>
                <c:pt idx="472">
                  <c:v>-1.5582928804719773</c:v>
                </c:pt>
                <c:pt idx="473">
                  <c:v>-1.5102269501224861</c:v>
                </c:pt>
                <c:pt idx="474">
                  <c:v>-1.4633127914965982</c:v>
                </c:pt>
                <c:pt idx="475">
                  <c:v>-1.4175310094287923</c:v>
                </c:pt>
                <c:pt idx="476">
                  <c:v>-1.3728628071993467</c:v>
                </c:pt>
                <c:pt idx="477">
                  <c:v>-1.3292899687964899</c:v>
                </c:pt>
                <c:pt idx="478">
                  <c:v>-1.2867948418608333</c:v>
                </c:pt>
                <c:pt idx="479">
                  <c:v>-1.2453603212823634</c:v>
                </c:pt>
                <c:pt idx="480">
                  <c:v>-1.2049698334216157</c:v>
                </c:pt>
                <c:pt idx="481">
                  <c:v>-1.165607320927823</c:v>
                </c:pt>
                <c:pt idx="482">
                  <c:v>-1.1272572281279658</c:v>
                </c:pt>
                <c:pt idx="483">
                  <c:v>-1.0899044869617049</c:v>
                </c:pt>
                <c:pt idx="484">
                  <c:v>-1.053534503438148</c:v>
                </c:pt>
                <c:pt idx="485">
                  <c:v>-1.0181331445912944</c:v>
                </c:pt>
                <c:pt idx="486">
                  <c:v>-0.98368672591184325</c:v>
                </c:pt>
                <c:pt idx="487">
                  <c:v>-0.95018199923377966</c:v>
                </c:pt>
                <c:pt idx="488">
                  <c:v>-0.91760614105489058</c:v>
                </c:pt>
                <c:pt idx="489">
                  <c:v>-0.88594674127092066</c:v>
                </c:pt>
                <c:pt idx="490">
                  <c:v>-0.85519179230368481</c:v>
                </c:pt>
                <c:pt idx="491">
                  <c:v>-0.82532967860389861</c:v>
                </c:pt>
                <c:pt idx="492">
                  <c:v>-0.79634916650992749</c:v>
                </c:pt>
                <c:pt idx="493">
                  <c:v>-0.76823939444398404</c:v>
                </c:pt>
                <c:pt idx="494">
                  <c:v>-0.74098986342760231</c:v>
                </c:pt>
                <c:pt idx="495">
                  <c:v>-0.71459042789839722</c:v>
                </c:pt>
                <c:pt idx="496">
                  <c:v>-0.68903128681028458</c:v>
                </c:pt>
                <c:pt idx="497">
                  <c:v>-0.66430297499938362</c:v>
                </c:pt>
                <c:pt idx="498">
                  <c:v>-0.6403963547978313</c:v>
                </c:pt>
                <c:pt idx="499">
                  <c:v>-0.61730260787764946</c:v>
                </c:pt>
                <c:pt idx="500">
                  <c:v>-0.5950132273066796</c:v>
                </c:pt>
                <c:pt idx="501">
                  <c:v>-0.57352000979835605</c:v>
                </c:pt>
                <c:pt idx="502">
                  <c:v>-0.55281504813683269</c:v>
                </c:pt>
                <c:pt idx="503">
                  <c:v>-0.53289072375861335</c:v>
                </c:pt>
                <c:pt idx="504">
                  <c:v>-0.51373969947143594</c:v>
                </c:pt>
                <c:pt idx="505">
                  <c:v>-0.49535491229070761</c:v>
                </c:pt>
                <c:pt idx="506">
                  <c:v>-0.47772956637330155</c:v>
                </c:pt>
                <c:pt idx="507">
                  <c:v>-0.46085712602799084</c:v>
                </c:pt>
                <c:pt idx="508">
                  <c:v>-0.44473130878129957</c:v>
                </c:pt>
                <c:pt idx="509">
                  <c:v>-0.42934607847702355</c:v>
                </c:pt>
                <c:pt idx="510">
                  <c:v>-0.414695638387236</c:v>
                </c:pt>
                <c:pt idx="511">
                  <c:v>-0.40077442431220361</c:v>
                </c:pt>
                <c:pt idx="512">
                  <c:v>-0.38757709764640952</c:v>
                </c:pt>
                <c:pt idx="513">
                  <c:v>-0.37509853838778201</c:v>
                </c:pt>
                <c:pt idx="514">
                  <c:v>-0.36333383806739838</c:v>
                </c:pt>
                <c:pt idx="515">
                  <c:v>-0.35227829257735527</c:v>
                </c:pt>
                <c:pt idx="516">
                  <c:v>-0.34192739487529678</c:v>
                </c:pt>
                <c:pt idx="517">
                  <c:v>-0.33227682754529164</c:v>
                </c:pt>
                <c:pt idx="518">
                  <c:v>-0.32332245519643937</c:v>
                </c:pt>
                <c:pt idx="519">
                  <c:v>-0.31506031668281481</c:v>
                </c:pt>
                <c:pt idx="520">
                  <c:v>-0.30748661713116732</c:v>
                </c:pt>
                <c:pt idx="521">
                  <c:v>-0.30059771976623406</c:v>
                </c:pt>
                <c:pt idx="522">
                  <c:v>-0.29439013752757648</c:v>
                </c:pt>
                <c:pt idx="523">
                  <c:v>-0.28886052447651445</c:v>
                </c:pt>
                <c:pt idx="524">
                  <c:v>-0.28400566699694396</c:v>
                </c:pt>
                <c:pt idx="525">
                  <c:v>-0.27982247479947348</c:v>
                </c:pt>
                <c:pt idx="526">
                  <c:v>-0.27630797174429411</c:v>
                </c:pt>
                <c:pt idx="527">
                  <c:v>-0.27345928650429341</c:v>
                </c:pt>
                <c:pt idx="528">
                  <c:v>-0.27127364309595908</c:v>
                </c:pt>
                <c:pt idx="529">
                  <c:v>-0.26974835131133867</c:v>
                </c:pt>
                <c:pt idx="530">
                  <c:v>-0.26888079708949231</c:v>
                </c:pt>
                <c:pt idx="531">
                  <c:v>-0.26866843287026532</c:v>
                </c:pt>
                <c:pt idx="532">
                  <c:v>-0.26910876797658584</c:v>
                </c:pt>
                <c:pt idx="533">
                  <c:v>-0.27019935907371717</c:v>
                </c:pt>
                <c:pt idx="534">
                  <c:v>-0.27193780075482776</c:v>
                </c:pt>
                <c:pt idx="535">
                  <c:v>-0.27432171630184654</c:v>
                </c:pt>
                <c:pt idx="536">
                  <c:v>-0.27734874866887205</c:v>
                </c:pt>
                <c:pt idx="537">
                  <c:v>-0.28101655173249679</c:v>
                </c:pt>
                <c:pt idx="538">
                  <c:v>-0.28532278184942678</c:v>
                </c:pt>
                <c:pt idx="539">
                  <c:v>-0.29026508975696375</c:v>
                </c:pt>
                <c:pt idx="540">
                  <c:v>-0.2958411128464466</c:v>
                </c:pt>
                <c:pt idx="541">
                  <c:v>-0.30204846783393063</c:v>
                </c:pt>
                <c:pt idx="542">
                  <c:v>-0.30888474384639653</c:v>
                </c:pt>
                <c:pt idx="543">
                  <c:v>-0.31634749593589878</c:v>
                </c:pt>
                <c:pt idx="544">
                  <c:v>-0.32443423902843488</c:v>
                </c:pt>
                <c:pt idx="545">
                  <c:v>-0.33314244230913015</c:v>
                </c:pt>
                <c:pt idx="546">
                  <c:v>-0.34246952404066638</c:v>
                </c:pt>
                <c:pt idx="547">
                  <c:v>-0.35241284680783819</c:v>
                </c:pt>
                <c:pt idx="548">
                  <c:v>-0.36296971317770454</c:v>
                </c:pt>
                <c:pt idx="549">
                  <c:v>-0.37413736176203854</c:v>
                </c:pt>
                <c:pt idx="550">
                  <c:v>-0.38591296366661826</c:v>
                </c:pt>
                <c:pt idx="551">
                  <c:v>-0.3982936193103318</c:v>
                </c:pt>
                <c:pt idx="552">
                  <c:v>-0.41127635559599118</c:v>
                </c:pt>
                <c:pt idx="553">
                  <c:v>-0.4248581234141463</c:v>
                </c:pt>
                <c:pt idx="554">
                  <c:v>-0.43903579546095672</c:v>
                </c:pt>
                <c:pt idx="555">
                  <c:v>-0.45380616435126003</c:v>
                </c:pt>
                <c:pt idx="556">
                  <c:v>-0.46916594100833509</c:v>
                </c:pt>
                <c:pt idx="557">
                  <c:v>-0.48511175331238093</c:v>
                </c:pt>
                <c:pt idx="558">
                  <c:v>-0.50164014499043974</c:v>
                </c:pt>
                <c:pt idx="559">
                  <c:v>-0.51874757473127864</c:v>
                </c:pt>
                <c:pt idx="560">
                  <c:v>-0.53643041550960779</c:v>
                </c:pt>
                <c:pt idx="561">
                  <c:v>-0.5546849541049228</c:v>
                </c:pt>
                <c:pt idx="562">
                  <c:v>-0.57350739080115809</c:v>
                </c:pt>
                <c:pt idx="563">
                  <c:v>-0.59289383925425543</c:v>
                </c:pt>
                <c:pt idx="564">
                  <c:v>-0.61284032651563924</c:v>
                </c:pt>
                <c:pt idx="565">
                  <c:v>-0.63334279320043074</c:v>
                </c:pt>
                <c:pt idx="566">
                  <c:v>-0.65439709379006528</c:v>
                </c:pt>
                <c:pt idx="567">
                  <c:v>-0.67599899705973343</c:v>
                </c:pt>
                <c:pt idx="568">
                  <c:v>-0.69814418662179301</c:v>
                </c:pt>
                <c:pt idx="569">
                  <c:v>-0.72082826157697488</c:v>
                </c:pt>
                <c:pt idx="570">
                  <c:v>-0.7440467372658256</c:v>
                </c:pt>
                <c:pt idx="571">
                  <c:v>-0.76779504611340943</c:v>
                </c:pt>
                <c:pt idx="572">
                  <c:v>-0.79206853856082637</c:v>
                </c:pt>
                <c:pt idx="573">
                  <c:v>-0.81686248407757822</c:v>
                </c:pt>
                <c:pt idx="574">
                  <c:v>-0.84217207224927459</c:v>
                </c:pt>
                <c:pt idx="575">
                  <c:v>-0.86799241393557025</c:v>
                </c:pt>
                <c:pt idx="576">
                  <c:v>-0.89431854249359122</c:v>
                </c:pt>
                <c:pt idx="577">
                  <c:v>-0.92114541506245029</c:v>
                </c:pt>
                <c:pt idx="578">
                  <c:v>-0.94846791390476159</c:v>
                </c:pt>
                <c:pt idx="579">
                  <c:v>-0.97628084780133384</c:v>
                </c:pt>
                <c:pt idx="580">
                  <c:v>-1.0045789534954719</c:v>
                </c:pt>
                <c:pt idx="581">
                  <c:v>-1.033356897183564</c:v>
                </c:pt>
                <c:pt idx="582">
                  <c:v>-1.0626092760488128</c:v>
                </c:pt>
                <c:pt idx="583">
                  <c:v>-1.0923306198351772</c:v>
                </c:pt>
                <c:pt idx="584">
                  <c:v>-1.1225153924587503</c:v>
                </c:pt>
                <c:pt idx="585">
                  <c:v>-1.1531579936539647</c:v>
                </c:pt>
                <c:pt idx="586">
                  <c:v>-1.1842527606521347</c:v>
                </c:pt>
                <c:pt idx="587">
                  <c:v>-1.2157939698900129</c:v>
                </c:pt>
                <c:pt idx="588">
                  <c:v>-1.2477758387460973</c:v>
                </c:pt>
                <c:pt idx="589">
                  <c:v>-1.2801925273025954</c:v>
                </c:pt>
                <c:pt idx="590">
                  <c:v>-1.313038140130987</c:v>
                </c:pt>
                <c:pt idx="591">
                  <c:v>-1.346306728099264</c:v>
                </c:pt>
                <c:pt idx="592">
                  <c:v>-1.3799922901989765</c:v>
                </c:pt>
                <c:pt idx="593">
                  <c:v>-1.414088775390296</c:v>
                </c:pt>
                <c:pt idx="594">
                  <c:v>-1.4485900844633794</c:v>
                </c:pt>
                <c:pt idx="595">
                  <c:v>-1.4834900719143826</c:v>
                </c:pt>
                <c:pt idx="596">
                  <c:v>-1.5187825478345034</c:v>
                </c:pt>
                <c:pt idx="597">
                  <c:v>-1.5544612798105286</c:v>
                </c:pt>
                <c:pt idx="598">
                  <c:v>-1.5905199948353781</c:v>
                </c:pt>
                <c:pt idx="599">
                  <c:v>-1.6269523812271991</c:v>
                </c:pt>
                <c:pt idx="600">
                  <c:v>-1.6637520905555945</c:v>
                </c:pt>
                <c:pt idx="601">
                  <c:v>-1.7009127395736316</c:v>
                </c:pt>
                <c:pt idx="602">
                  <c:v>-1.7384279121542923</c:v>
                </c:pt>
                <c:pt idx="603">
                  <c:v>-1.7762911612300736</c:v>
                </c:pt>
                <c:pt idx="604">
                  <c:v>-1.8144960107344912</c:v>
                </c:pt>
                <c:pt idx="605">
                  <c:v>-1.8530359575442372</c:v>
                </c:pt>
                <c:pt idx="606">
                  <c:v>-1.8919044734208268</c:v>
                </c:pt>
                <c:pt idx="607">
                  <c:v>-1.9310950069505417</c:v>
                </c:pt>
                <c:pt idx="608">
                  <c:v>-1.9706009854815658</c:v>
                </c:pt>
                <c:pt idx="609">
                  <c:v>-2.010415817057166</c:v>
                </c:pt>
                <c:pt idx="610">
                  <c:v>-2.0505328923438748</c:v>
                </c:pt>
                <c:pt idx="611">
                  <c:v>-2.0909455865536062</c:v>
                </c:pt>
                <c:pt idx="612">
                  <c:v>-2.1316472613586681</c:v>
                </c:pt>
                <c:pt idx="613">
                  <c:v>-2.1726312667986778</c:v>
                </c:pt>
                <c:pt idx="614">
                  <c:v>-2.2138909431784137</c:v>
                </c:pt>
                <c:pt idx="615">
                  <c:v>-2.255419622955614</c:v>
                </c:pt>
                <c:pt idx="616">
                  <c:v>-2.2972106326178379</c:v>
                </c:pt>
                <c:pt idx="617">
                  <c:v>-2.3392572945474392</c:v>
                </c:pt>
                <c:pt idx="618">
                  <c:v>-2.3815529288738038</c:v>
                </c:pt>
                <c:pt idx="619">
                  <c:v>-2.4240908553119769</c:v>
                </c:pt>
                <c:pt idx="620">
                  <c:v>-2.4668643949868341</c:v>
                </c:pt>
                <c:pt idx="621">
                  <c:v>-2.5098668722420068</c:v>
                </c:pt>
                <c:pt idx="622">
                  <c:v>-2.5530916164327397</c:v>
                </c:pt>
                <c:pt idx="623">
                  <c:v>-2.5965319637019495</c:v>
                </c:pt>
                <c:pt idx="624">
                  <c:v>-2.6401812587387026</c:v>
                </c:pt>
                <c:pt idx="625">
                  <c:v>-2.6840328565184128</c:v>
                </c:pt>
                <c:pt idx="626">
                  <c:v>-2.7280801240240504</c:v>
                </c:pt>
                <c:pt idx="627">
                  <c:v>-2.7723164419476878</c:v>
                </c:pt>
                <c:pt idx="628">
                  <c:v>-2.816735206371717</c:v>
                </c:pt>
                <c:pt idx="629">
                  <c:v>-2.8613298304291179</c:v>
                </c:pt>
                <c:pt idx="630">
                  <c:v>-2.9060937459421607</c:v>
                </c:pt>
                <c:pt idx="631">
                  <c:v>-2.951020405038947</c:v>
                </c:pt>
                <c:pt idx="632">
                  <c:v>-2.9961032817472386</c:v>
                </c:pt>
                <c:pt idx="633">
                  <c:v>-3.0413358735650227</c:v>
                </c:pt>
                <c:pt idx="634">
                  <c:v>-3.0867117030072722</c:v>
                </c:pt>
                <c:pt idx="635">
                  <c:v>-3.1322243191284427</c:v>
                </c:pt>
                <c:pt idx="636">
                  <c:v>-3.1778672990201868</c:v>
                </c:pt>
                <c:pt idx="637">
                  <c:v>-3.2236342492838528</c:v>
                </c:pt>
                <c:pt idx="638">
                  <c:v>-3.2695188074773327</c:v>
                </c:pt>
                <c:pt idx="639">
                  <c:v>-3.3155146435358378</c:v>
                </c:pt>
                <c:pt idx="640">
                  <c:v>-3.3616154611662146</c:v>
                </c:pt>
                <c:pt idx="641">
                  <c:v>-3.4078149992144344</c:v>
                </c:pt>
                <c:pt idx="642">
                  <c:v>-3.454107033005922</c:v>
                </c:pt>
                <c:pt idx="643">
                  <c:v>-3.500485375658358</c:v>
                </c:pt>
                <c:pt idx="644">
                  <c:v>-3.5469438793667045</c:v>
                </c:pt>
                <c:pt idx="645">
                  <c:v>-3.5934764366601253</c:v>
                </c:pt>
                <c:pt idx="646">
                  <c:v>-3.6400769816305538</c:v>
                </c:pt>
                <c:pt idx="647">
                  <c:v>-3.6867394911326836</c:v>
                </c:pt>
                <c:pt idx="648">
                  <c:v>-3.7334579859551313</c:v>
                </c:pt>
                <c:pt idx="649">
                  <c:v>-3.7802265319625872</c:v>
                </c:pt>
                <c:pt idx="650">
                  <c:v>-3.8270392412087832</c:v>
                </c:pt>
                <c:pt idx="651">
                  <c:v>-3.8738902730200806</c:v>
                </c:pt>
                <c:pt idx="652">
                  <c:v>-3.9207738350495989</c:v>
                </c:pt>
                <c:pt idx="653">
                  <c:v>-3.9676841843016843</c:v>
                </c:pt>
                <c:pt idx="654">
                  <c:v>-4.014615628126708</c:v>
                </c:pt>
                <c:pt idx="655">
                  <c:v>-4.0615625251860132</c:v>
                </c:pt>
                <c:pt idx="656">
                  <c:v>-4.1085192863870539</c:v>
                </c:pt>
                <c:pt idx="657">
                  <c:v>-4.155480375788569</c:v>
                </c:pt>
                <c:pt idx="658">
                  <c:v>-4.2024403114758675</c:v>
                </c:pt>
                <c:pt idx="659">
                  <c:v>-4.2493936664061378</c:v>
                </c:pt>
                <c:pt idx="660">
                  <c:v>-4.2963350692238418</c:v>
                </c:pt>
                <c:pt idx="661">
                  <c:v>-4.3432592050461958</c:v>
                </c:pt>
                <c:pt idx="662">
                  <c:v>-4.390160816218776</c:v>
                </c:pt>
                <c:pt idx="663">
                  <c:v>-4.437034703041344</c:v>
                </c:pt>
                <c:pt idx="664">
                  <c:v>-4.4838757244639158</c:v>
                </c:pt>
                <c:pt idx="665">
                  <c:v>-4.5306787987532227</c:v>
                </c:pt>
                <c:pt idx="666">
                  <c:v>-4.5774389041296315</c:v>
                </c:pt>
                <c:pt idx="667">
                  <c:v>-4.6241510793746823</c:v>
                </c:pt>
                <c:pt idx="668">
                  <c:v>-4.6708104244093329</c:v>
                </c:pt>
                <c:pt idx="669">
                  <c:v>-4.7174121008431342</c:v>
                </c:pt>
                <c:pt idx="670">
                  <c:v>-4.7639513324944467</c:v>
                </c:pt>
                <c:pt idx="671">
                  <c:v>-4.8104234058819042</c:v>
                </c:pt>
                <c:pt idx="672">
                  <c:v>-4.8568236706873202</c:v>
                </c:pt>
                <c:pt idx="673">
                  <c:v>-4.9031475401902451</c:v>
                </c:pt>
                <c:pt idx="674">
                  <c:v>-4.9493904916743974</c:v>
                </c:pt>
                <c:pt idx="675">
                  <c:v>-4.9955480668062036</c:v>
                </c:pt>
                <c:pt idx="676">
                  <c:v>-5.0416158719856865</c:v>
                </c:pt>
                <c:pt idx="677">
                  <c:v>-5.0875895786699745</c:v>
                </c:pt>
                <c:pt idx="678">
                  <c:v>-5.1334649236696857</c:v>
                </c:pt>
                <c:pt idx="679">
                  <c:v>-5.1792377094184925</c:v>
                </c:pt>
                <c:pt idx="680">
                  <c:v>-5.2249038042161216</c:v>
                </c:pt>
                <c:pt idx="681">
                  <c:v>-5.2704591424451248</c:v>
                </c:pt>
                <c:pt idx="682">
                  <c:v>-5.3158997247617252</c:v>
                </c:pt>
                <c:pt idx="683">
                  <c:v>-5.3612216182610206</c:v>
                </c:pt>
                <c:pt idx="684">
                  <c:v>-5.4064209566169552</c:v>
                </c:pt>
                <c:pt idx="685">
                  <c:v>-5.4514939401973086</c:v>
                </c:pt>
                <c:pt idx="686">
                  <c:v>-5.4964368361541016</c:v>
                </c:pt>
                <c:pt idx="687">
                  <c:v>-5.5412459784897639</c:v>
                </c:pt>
                <c:pt idx="688">
                  <c:v>-5.585917768099427</c:v>
                </c:pt>
                <c:pt idx="689">
                  <c:v>-5.6304486727896821</c:v>
                </c:pt>
                <c:pt idx="690">
                  <c:v>-5.674835227274226</c:v>
                </c:pt>
                <c:pt idx="691">
                  <c:v>-5.7190740331467405</c:v>
                </c:pt>
                <c:pt idx="692">
                  <c:v>-5.7631617588313988</c:v>
                </c:pt>
                <c:pt idx="693">
                  <c:v>-5.8070951395114054</c:v>
                </c:pt>
                <c:pt idx="694">
                  <c:v>-5.8508709770359548</c:v>
                </c:pt>
                <c:pt idx="695">
                  <c:v>-5.8944861398060127</c:v>
                </c:pt>
                <c:pt idx="696">
                  <c:v>-5.9379375626393296</c:v>
                </c:pt>
                <c:pt idx="697">
                  <c:v>-5.9812222466151006</c:v>
                </c:pt>
                <c:pt idx="698">
                  <c:v>-6.0243372588986634</c:v>
                </c:pt>
                <c:pt idx="699">
                  <c:v>-6.0672797325467043</c:v>
                </c:pt>
                <c:pt idx="700">
                  <c:v>-6.1100468662933185</c:v>
                </c:pt>
                <c:pt idx="701">
                  <c:v>-6.1526359243174111</c:v>
                </c:pt>
                <c:pt idx="702">
                  <c:v>-6.1950442359918609</c:v>
                </c:pt>
                <c:pt idx="703">
                  <c:v>-6.2372691956147941</c:v>
                </c:pt>
                <c:pt idx="704">
                  <c:v>-6.2793082621235188</c:v>
                </c:pt>
                <c:pt idx="705">
                  <c:v>-6.3211589587914609</c:v>
                </c:pt>
                <c:pt idx="706">
                  <c:v>-6.3628188729085497</c:v>
                </c:pt>
                <c:pt idx="707">
                  <c:v>-6.4042856554455243</c:v>
                </c:pt>
                <c:pt idx="708">
                  <c:v>-6.4455570207025419</c:v>
                </c:pt>
                <c:pt idx="709">
                  <c:v>-6.4866307459425556</c:v>
                </c:pt>
                <c:pt idx="710">
                  <c:v>-6.5275046710098579</c:v>
                </c:pt>
                <c:pt idx="711">
                  <c:v>-6.5681766979342893</c:v>
                </c:pt>
                <c:pt idx="712">
                  <c:v>-6.6086447905214261</c:v>
                </c:pt>
                <c:pt idx="713">
                  <c:v>-6.6489069739293267</c:v>
                </c:pt>
                <c:pt idx="714">
                  <c:v>-6.6889613342321388</c:v>
                </c:pt>
                <c:pt idx="715">
                  <c:v>-6.6890010803397626</c:v>
                </c:pt>
                <c:pt idx="716">
                  <c:v>-6.6890408262392054</c:v>
                </c:pt>
                <c:pt idx="717">
                  <c:v>-6.6890805719304565</c:v>
                </c:pt>
                <c:pt idx="718">
                  <c:v>-6.6891203174135256</c:v>
                </c:pt>
                <c:pt idx="719">
                  <c:v>-6.6891600626884049</c:v>
                </c:pt>
                <c:pt idx="720">
                  <c:v>-6.6891998077550943</c:v>
                </c:pt>
                <c:pt idx="721">
                  <c:v>-6.6892395526135875</c:v>
                </c:pt>
                <c:pt idx="722">
                  <c:v>-6.6892792972638881</c:v>
                </c:pt>
                <c:pt idx="723">
                  <c:v>-6.6893190417059927</c:v>
                </c:pt>
                <c:pt idx="724">
                  <c:v>-6.6893587859398966</c:v>
                </c:pt>
                <c:pt idx="725">
                  <c:v>-6.6893985299656045</c:v>
                </c:pt>
                <c:pt idx="726">
                  <c:v>-6.6894382737831091</c:v>
                </c:pt>
                <c:pt idx="727">
                  <c:v>-6.6894780173924078</c:v>
                </c:pt>
                <c:pt idx="728">
                  <c:v>-6.6895177607935006</c:v>
                </c:pt>
                <c:pt idx="729">
                  <c:v>-6.6895575039863884</c:v>
                </c:pt>
                <c:pt idx="730">
                  <c:v>-6.6895972469710658</c:v>
                </c:pt>
                <c:pt idx="731">
                  <c:v>-6.689636989747533</c:v>
                </c:pt>
                <c:pt idx="732">
                  <c:v>-6.6896767323157844</c:v>
                </c:pt>
                <c:pt idx="733">
                  <c:v>-6.6897164746758309</c:v>
                </c:pt>
                <c:pt idx="734">
                  <c:v>-6.6897562168276554</c:v>
                </c:pt>
                <c:pt idx="735">
                  <c:v>-6.6897959587712608</c:v>
                </c:pt>
                <c:pt idx="736">
                  <c:v>-6.6898357005066496</c:v>
                </c:pt>
                <c:pt idx="737">
                  <c:v>-6.6898754420338165</c:v>
                </c:pt>
                <c:pt idx="738">
                  <c:v>-6.6899151833527579</c:v>
                </c:pt>
                <c:pt idx="739">
                  <c:v>-6.6899549244634748</c:v>
                </c:pt>
                <c:pt idx="740">
                  <c:v>-6.6899946653659654</c:v>
                </c:pt>
                <c:pt idx="741">
                  <c:v>-6.690034406060227</c:v>
                </c:pt>
                <c:pt idx="742">
                  <c:v>-6.6900741465462614</c:v>
                </c:pt>
                <c:pt idx="743">
                  <c:v>-6.6901138868240597</c:v>
                </c:pt>
                <c:pt idx="744">
                  <c:v>-6.6901536268936237</c:v>
                </c:pt>
                <c:pt idx="745">
                  <c:v>-6.690193366754956</c:v>
                </c:pt>
                <c:pt idx="746">
                  <c:v>-6.6902331064080469</c:v>
                </c:pt>
                <c:pt idx="747">
                  <c:v>-6.6902728458529026</c:v>
                </c:pt>
                <c:pt idx="748">
                  <c:v>-6.6903125850895133</c:v>
                </c:pt>
                <c:pt idx="749">
                  <c:v>-6.6903523241178853</c:v>
                </c:pt>
                <c:pt idx="750">
                  <c:v>-6.6903920629380096</c:v>
                </c:pt>
                <c:pt idx="751">
                  <c:v>-6.6904318015498863</c:v>
                </c:pt>
                <c:pt idx="752">
                  <c:v>-6.6904715399535171</c:v>
                </c:pt>
                <c:pt idx="753">
                  <c:v>-6.6905112781488958</c:v>
                </c:pt>
                <c:pt idx="754">
                  <c:v>-6.6905510161360224</c:v>
                </c:pt>
                <c:pt idx="755">
                  <c:v>-6.6905907539148988</c:v>
                </c:pt>
                <c:pt idx="756">
                  <c:v>-6.6906304914855212</c:v>
                </c:pt>
                <c:pt idx="757">
                  <c:v>-6.6906702288478845</c:v>
                </c:pt>
                <c:pt idx="758">
                  <c:v>-6.6907099660019851</c:v>
                </c:pt>
                <c:pt idx="759">
                  <c:v>-6.6907497029478282</c:v>
                </c:pt>
                <c:pt idx="760">
                  <c:v>-6.6907894396854095</c:v>
                </c:pt>
                <c:pt idx="761">
                  <c:v>-6.6908291762147254</c:v>
                </c:pt>
                <c:pt idx="762">
                  <c:v>-6.690868912535775</c:v>
                </c:pt>
                <c:pt idx="763">
                  <c:v>-6.6909086486485574</c:v>
                </c:pt>
                <c:pt idx="764">
                  <c:v>-6.6909483845530699</c:v>
                </c:pt>
                <c:pt idx="765">
                  <c:v>-6.6909881202493109</c:v>
                </c:pt>
                <c:pt idx="766">
                  <c:v>-6.6910278557372811</c:v>
                </c:pt>
                <c:pt idx="767">
                  <c:v>-6.6910675910169735</c:v>
                </c:pt>
                <c:pt idx="768">
                  <c:v>-6.6911073260883906</c:v>
                </c:pt>
                <c:pt idx="769">
                  <c:v>-6.6911470609515256</c:v>
                </c:pt>
                <c:pt idx="770">
                  <c:v>-6.6911867956063871</c:v>
                </c:pt>
                <c:pt idx="771">
                  <c:v>-6.6912265300529601</c:v>
                </c:pt>
                <c:pt idx="772">
                  <c:v>-6.6912662642912579</c:v>
                </c:pt>
                <c:pt idx="773">
                  <c:v>-6.6913059983212619</c:v>
                </c:pt>
                <c:pt idx="774">
                  <c:v>-6.6913457321429819</c:v>
                </c:pt>
                <c:pt idx="775">
                  <c:v>-6.6913854657564134</c:v>
                </c:pt>
                <c:pt idx="776">
                  <c:v>-6.6914251991615474</c:v>
                </c:pt>
                <c:pt idx="777">
                  <c:v>-6.6914649323583966</c:v>
                </c:pt>
                <c:pt idx="778">
                  <c:v>-6.6915046653469501</c:v>
                </c:pt>
                <c:pt idx="779">
                  <c:v>-6.6915443981272071</c:v>
                </c:pt>
                <c:pt idx="780">
                  <c:v>-6.6915841306991659</c:v>
                </c:pt>
                <c:pt idx="781">
                  <c:v>-6.691623863062822</c:v>
                </c:pt>
                <c:pt idx="782">
                  <c:v>-6.6916635952181807</c:v>
                </c:pt>
                <c:pt idx="783">
                  <c:v>-6.6917033271652313</c:v>
                </c:pt>
                <c:pt idx="784">
                  <c:v>-6.6917430589039819</c:v>
                </c:pt>
                <c:pt idx="785">
                  <c:v>-6.6917827904344271</c:v>
                </c:pt>
                <c:pt idx="786">
                  <c:v>-6.6918225217565617</c:v>
                </c:pt>
                <c:pt idx="787">
                  <c:v>-6.6918622528703802</c:v>
                </c:pt>
                <c:pt idx="788">
                  <c:v>-6.6919019837758915</c:v>
                </c:pt>
                <c:pt idx="789">
                  <c:v>-6.6919417144730868</c:v>
                </c:pt>
                <c:pt idx="790">
                  <c:v>-6.691981444961967</c:v>
                </c:pt>
                <c:pt idx="791">
                  <c:v>-6.6920211752425303</c:v>
                </c:pt>
                <c:pt idx="792">
                  <c:v>-6.6920609053147775</c:v>
                </c:pt>
                <c:pt idx="793">
                  <c:v>-6.6921006351786998</c:v>
                </c:pt>
                <c:pt idx="794">
                  <c:v>-6.6921403648342963</c:v>
                </c:pt>
                <c:pt idx="795">
                  <c:v>-6.6921800942815741</c:v>
                </c:pt>
                <c:pt idx="796">
                  <c:v>-6.6922198235205244</c:v>
                </c:pt>
                <c:pt idx="797">
                  <c:v>-6.6922595525511417</c:v>
                </c:pt>
                <c:pt idx="798">
                  <c:v>-6.6922992813734314</c:v>
                </c:pt>
                <c:pt idx="799">
                  <c:v>-6.6923390099873927</c:v>
                </c:pt>
                <c:pt idx="800">
                  <c:v>-6.6923787383930167</c:v>
                </c:pt>
                <c:pt idx="801">
                  <c:v>-6.6924184665903024</c:v>
                </c:pt>
                <c:pt idx="802">
                  <c:v>-6.6924581945792569</c:v>
                </c:pt>
                <c:pt idx="803">
                  <c:v>-6.692497922359868</c:v>
                </c:pt>
                <c:pt idx="804">
                  <c:v>-6.6925376499321425</c:v>
                </c:pt>
                <c:pt idx="805">
                  <c:v>-6.6925773772960691</c:v>
                </c:pt>
                <c:pt idx="806">
                  <c:v>-6.6926171044516574</c:v>
                </c:pt>
                <c:pt idx="807">
                  <c:v>-6.6926568313988986</c:v>
                </c:pt>
                <c:pt idx="808">
                  <c:v>-6.6926965581377909</c:v>
                </c:pt>
                <c:pt idx="809">
                  <c:v>-6.6927362846683334</c:v>
                </c:pt>
                <c:pt idx="810">
                  <c:v>-6.6927760109905226</c:v>
                </c:pt>
                <c:pt idx="811">
                  <c:v>-6.6928157371043611</c:v>
                </c:pt>
                <c:pt idx="812">
                  <c:v>-6.6928554630098436</c:v>
                </c:pt>
                <c:pt idx="813">
                  <c:v>-6.6928951887069701</c:v>
                </c:pt>
                <c:pt idx="814">
                  <c:v>-6.6929349141957371</c:v>
                </c:pt>
                <c:pt idx="815">
                  <c:v>-6.6929746394761445</c:v>
                </c:pt>
                <c:pt idx="816">
                  <c:v>-6.6930143645481897</c:v>
                </c:pt>
                <c:pt idx="817">
                  <c:v>-6.69305408941187</c:v>
                </c:pt>
                <c:pt idx="818">
                  <c:v>-6.6930938140671845</c:v>
                </c:pt>
                <c:pt idx="819">
                  <c:v>-6.6931335385141333</c:v>
                </c:pt>
                <c:pt idx="820">
                  <c:v>-6.6931732627527136</c:v>
                </c:pt>
                <c:pt idx="821">
                  <c:v>-6.6932129867829211</c:v>
                </c:pt>
                <c:pt idx="822">
                  <c:v>-6.6932527106047583</c:v>
                </c:pt>
                <c:pt idx="823">
                  <c:v>-6.6932924342182183</c:v>
                </c:pt>
                <c:pt idx="824">
                  <c:v>-6.6933321576233036</c:v>
                </c:pt>
                <c:pt idx="825">
                  <c:v>-6.6933718808200107</c:v>
                </c:pt>
                <c:pt idx="826">
                  <c:v>-6.6934116038083378</c:v>
                </c:pt>
                <c:pt idx="827">
                  <c:v>-6.693451326588284</c:v>
                </c:pt>
                <c:pt idx="828">
                  <c:v>-6.6934910491598467</c:v>
                </c:pt>
                <c:pt idx="829">
                  <c:v>-6.6935307715230223</c:v>
                </c:pt>
                <c:pt idx="830">
                  <c:v>-6.6935704936778153</c:v>
                </c:pt>
                <c:pt idx="831">
                  <c:v>-6.6936102156242168</c:v>
                </c:pt>
                <c:pt idx="832">
                  <c:v>-6.6936499373622258</c:v>
                </c:pt>
                <c:pt idx="833">
                  <c:v>-6.693689658891846</c:v>
                </c:pt>
                <c:pt idx="834">
                  <c:v>-6.693729380213072</c:v>
                </c:pt>
                <c:pt idx="835">
                  <c:v>-6.6937691013259002</c:v>
                </c:pt>
                <c:pt idx="836">
                  <c:v>-6.6938088222303289</c:v>
                </c:pt>
                <c:pt idx="837">
                  <c:v>-6.6938485429263634</c:v>
                </c:pt>
                <c:pt idx="838">
                  <c:v>-6.693888263413994</c:v>
                </c:pt>
                <c:pt idx="839">
                  <c:v>-6.6939279836932197</c:v>
                </c:pt>
                <c:pt idx="840">
                  <c:v>-6.693967703764045</c:v>
                </c:pt>
                <c:pt idx="841">
                  <c:v>-6.694007423626462</c:v>
                </c:pt>
                <c:pt idx="842">
                  <c:v>-6.6940471432804731</c:v>
                </c:pt>
                <c:pt idx="843">
                  <c:v>-6.6940868627260688</c:v>
                </c:pt>
                <c:pt idx="844">
                  <c:v>-6.6941265819632569</c:v>
                </c:pt>
                <c:pt idx="845">
                  <c:v>-6.6941663009920296</c:v>
                </c:pt>
                <c:pt idx="846">
                  <c:v>-6.6942060198123885</c:v>
                </c:pt>
                <c:pt idx="847">
                  <c:v>-6.6942457384243257</c:v>
                </c:pt>
                <c:pt idx="848">
                  <c:v>-6.6942854568278447</c:v>
                </c:pt>
                <c:pt idx="849">
                  <c:v>-6.6943251750229518</c:v>
                </c:pt>
                <c:pt idx="850">
                  <c:v>-6.6943648930096327</c:v>
                </c:pt>
                <c:pt idx="851">
                  <c:v>-6.694404610787883</c:v>
                </c:pt>
                <c:pt idx="852">
                  <c:v>-6.6944443283577151</c:v>
                </c:pt>
                <c:pt idx="853">
                  <c:v>-6.6944840457191157</c:v>
                </c:pt>
                <c:pt idx="854">
                  <c:v>-6.6945237628720857</c:v>
                </c:pt>
                <c:pt idx="855">
                  <c:v>-6.6945634798166234</c:v>
                </c:pt>
                <c:pt idx="856">
                  <c:v>-6.6946031965527304</c:v>
                </c:pt>
                <c:pt idx="857">
                  <c:v>-6.6946429130804042</c:v>
                </c:pt>
                <c:pt idx="858">
                  <c:v>-6.6946826293996402</c:v>
                </c:pt>
                <c:pt idx="859">
                  <c:v>-6.6947223455104368</c:v>
                </c:pt>
                <c:pt idx="860">
                  <c:v>-6.6947620614127921</c:v>
                </c:pt>
                <c:pt idx="861">
                  <c:v>-6.6948017771067079</c:v>
                </c:pt>
                <c:pt idx="862">
                  <c:v>-6.6948414925921762</c:v>
                </c:pt>
                <c:pt idx="863">
                  <c:v>-6.6948812078692024</c:v>
                </c:pt>
                <c:pt idx="864">
                  <c:v>-6.694920922937782</c:v>
                </c:pt>
                <c:pt idx="865">
                  <c:v>-6.6949606377979096</c:v>
                </c:pt>
                <c:pt idx="866">
                  <c:v>-6.6950003524495862</c:v>
                </c:pt>
                <c:pt idx="867">
                  <c:v>-6.6950400668928154</c:v>
                </c:pt>
                <c:pt idx="868">
                  <c:v>-6.6950797811275855</c:v>
                </c:pt>
                <c:pt idx="869">
                  <c:v>-6.6951194951539001</c:v>
                </c:pt>
                <c:pt idx="870">
                  <c:v>-6.6951592089717584</c:v>
                </c:pt>
                <c:pt idx="871">
                  <c:v>-6.6951989225811541</c:v>
                </c:pt>
                <c:pt idx="872">
                  <c:v>-6.6952386359820943</c:v>
                </c:pt>
                <c:pt idx="873">
                  <c:v>-6.6952783491745658</c:v>
                </c:pt>
                <c:pt idx="874">
                  <c:v>-6.6953180621585737</c:v>
                </c:pt>
                <c:pt idx="875">
                  <c:v>-6.6953577749341129</c:v>
                </c:pt>
                <c:pt idx="876">
                  <c:v>-6.6953974875011841</c:v>
                </c:pt>
                <c:pt idx="877">
                  <c:v>-6.6954371998597857</c:v>
                </c:pt>
                <c:pt idx="878">
                  <c:v>-6.6954769120099122</c:v>
                </c:pt>
                <c:pt idx="879">
                  <c:v>-6.6955166239515744</c:v>
                </c:pt>
                <c:pt idx="880">
                  <c:v>-6.6955563356847509</c:v>
                </c:pt>
                <c:pt idx="881">
                  <c:v>-6.6955960472094578</c:v>
                </c:pt>
                <c:pt idx="882">
                  <c:v>-6.6956357585256798</c:v>
                </c:pt>
                <c:pt idx="883">
                  <c:v>-6.6956754696334233</c:v>
                </c:pt>
                <c:pt idx="884">
                  <c:v>-6.695715180532682</c:v>
                </c:pt>
                <c:pt idx="885">
                  <c:v>-6.6957548912234577</c:v>
                </c:pt>
                <c:pt idx="886">
                  <c:v>-6.6957946017057441</c:v>
                </c:pt>
                <c:pt idx="887">
                  <c:v>-6.6958343119795449</c:v>
                </c:pt>
                <c:pt idx="888">
                  <c:v>-6.6958740220448583</c:v>
                </c:pt>
                <c:pt idx="889">
                  <c:v>-6.695913731901677</c:v>
                </c:pt>
                <c:pt idx="890">
                  <c:v>-6.6959534415500004</c:v>
                </c:pt>
                <c:pt idx="891">
                  <c:v>-6.6959931509898354</c:v>
                </c:pt>
                <c:pt idx="892">
                  <c:v>-6.6960328602211696</c:v>
                </c:pt>
                <c:pt idx="893">
                  <c:v>-6.6960725692440057</c:v>
                </c:pt>
                <c:pt idx="894">
                  <c:v>-6.6961122780583384</c:v>
                </c:pt>
                <c:pt idx="895">
                  <c:v>-6.696151986664173</c:v>
                </c:pt>
                <c:pt idx="896">
                  <c:v>-6.6961916950615032</c:v>
                </c:pt>
                <c:pt idx="897">
                  <c:v>-6.6962314032503265</c:v>
                </c:pt>
                <c:pt idx="898">
                  <c:v>-6.6962711112306392</c:v>
                </c:pt>
                <c:pt idx="899">
                  <c:v>-6.6963108190024458</c:v>
                </c:pt>
                <c:pt idx="900">
                  <c:v>-6.6963505265657393</c:v>
                </c:pt>
                <c:pt idx="901">
                  <c:v>-6.6963902339205221</c:v>
                </c:pt>
                <c:pt idx="902">
                  <c:v>-6.6964299410667891</c:v>
                </c:pt>
                <c:pt idx="903">
                  <c:v>-6.6964696480045394</c:v>
                </c:pt>
                <c:pt idx="904">
                  <c:v>-6.6965093547337649</c:v>
                </c:pt>
                <c:pt idx="905">
                  <c:v>-6.6965490612544807</c:v>
                </c:pt>
                <c:pt idx="906">
                  <c:v>-6.6965887675666718</c:v>
                </c:pt>
                <c:pt idx="907">
                  <c:v>-6.696628473670339</c:v>
                </c:pt>
                <c:pt idx="908">
                  <c:v>-6.6966681795654805</c:v>
                </c:pt>
                <c:pt idx="909">
                  <c:v>-6.6967078852520974</c:v>
                </c:pt>
                <c:pt idx="910">
                  <c:v>-6.6967475907301823</c:v>
                </c:pt>
                <c:pt idx="911">
                  <c:v>-6.6967872959997354</c:v>
                </c:pt>
                <c:pt idx="912">
                  <c:v>-6.6968270010607558</c:v>
                </c:pt>
                <c:pt idx="913">
                  <c:v>-6.6968667059132425</c:v>
                </c:pt>
                <c:pt idx="914">
                  <c:v>-6.6969064105571956</c:v>
                </c:pt>
                <c:pt idx="915">
                  <c:v>-6.6969461149926124</c:v>
                </c:pt>
                <c:pt idx="916">
                  <c:v>-6.6969858192194884</c:v>
                </c:pt>
                <c:pt idx="917">
                  <c:v>-6.6970255232378237</c:v>
                </c:pt>
                <c:pt idx="918">
                  <c:v>-6.6970652270476139</c:v>
                </c:pt>
                <c:pt idx="919">
                  <c:v>-6.6971049306488553</c:v>
                </c:pt>
                <c:pt idx="920">
                  <c:v>-6.6971446340415577</c:v>
                </c:pt>
                <c:pt idx="921">
                  <c:v>-6.6971843372257132</c:v>
                </c:pt>
                <c:pt idx="922">
                  <c:v>-6.6972240402013128</c:v>
                </c:pt>
                <c:pt idx="923">
                  <c:v>-6.6972637429683584</c:v>
                </c:pt>
                <c:pt idx="924">
                  <c:v>-6.6973034455268516</c:v>
                </c:pt>
                <c:pt idx="925">
                  <c:v>-6.6973431478767926</c:v>
                </c:pt>
                <c:pt idx="926">
                  <c:v>-6.6973828500181725</c:v>
                </c:pt>
                <c:pt idx="927">
                  <c:v>-6.697422551951</c:v>
                </c:pt>
                <c:pt idx="928">
                  <c:v>-6.6974622536752593</c:v>
                </c:pt>
                <c:pt idx="929">
                  <c:v>-6.6975019551909591</c:v>
                </c:pt>
                <c:pt idx="930">
                  <c:v>-6.6975416564980979</c:v>
                </c:pt>
                <c:pt idx="931">
                  <c:v>-6.6975813575966638</c:v>
                </c:pt>
                <c:pt idx="932">
                  <c:v>-6.6976210584866678</c:v>
                </c:pt>
                <c:pt idx="933">
                  <c:v>-6.6976607591681026</c:v>
                </c:pt>
                <c:pt idx="934">
                  <c:v>-6.6977004596409602</c:v>
                </c:pt>
                <c:pt idx="935">
                  <c:v>-6.6977401599052513</c:v>
                </c:pt>
                <c:pt idx="936">
                  <c:v>-6.6977798599609617</c:v>
                </c:pt>
                <c:pt idx="937">
                  <c:v>-6.6978195598080985</c:v>
                </c:pt>
                <c:pt idx="938">
                  <c:v>-6.6978592594466608</c:v>
                </c:pt>
                <c:pt idx="939">
                  <c:v>-6.6978989588766389</c:v>
                </c:pt>
                <c:pt idx="940">
                  <c:v>-6.6979386580980345</c:v>
                </c:pt>
                <c:pt idx="941">
                  <c:v>-6.6979783571108458</c:v>
                </c:pt>
                <c:pt idx="942">
                  <c:v>-6.6980180559150719</c:v>
                </c:pt>
                <c:pt idx="943">
                  <c:v>-6.6980577545107165</c:v>
                </c:pt>
                <c:pt idx="944">
                  <c:v>-6.6980974528977635</c:v>
                </c:pt>
                <c:pt idx="945">
                  <c:v>-6.6981371510762253</c:v>
                </c:pt>
                <c:pt idx="946">
                  <c:v>-6.6981768490460913</c:v>
                </c:pt>
                <c:pt idx="947">
                  <c:v>-6.6982165468073642</c:v>
                </c:pt>
                <c:pt idx="948">
                  <c:v>-6.6982562443600431</c:v>
                </c:pt>
                <c:pt idx="949">
                  <c:v>-6.6982959417041217</c:v>
                </c:pt>
                <c:pt idx="950">
                  <c:v>-6.6983356388395965</c:v>
                </c:pt>
                <c:pt idx="951">
                  <c:v>-6.6983753357664737</c:v>
                </c:pt>
                <c:pt idx="952">
                  <c:v>-6.698415032484748</c:v>
                </c:pt>
                <c:pt idx="953">
                  <c:v>-6.6984547289944194</c:v>
                </c:pt>
                <c:pt idx="954">
                  <c:v>-6.6984944252954808</c:v>
                </c:pt>
                <c:pt idx="955">
                  <c:v>-6.6985341213879366</c:v>
                </c:pt>
                <c:pt idx="956">
                  <c:v>-6.6985738172717788</c:v>
                </c:pt>
                <c:pt idx="957">
                  <c:v>-6.698613512947011</c:v>
                </c:pt>
                <c:pt idx="958">
                  <c:v>-6.698653208413627</c:v>
                </c:pt>
                <c:pt idx="959">
                  <c:v>-6.6986929036716338</c:v>
                </c:pt>
                <c:pt idx="960">
                  <c:v>-6.6987325987210138</c:v>
                </c:pt>
                <c:pt idx="961">
                  <c:v>-6.6987722935617837</c:v>
                </c:pt>
                <c:pt idx="962">
                  <c:v>-6.6988119881939268</c:v>
                </c:pt>
                <c:pt idx="963">
                  <c:v>-6.69885168261745</c:v>
                </c:pt>
                <c:pt idx="964">
                  <c:v>-6.6988913768323473</c:v>
                </c:pt>
                <c:pt idx="965">
                  <c:v>-6.6989310708386203</c:v>
                </c:pt>
                <c:pt idx="966">
                  <c:v>-6.6989707646362655</c:v>
                </c:pt>
                <c:pt idx="967">
                  <c:v>-6.6990104582252776</c:v>
                </c:pt>
                <c:pt idx="968">
                  <c:v>-6.6990501516056566</c:v>
                </c:pt>
                <c:pt idx="969">
                  <c:v>-6.699089844777407</c:v>
                </c:pt>
                <c:pt idx="970">
                  <c:v>-6.6991295377405224</c:v>
                </c:pt>
                <c:pt idx="971">
                  <c:v>-6.6991692304950021</c:v>
                </c:pt>
                <c:pt idx="972">
                  <c:v>-6.6992089230408389</c:v>
                </c:pt>
                <c:pt idx="973">
                  <c:v>-6.6992486153780328</c:v>
                </c:pt>
                <c:pt idx="974">
                  <c:v>-6.6992883075065865</c:v>
                </c:pt>
                <c:pt idx="975">
                  <c:v>-6.6993279994265018</c:v>
                </c:pt>
                <c:pt idx="976">
                  <c:v>-6.6993676911377698</c:v>
                </c:pt>
                <c:pt idx="977">
                  <c:v>-6.6994073826403859</c:v>
                </c:pt>
                <c:pt idx="978">
                  <c:v>-6.6994470739343566</c:v>
                </c:pt>
                <c:pt idx="979">
                  <c:v>-6.6994867650196763</c:v>
                </c:pt>
                <c:pt idx="980">
                  <c:v>-6.6995264558963425</c:v>
                </c:pt>
                <c:pt idx="981">
                  <c:v>-6.6995661465643535</c:v>
                </c:pt>
                <c:pt idx="982">
                  <c:v>-6.6996058370237037</c:v>
                </c:pt>
                <c:pt idx="983">
                  <c:v>-6.6996455272744004</c:v>
                </c:pt>
                <c:pt idx="984">
                  <c:v>-6.6996852173164445</c:v>
                </c:pt>
                <c:pt idx="985">
                  <c:v>-6.6997249071498164</c:v>
                </c:pt>
                <c:pt idx="986">
                  <c:v>-6.6997645967745312</c:v>
                </c:pt>
                <c:pt idx="987">
                  <c:v>-6.6998042861905738</c:v>
                </c:pt>
                <c:pt idx="988">
                  <c:v>-6.6998439753979575</c:v>
                </c:pt>
                <c:pt idx="989">
                  <c:v>-6.6998836643966682</c:v>
                </c:pt>
                <c:pt idx="990">
                  <c:v>-6.6999233531867084</c:v>
                </c:pt>
                <c:pt idx="991">
                  <c:v>-6.6999630417680809</c:v>
                </c:pt>
                <c:pt idx="992">
                  <c:v>-6.7000027301407732</c:v>
                </c:pt>
                <c:pt idx="993">
                  <c:v>-6.7000424183047942</c:v>
                </c:pt>
                <c:pt idx="994">
                  <c:v>-6.7000821062601323</c:v>
                </c:pt>
                <c:pt idx="995">
                  <c:v>-6.7001217940067992</c:v>
                </c:pt>
                <c:pt idx="996">
                  <c:v>-6.7001614815447788</c:v>
                </c:pt>
                <c:pt idx="997">
                  <c:v>-6.7002011688740755</c:v>
                </c:pt>
                <c:pt idx="998">
                  <c:v>-6.7002408559946929</c:v>
                </c:pt>
                <c:pt idx="999">
                  <c:v>-6.7002805429066186</c:v>
                </c:pt>
                <c:pt idx="1000">
                  <c:v>-6.7003202296098614</c:v>
                </c:pt>
              </c:numCache>
            </c:numRef>
          </c:yVal>
          <c:smooth val="0"/>
          <c:extLst>
            <c:ext xmlns:c16="http://schemas.microsoft.com/office/drawing/2014/chart" uri="{C3380CC4-5D6E-409C-BE32-E72D297353CC}">
              <c16:uniqueId val="{00000001-98FB-44D3-B8F5-8492B90384BD}"/>
            </c:ext>
          </c:extLst>
        </c:ser>
        <c:dLbls>
          <c:showLegendKey val="0"/>
          <c:showVal val="0"/>
          <c:showCatName val="0"/>
          <c:showSerName val="0"/>
          <c:showPercent val="0"/>
          <c:showBubbleSize val="0"/>
        </c:dLbls>
        <c:axId val="149575168"/>
        <c:axId val="149577088"/>
      </c:scatterChart>
      <c:valAx>
        <c:axId val="149575168"/>
        <c:scaling>
          <c:orientation val="minMax"/>
        </c:scaling>
        <c:delete val="0"/>
        <c:axPos val="b"/>
        <c:majorGridlines>
          <c:spPr>
            <a:ln w="3175">
              <a:solidFill>
                <a:srgbClr val="000000"/>
              </a:solidFill>
              <a:prstDash val="sysDash"/>
            </a:ln>
          </c:spPr>
        </c:majorGridlines>
        <c:title>
          <c:tx>
            <c:strRef>
              <c:f>Courbes!$B$146</c:f>
              <c:strCache>
                <c:ptCount val="1"/>
                <c:pt idx="0">
                  <c:v>Temps [s]</c:v>
                </c:pt>
              </c:strCache>
            </c:strRef>
          </c:tx>
          <c:overlay val="0"/>
          <c:txPr>
            <a:bodyPr/>
            <a:lstStyle/>
            <a:p>
              <a:pPr>
                <a:defRPr sz="1000" b="1" i="0" u="none" strike="noStrike" baseline="0">
                  <a:solidFill>
                    <a:srgbClr val="000000"/>
                  </a:solidFill>
                  <a:latin typeface="Arial"/>
                  <a:ea typeface="Arial"/>
                  <a:cs typeface="Arial"/>
                </a:defRPr>
              </a:pPr>
              <a:endParaRPr lang="fr-FR"/>
            </a:p>
          </c:tx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fr-FR"/>
          </a:p>
        </c:txPr>
        <c:crossAx val="149577088"/>
        <c:crosses val="autoZero"/>
        <c:crossBetween val="midCat"/>
      </c:valAx>
      <c:valAx>
        <c:axId val="149577088"/>
        <c:scaling>
          <c:orientation val="minMax"/>
        </c:scaling>
        <c:delete val="0"/>
        <c:axPos val="l"/>
        <c:majorGridlines>
          <c:spPr>
            <a:ln w="3175">
              <a:solidFill>
                <a:srgbClr val="000000"/>
              </a:solidFill>
              <a:prstDash val="sysDash"/>
            </a:ln>
          </c:spPr>
        </c:majorGridlines>
        <c:title>
          <c:tx>
            <c:rich>
              <a:bodyPr/>
              <a:lstStyle/>
              <a:p>
                <a:pPr>
                  <a:defRPr sz="1000" b="1" i="0" u="none" strike="noStrike" baseline="0">
                    <a:solidFill>
                      <a:srgbClr val="000000"/>
                    </a:solidFill>
                    <a:latin typeface="Arial"/>
                    <a:ea typeface="Arial"/>
                    <a:cs typeface="Arial"/>
                  </a:defRPr>
                </a:pPr>
                <a:r>
                  <a:rPr lang="fr-FR"/>
                  <a:t>Accélérations [m/s²]_</a:t>
                </a:r>
              </a:p>
            </c:rich>
          </c:tx>
          <c:layout>
            <c:manualLayout>
              <c:xMode val="edge"/>
              <c:yMode val="edge"/>
              <c:x val="2.712264150943397E-2"/>
              <c:y val="0.297386526684164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fr-FR"/>
          </a:p>
        </c:txPr>
        <c:crossAx val="149575168"/>
        <c:crosses val="autoZero"/>
        <c:crossBetween val="midCat"/>
      </c:valAx>
      <c:spPr>
        <a:noFill/>
        <a:ln w="12700">
          <a:solidFill>
            <a:srgbClr val="808080"/>
          </a:solidFill>
          <a:prstDash val="solid"/>
        </a:ln>
      </c:spPr>
    </c:plotArea>
    <c:legend>
      <c:legendPos val="r"/>
      <c:layout>
        <c:manualLayout>
          <c:xMode val="edge"/>
          <c:yMode val="edge"/>
          <c:x val="0.66195018075570744"/>
          <c:y val="0.25777777777777783"/>
          <c:w val="0.30974867528351424"/>
          <c:h val="0.15777777777777779"/>
        </c:manualLayout>
      </c:layout>
      <c:overlay val="0"/>
      <c:spPr>
        <a:solidFill>
          <a:srgbClr val="FFFFFF"/>
        </a:solidFill>
        <a:ln w="3175">
          <a:solidFill>
            <a:srgbClr val="000000"/>
          </a:solidFill>
          <a:prstDash val="solid"/>
        </a:ln>
      </c:spPr>
      <c:txPr>
        <a:bodyPr/>
        <a:lstStyle/>
        <a:p>
          <a:pPr>
            <a:defRPr sz="970" b="0" i="0" u="none" strike="noStrike" baseline="0">
              <a:solidFill>
                <a:srgbClr val="000000"/>
              </a:solidFill>
              <a:latin typeface="Arial"/>
              <a:ea typeface="Arial"/>
              <a:cs typeface="Arial"/>
            </a:defRPr>
          </a:pPr>
          <a:endParaRPr lang="fr-FR"/>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1180555555555562" footer="0.51180555555555562"/>
    <c:pageSetup firstPageNumber="0"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FR"/>
              <a:t>Positions</a:t>
            </a:r>
          </a:p>
        </c:rich>
      </c:tx>
      <c:overlay val="1"/>
    </c:title>
    <c:autoTitleDeleted val="0"/>
    <c:plotArea>
      <c:layout>
        <c:manualLayout>
          <c:layoutTarget val="inner"/>
          <c:xMode val="edge"/>
          <c:yMode val="edge"/>
          <c:x val="0.11674528301886802"/>
          <c:y val="9.4771544282144501E-2"/>
          <c:w val="0.86438679245283023"/>
          <c:h val="0.73856444854360881"/>
        </c:manualLayout>
      </c:layout>
      <c:scatterChart>
        <c:scatterStyle val="lineMarker"/>
        <c:varyColors val="0"/>
        <c:ser>
          <c:idx val="0"/>
          <c:order val="0"/>
          <c:tx>
            <c:strRef>
              <c:f>Courbes!$B$144</c:f>
              <c:strCache>
                <c:ptCount val="1"/>
                <c:pt idx="0">
                  <c:v>Portée</c:v>
                </c:pt>
              </c:strCache>
            </c:strRef>
          </c:tx>
          <c:spPr>
            <a:ln w="25400">
              <a:solidFill>
                <a:srgbClr val="80000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Calculs!$J$4:$J$1004</c:f>
              <c:numCache>
                <c:formatCode>0.00</c:formatCode>
                <c:ptCount val="1001"/>
                <c:pt idx="0">
                  <c:v>0</c:v>
                </c:pt>
                <c:pt idx="1">
                  <c:v>0</c:v>
                </c:pt>
                <c:pt idx="2">
                  <c:v>1.6320904504900539E-4</c:v>
                </c:pt>
                <c:pt idx="3">
                  <c:v>8.1766045198087677E-4</c:v>
                </c:pt>
                <c:pt idx="4">
                  <c:v>2.2931354789787728E-3</c:v>
                </c:pt>
                <c:pt idx="5">
                  <c:v>4.9197268202197178E-3</c:v>
                </c:pt>
                <c:pt idx="6">
                  <c:v>8.944426512602079E-3</c:v>
                </c:pt>
                <c:pt idx="7">
                  <c:v>1.4447519687411856E-2</c:v>
                </c:pt>
                <c:pt idx="8">
                  <c:v>2.142585719678726E-2</c:v>
                </c:pt>
                <c:pt idx="9">
                  <c:v>2.9876276412292374E-2</c:v>
                </c:pt>
                <c:pt idx="10">
                  <c:v>3.97956012727574E-2</c:v>
                </c:pt>
                <c:pt idx="11">
                  <c:v>5.1180642332538211E-2</c:v>
                </c:pt>
                <c:pt idx="12">
                  <c:v>6.4028196810191923E-2</c:v>
                </c:pt>
                <c:pt idx="13">
                  <c:v>7.8335048637565158E-2</c:v>
                </c:pt>
                <c:pt idx="14">
                  <c:v>9.4097968509291585E-2</c:v>
                </c:pt>
                <c:pt idx="15">
                  <c:v>0.11131371393269533</c:v>
                </c:pt>
                <c:pt idx="16">
                  <c:v>0.1299790292780969</c:v>
                </c:pt>
                <c:pt idx="17">
                  <c:v>0.15009064582951803</c:v>
                </c:pt>
                <c:pt idx="18">
                  <c:v>0.17164528183578215</c:v>
                </c:pt>
                <c:pt idx="19">
                  <c:v>0.19463964256200672</c:v>
                </c:pt>
                <c:pt idx="20">
                  <c:v>0.21907042034148405</c:v>
                </c:pt>
                <c:pt idx="21">
                  <c:v>0.24493429462794705</c:v>
                </c:pt>
                <c:pt idx="22">
                  <c:v>0.27222793204821616</c:v>
                </c:pt>
                <c:pt idx="23">
                  <c:v>0.30094798645522391</c:v>
                </c:pt>
                <c:pt idx="24">
                  <c:v>0.33109109898141365</c:v>
                </c:pt>
                <c:pt idx="25">
                  <c:v>0.36265389809250836</c:v>
                </c:pt>
                <c:pt idx="26">
                  <c:v>0.39563299964164617</c:v>
                </c:pt>
                <c:pt idx="27">
                  <c:v>0.43002500692387874</c:v>
                </c:pt>
                <c:pt idx="28">
                  <c:v>0.46582651073102899</c:v>
                </c:pt>
                <c:pt idx="29">
                  <c:v>0.50303408940690364</c:v>
                </c:pt>
                <c:pt idx="30">
                  <c:v>0.54164430890285808</c:v>
                </c:pt>
                <c:pt idx="31">
                  <c:v>0.58165372283370831</c:v>
                </c:pt>
                <c:pt idx="32">
                  <c:v>0.62305887253398706</c:v>
                </c:pt>
                <c:pt idx="33">
                  <c:v>0.66585628711453981</c:v>
                </c:pt>
                <c:pt idx="34">
                  <c:v>0.71004248351945742</c:v>
                </c:pt>
                <c:pt idx="35">
                  <c:v>0.75569788473039057</c:v>
                </c:pt>
                <c:pt idx="36">
                  <c:v>0.80290566680716557</c:v>
                </c:pt>
                <c:pt idx="37">
                  <c:v>0.85166779734229703</c:v>
                </c:pt>
                <c:pt idx="38">
                  <c:v>0.90198610860638107</c:v>
                </c:pt>
                <c:pt idx="39">
                  <c:v>0.95386226517082828</c:v>
                </c:pt>
                <c:pt idx="40">
                  <c:v>1.0072977717225271</c:v>
                </c:pt>
                <c:pt idx="41">
                  <c:v>1.0622939802730664</c:v>
                </c:pt>
                <c:pt idx="42">
                  <c:v>1.118852096824746</c:v>
                </c:pt>
                <c:pt idx="43">
                  <c:v>1.1769731875477671</c:v>
                </c:pt>
                <c:pt idx="44">
                  <c:v>1.2366581845163116</c:v>
                </c:pt>
                <c:pt idx="45">
                  <c:v>1.2979078910455011</c:v>
                </c:pt>
                <c:pt idx="46">
                  <c:v>1.3607229866663231</c:v>
                </c:pt>
                <c:pt idx="47">
                  <c:v>1.4251040317713708</c:v>
                </c:pt>
                <c:pt idx="48">
                  <c:v>1.4910514719605836</c:v>
                </c:pt>
                <c:pt idx="49">
                  <c:v>1.5585656421129916</c:v>
                </c:pt>
                <c:pt idx="50">
                  <c:v>1.6276467702076913</c:v>
                </c:pt>
                <c:pt idx="51">
                  <c:v>1.6982954416130198</c:v>
                </c:pt>
                <c:pt idx="52">
                  <c:v>1.7705130672189946</c:v>
                </c:pt>
                <c:pt idx="53">
                  <c:v>1.8443014312376822</c:v>
                </c:pt>
                <c:pt idx="54">
                  <c:v>1.919662234606951</c:v>
                </c:pt>
                <c:pt idx="55">
                  <c:v>1.9965970975148022</c:v>
                </c:pt>
                <c:pt idx="56">
                  <c:v>2.0751075617886836</c:v>
                </c:pt>
                <c:pt idx="57">
                  <c:v>2.1551950931594859</c:v>
                </c:pt>
                <c:pt idx="58">
                  <c:v>2.2368610834090594</c:v>
                </c:pt>
                <c:pt idx="59">
                  <c:v>2.3201068524093267</c:v>
                </c:pt>
                <c:pt idx="60">
                  <c:v>2.4049336500603684</c:v>
                </c:pt>
                <c:pt idx="61">
                  <c:v>2.4913426581342488</c:v>
                </c:pt>
                <c:pt idx="62">
                  <c:v>2.5793349920307804</c:v>
                </c:pt>
                <c:pt idx="63">
                  <c:v>2.6689117024509335</c:v>
                </c:pt>
                <c:pt idx="64">
                  <c:v>2.7600737769931292</c:v>
                </c:pt>
                <c:pt idx="65">
                  <c:v>2.8528221416772559</c:v>
                </c:pt>
                <c:pt idx="66">
                  <c:v>2.9471576624008642</c:v>
                </c:pt>
                <c:pt idx="67">
                  <c:v>3.0430811463316609</c:v>
                </c:pt>
                <c:pt idx="68">
                  <c:v>3.1405933432401163</c:v>
                </c:pt>
                <c:pt idx="69">
                  <c:v>3.2396949467757108</c:v>
                </c:pt>
                <c:pt idx="70">
                  <c:v>3.3403865956900995</c:v>
                </c:pt>
                <c:pt idx="71">
                  <c:v>3.4426688750102272</c:v>
                </c:pt>
                <c:pt idx="72">
                  <c:v>3.5465423171642234</c:v>
                </c:pt>
                <c:pt idx="73">
                  <c:v>3.652007403062703</c:v>
                </c:pt>
                <c:pt idx="74">
                  <c:v>3.7590645631379203</c:v>
                </c:pt>
                <c:pt idx="75">
                  <c:v>3.8677141783430584</c:v>
                </c:pt>
                <c:pt idx="76">
                  <c:v>3.9779565811137836</c:v>
                </c:pt>
                <c:pt idx="77">
                  <c:v>4.0897920562940531</c:v>
                </c:pt>
                <c:pt idx="78">
                  <c:v>4.2032208420280357</c:v>
                </c:pt>
                <c:pt idx="79">
                  <c:v>4.3182431306198898</c:v>
                </c:pt>
                <c:pt idx="80">
                  <c:v>4.4348590693630241</c:v>
                </c:pt>
                <c:pt idx="81">
                  <c:v>4.5530687613403735</c:v>
                </c:pt>
                <c:pt idx="82">
                  <c:v>4.6728722661971211</c:v>
                </c:pt>
                <c:pt idx="83">
                  <c:v>4.7942696008872163</c:v>
                </c:pt>
                <c:pt idx="84">
                  <c:v>4.9172607403949531</c:v>
                </c:pt>
                <c:pt idx="85">
                  <c:v>5.0418456184327978</c:v>
                </c:pt>
                <c:pt idx="86">
                  <c:v>5.1680241281165893</c:v>
                </c:pt>
                <c:pt idx="87">
                  <c:v>5.2957961226191665</c:v>
                </c:pt>
                <c:pt idx="88">
                  <c:v>5.4251614158034158</c:v>
                </c:pt>
                <c:pt idx="89">
                  <c:v>5.5561197828356779</c:v>
                </c:pt>
                <c:pt idx="90">
                  <c:v>5.6886709607804002</c:v>
                </c:pt>
                <c:pt idx="91">
                  <c:v>5.8228146491768751</c:v>
                </c:pt>
                <c:pt idx="92">
                  <c:v>5.9585505105988421</c:v>
                </c:pt>
                <c:pt idx="93">
                  <c:v>6.0958781711977199</c:v>
                </c:pt>
                <c:pt idx="94">
                  <c:v>6.2347972212301599</c:v>
                </c:pt>
                <c:pt idx="95">
                  <c:v>6.3753072155705981</c:v>
                </c:pt>
                <c:pt idx="96">
                  <c:v>6.5174076742094442</c:v>
                </c:pt>
                <c:pt idx="97">
                  <c:v>6.6610980827374986</c:v>
                </c:pt>
                <c:pt idx="98">
                  <c:v>6.8063778928171805</c:v>
                </c:pt>
                <c:pt idx="99">
                  <c:v>6.9532465226410984</c:v>
                </c:pt>
                <c:pt idx="100">
                  <c:v>7.1017033573784847</c:v>
                </c:pt>
                <c:pt idx="101">
                  <c:v>7.2517475180869333</c:v>
                </c:pt>
                <c:pt idx="102">
                  <c:v>7.4033776294840141</c:v>
                </c:pt>
                <c:pt idx="103">
                  <c:v>7.5565920504220481</c:v>
                </c:pt>
                <c:pt idx="104">
                  <c:v>7.7113891055085935</c:v>
                </c:pt>
                <c:pt idx="105">
                  <c:v>7.86776708555265</c:v>
                </c:pt>
                <c:pt idx="106">
                  <c:v>8.025724248000099</c:v>
                </c:pt>
                <c:pt idx="107">
                  <c:v>8.1852588173587932</c:v>
                </c:pt>
                <c:pt idx="108">
                  <c:v>8.3463689856137115</c:v>
                </c:pt>
                <c:pt idx="109">
                  <c:v>8.5090529126325301</c:v>
                </c:pt>
                <c:pt idx="110">
                  <c:v>8.6733087265619968</c:v>
                </c:pt>
                <c:pt idx="111">
                  <c:v>8.839134524215428</c:v>
                </c:pt>
                <c:pt idx="112">
                  <c:v>9.0065283714516777</c:v>
                </c:pt>
                <c:pt idx="113">
                  <c:v>9.1754883035458707</c:v>
                </c:pt>
                <c:pt idx="114">
                  <c:v>9.3460123255522181</c:v>
                </c:pt>
                <c:pt idx="115">
                  <c:v>9.5180984126591781</c:v>
                </c:pt>
                <c:pt idx="116">
                  <c:v>9.6917445105372568</c:v>
                </c:pt>
                <c:pt idx="117">
                  <c:v>9.8669485356796933</c:v>
                </c:pt>
                <c:pt idx="118">
                  <c:v>10.04370837573628</c:v>
                </c:pt>
                <c:pt idx="119">
                  <c:v>10.222021889840565</c:v>
                </c:pt>
                <c:pt idx="120">
                  <c:v>10.401886908930654</c:v>
                </c:pt>
                <c:pt idx="121">
                  <c:v>10.583301236063827</c:v>
                </c:pt>
                <c:pt idx="122">
                  <c:v>10.766262646725195</c:v>
                </c:pt>
                <c:pt idx="123">
                  <c:v>10.950768889130579</c:v>
                </c:pt>
                <c:pt idx="124">
                  <c:v>11.136817684523809</c:v>
                </c:pt>
                <c:pt idx="125">
                  <c:v>11.324406727468627</c:v>
                </c:pt>
                <c:pt idx="126">
                  <c:v>11.513533686135373</c:v>
                </c:pt>
                <c:pt idx="127">
                  <c:v>11.704196202582608</c:v>
                </c:pt>
                <c:pt idx="128">
                  <c:v>11.896391893033856</c:v>
                </c:pt>
                <c:pt idx="129">
                  <c:v>12.090118348149609</c:v>
                </c:pt>
                <c:pt idx="130">
                  <c:v>12.28537313329474</c:v>
                </c:pt>
                <c:pt idx="131">
                  <c:v>12.482153788801476</c:v>
                </c:pt>
                <c:pt idx="132">
                  <c:v>12.680457830228059</c:v>
                </c:pt>
                <c:pt idx="133">
                  <c:v>12.880282748613245</c:v>
                </c:pt>
                <c:pt idx="134">
                  <c:v>13.081626010726739</c:v>
                </c:pt>
                <c:pt idx="135">
                  <c:v>13.284485059315712</c:v>
                </c:pt>
                <c:pt idx="136">
                  <c:v>13.488857313347513</c:v>
                </c:pt>
                <c:pt idx="137">
                  <c:v>13.694740168248673</c:v>
                </c:pt>
                <c:pt idx="138">
                  <c:v>13.902130996140331</c:v>
                </c:pt>
                <c:pt idx="139">
                  <c:v>14.111027146070171</c:v>
                </c:pt>
                <c:pt idx="140">
                  <c:v>14.321425944240978</c:v>
                </c:pt>
                <c:pt idx="141">
                  <c:v>14.533324694235906</c:v>
                </c:pt>
                <c:pt idx="142">
                  <c:v>14.74672067724055</c:v>
                </c:pt>
                <c:pt idx="143">
                  <c:v>14.961611152261916</c:v>
                </c:pt>
                <c:pt idx="144">
                  <c:v>15.177993356344377</c:v>
                </c:pt>
                <c:pt idx="145">
                  <c:v>15.395864504782685</c:v>
                </c:pt>
                <c:pt idx="146">
                  <c:v>15.615221791332132</c:v>
                </c:pt>
                <c:pt idx="147">
                  <c:v>15.836062388415939</c:v>
                </c:pt>
                <c:pt idx="148">
                  <c:v>16.058383447329934</c:v>
                </c:pt>
                <c:pt idx="149">
                  <c:v>16.282182098444601</c:v>
                </c:pt>
                <c:pt idx="150">
                  <c:v>16.507455451404571</c:v>
                </c:pt>
                <c:pt idx="151">
                  <c:v>16.734200678273599</c:v>
                </c:pt>
                <c:pt idx="152">
                  <c:v>16.962415096952657</c:v>
                </c:pt>
                <c:pt idx="153">
                  <c:v>17.192096088762646</c:v>
                </c:pt>
                <c:pt idx="154">
                  <c:v>17.423241015743422</c:v>
                </c:pt>
                <c:pt idx="155">
                  <c:v>17.65584722082983</c:v>
                </c:pt>
                <c:pt idx="156">
                  <c:v>17.88991202802567</c:v>
                </c:pt>
                <c:pt idx="157">
                  <c:v>18.125432742575665</c:v>
                </c:pt>
                <c:pt idx="158">
                  <c:v>18.362406651135487</c:v>
                </c:pt>
                <c:pt idx="159">
                  <c:v>18.600831021939875</c:v>
                </c:pt>
                <c:pt idx="160">
                  <c:v>18.840703104968892</c:v>
                </c:pt>
                <c:pt idx="161">
                  <c:v>19.082020132112362</c:v>
                </c:pt>
                <c:pt idx="162">
                  <c:v>19.324779317332553</c:v>
                </c:pt>
                <c:pt idx="163">
                  <c:v>19.568977856825118</c:v>
                </c:pt>
                <c:pt idx="164">
                  <c:v>19.814612929178352</c:v>
                </c:pt>
                <c:pt idx="165">
                  <c:v>20.061681695530787</c:v>
                </c:pt>
                <c:pt idx="166">
                  <c:v>20.310181299727184</c:v>
                </c:pt>
                <c:pt idx="167">
                  <c:v>20.560108868472945</c:v>
                </c:pt>
                <c:pt idx="168">
                  <c:v>20.811461511486982</c:v>
                </c:pt>
                <c:pt idx="169">
                  <c:v>21.06423632165307</c:v>
                </c:pt>
                <c:pt idx="170">
                  <c:v>21.318430375169736</c:v>
                </c:pt>
                <c:pt idx="171">
                  <c:v>21.574040731698695</c:v>
                </c:pt>
                <c:pt idx="172">
                  <c:v>21.831064434511873</c:v>
                </c:pt>
                <c:pt idx="173">
                  <c:v>22.089498510637053</c:v>
                </c:pt>
                <c:pt idx="174">
                  <c:v>22.349339971002156</c:v>
                </c:pt>
                <c:pt idx="175">
                  <c:v>22.610585810578208</c:v>
                </c:pt>
                <c:pt idx="176">
                  <c:v>22.873233008520987</c:v>
                </c:pt>
                <c:pt idx="177">
                  <c:v>23.137278528311427</c:v>
                </c:pt>
                <c:pt idx="178">
                  <c:v>23.402719317894736</c:v>
                </c:pt>
                <c:pt idx="179">
                  <c:v>23.669552309818325</c:v>
                </c:pt>
                <c:pt idx="180">
                  <c:v>23.937774421368516</c:v>
                </c:pt>
                <c:pt idx="181">
                  <c:v>24.207382554706076</c:v>
                </c:pt>
                <c:pt idx="182">
                  <c:v>24.478373597000608</c:v>
                </c:pt>
                <c:pt idx="183">
                  <c:v>24.750744420563798</c:v>
                </c:pt>
                <c:pt idx="184">
                  <c:v>25.02449188298155</c:v>
                </c:pt>
                <c:pt idx="185">
                  <c:v>25.299612827245049</c:v>
                </c:pt>
                <c:pt idx="186">
                  <c:v>25.576104081880722</c:v>
                </c:pt>
                <c:pt idx="187">
                  <c:v>25.853962461079171</c:v>
                </c:pt>
                <c:pt idx="188">
                  <c:v>26.133184764823067</c:v>
                </c:pt>
                <c:pt idx="189">
                  <c:v>26.413767779014027</c:v>
                </c:pt>
                <c:pt idx="190">
                  <c:v>26.695708275598484</c:v>
                </c:pt>
                <c:pt idx="191">
                  <c:v>26.979003012692601</c:v>
                </c:pt>
                <c:pt idx="192">
                  <c:v>27.263648734706198</c:v>
                </c:pt>
                <c:pt idx="193">
                  <c:v>27.549642172465735</c:v>
                </c:pt>
                <c:pt idx="194">
                  <c:v>27.836980043336371</c:v>
                </c:pt>
                <c:pt idx="195">
                  <c:v>28.125659051343106</c:v>
                </c:pt>
                <c:pt idx="196">
                  <c:v>28.415675887291002</c:v>
                </c:pt>
                <c:pt idx="197">
                  <c:v>28.707027228884538</c:v>
                </c:pt>
                <c:pt idx="198">
                  <c:v>28.999709740846082</c:v>
                </c:pt>
                <c:pt idx="199">
                  <c:v>29.293720075033491</c:v>
                </c:pt>
                <c:pt idx="200">
                  <c:v>29.589054870556875</c:v>
                </c:pt>
                <c:pt idx="201">
                  <c:v>29.885710753894532</c:v>
                </c:pt>
                <c:pt idx="202">
                  <c:v>30.183684339008032</c:v>
                </c:pt>
                <c:pt idx="203">
                  <c:v>30.482972227456525</c:v>
                </c:pt>
                <c:pt idx="204">
                  <c:v>30.783571008510215</c:v>
                </c:pt>
                <c:pt idx="205">
                  <c:v>31.085477259263072</c:v>
                </c:pt>
                <c:pt idx="206">
                  <c:v>31.388687544744752</c:v>
                </c:pt>
                <c:pt idx="207">
                  <c:v>31.693198418031745</c:v>
                </c:pt>
                <c:pt idx="208">
                  <c:v>31.999006420357787</c:v>
                </c:pt>
                <c:pt idx="209">
                  <c:v>32.306108081223499</c:v>
                </c:pt>
                <c:pt idx="210">
                  <c:v>32.614499918505309</c:v>
                </c:pt>
                <c:pt idx="211">
                  <c:v>32.924178438563629</c:v>
                </c:pt>
                <c:pt idx="212">
                  <c:v>33.235140136350338</c:v>
                </c:pt>
                <c:pt idx="213">
                  <c:v>33.547381495515523</c:v>
                </c:pt>
                <c:pt idx="214">
                  <c:v>33.86089898851354</c:v>
                </c:pt>
                <c:pt idx="215">
                  <c:v>34.17568907670838</c:v>
                </c:pt>
                <c:pt idx="216">
                  <c:v>34.491748210478349</c:v>
                </c:pt>
                <c:pt idx="217">
                  <c:v>34.809072829320066</c:v>
                </c:pt>
                <c:pt idx="218">
                  <c:v>35.127659361951793</c:v>
                </c:pt>
                <c:pt idx="219">
                  <c:v>35.447504226416108</c:v>
                </c:pt>
                <c:pt idx="220">
                  <c:v>35.768603830181924</c:v>
                </c:pt>
                <c:pt idx="221">
                  <c:v>36.090954570245856</c:v>
                </c:pt>
                <c:pt idx="222">
                  <c:v>36.414552833232953</c:v>
                </c:pt>
                <c:pt idx="223">
                  <c:v>36.739394995496795</c:v>
                </c:pt>
                <c:pt idx="224">
                  <c:v>37.065477423218951</c:v>
                </c:pt>
                <c:pt idx="225">
                  <c:v>37.392796472507833</c:v>
                </c:pt>
                <c:pt idx="226">
                  <c:v>37.721348489496933</c:v>
                </c:pt>
                <c:pt idx="227">
                  <c:v>38.051129810442447</c:v>
                </c:pt>
                <c:pt idx="228">
                  <c:v>38.382136761820284</c:v>
                </c:pt>
                <c:pt idx="229">
                  <c:v>38.714365660422516</c:v>
                </c:pt>
                <c:pt idx="230">
                  <c:v>39.047812813453177</c:v>
                </c:pt>
                <c:pt idx="231">
                  <c:v>39.382474518623539</c:v>
                </c:pt>
                <c:pt idx="232">
                  <c:v>39.718347064246757</c:v>
                </c:pt>
                <c:pt idx="233">
                  <c:v>40.05542672933197</c:v>
                </c:pt>
                <c:pt idx="234">
                  <c:v>40.393709783677814</c:v>
                </c:pt>
                <c:pt idx="235">
                  <c:v>40.733192487965376</c:v>
                </c:pt>
                <c:pt idx="236">
                  <c:v>41.073871093850585</c:v>
                </c:pt>
                <c:pt idx="237">
                  <c:v>41.415741844056043</c:v>
                </c:pt>
                <c:pt idx="238">
                  <c:v>41.758800972462303</c:v>
                </c:pt>
                <c:pt idx="239">
                  <c:v>42.103044704198609</c:v>
                </c:pt>
                <c:pt idx="240">
                  <c:v>42.44846925573308</c:v>
                </c:pt>
                <c:pt idx="241">
                  <c:v>42.79507083496236</c:v>
                </c:pt>
                <c:pt idx="242">
                  <c:v>43.142845641300717</c:v>
                </c:pt>
                <c:pt idx="243">
                  <c:v>43.491789865768638</c:v>
                </c:pt>
                <c:pt idx="244">
                  <c:v>43.841899691080876</c:v>
                </c:pt>
                <c:pt idx="245">
                  <c:v>44.193171291733975</c:v>
                </c:pt>
                <c:pt idx="246">
                  <c:v>44.545600834093271</c:v>
                </c:pt>
                <c:pt idx="247">
                  <c:v>44.899184476479391</c:v>
                </c:pt>
                <c:pt idx="248">
                  <c:v>45.253918369254215</c:v>
                </c:pt>
                <c:pt idx="249">
                  <c:v>45.609798654906335</c:v>
                </c:pt>
                <c:pt idx="250">
                  <c:v>45.966821468136025</c:v>
                </c:pt>
                <c:pt idx="251">
                  <c:v>46.32498255247404</c:v>
                </c:pt>
                <c:pt idx="252">
                  <c:v>46.684276876225709</c:v>
                </c:pt>
                <c:pt idx="253">
                  <c:v>47.04469901537216</c:v>
                </c:pt>
                <c:pt idx="254">
                  <c:v>47.406243537161266</c:v>
                </c:pt>
                <c:pt idx="255">
                  <c:v>47.768905000221999</c:v>
                </c:pt>
                <c:pt idx="256">
                  <c:v>48.132677954677952</c:v>
                </c:pt>
                <c:pt idx="257">
                  <c:v>48.49755694226009</c:v>
                </c:pt>
                <c:pt idx="258">
                  <c:v>48.863536496418689</c:v>
                </c:pt>
                <c:pt idx="259">
                  <c:v>49.230611142434519</c:v>
                </c:pt>
                <c:pt idx="260">
                  <c:v>49.598775397529195</c:v>
                </c:pt>
                <c:pt idx="261">
                  <c:v>49.968023770974774</c:v>
                </c:pt>
                <c:pt idx="262">
                  <c:v>50.338350764202588</c:v>
                </c:pt>
                <c:pt idx="263">
                  <c:v>50.709750870911257</c:v>
                </c:pt>
                <c:pt idx="264">
                  <c:v>51.08221857717399</c:v>
                </c:pt>
                <c:pt idx="265">
                  <c:v>51.455748361545076</c:v>
                </c:pt>
                <c:pt idx="266">
                  <c:v>51.830334695165618</c:v>
                </c:pt>
                <c:pt idx="267">
                  <c:v>52.205972041868534</c:v>
                </c:pt>
                <c:pt idx="268">
                  <c:v>52.582654858282766</c:v>
                </c:pt>
                <c:pt idx="269">
                  <c:v>52.960377593936762</c:v>
                </c:pt>
                <c:pt idx="270">
                  <c:v>53.339134691361188</c:v>
                </c:pt>
                <c:pt idx="271">
                  <c:v>53.718920586190912</c:v>
                </c:pt>
                <c:pt idx="272">
                  <c:v>54.099729707266235</c:v>
                </c:pt>
                <c:pt idx="273">
                  <c:v>54.481556476733367</c:v>
                </c:pt>
                <c:pt idx="274">
                  <c:v>54.864395310144197</c:v>
                </c:pt>
                <c:pt idx="275">
                  <c:v>55.248240616555286</c:v>
                </c:pt>
                <c:pt idx="276">
                  <c:v>55.633086798626174</c:v>
                </c:pt>
                <c:pt idx="277">
                  <c:v>56.018928252716911</c:v>
                </c:pt>
                <c:pt idx="278">
                  <c:v>56.405759368984896</c:v>
                </c:pt>
                <c:pt idx="279">
                  <c:v>56.793574531480978</c:v>
                </c:pt>
                <c:pt idx="280">
                  <c:v>57.182368118244824</c:v>
                </c:pt>
                <c:pt idx="281">
                  <c:v>57.572134501399589</c:v>
                </c:pt>
                <c:pt idx="282">
                  <c:v>57.962868047245856</c:v>
                </c:pt>
                <c:pt idx="283">
                  <c:v>58.354563116354853</c:v>
                </c:pt>
                <c:pt idx="284">
                  <c:v>58.747214063660984</c:v>
                </c:pt>
                <c:pt idx="285">
                  <c:v>59.140815238553628</c:v>
                </c:pt>
                <c:pt idx="286">
                  <c:v>59.535360984968229</c:v>
                </c:pt>
                <c:pt idx="287">
                  <c:v>59.930845641476694</c:v>
                </c:pt>
                <c:pt idx="288">
                  <c:v>60.327263541377093</c:v>
                </c:pt>
                <c:pt idx="289">
                  <c:v>60.724609012782629</c:v>
                </c:pt>
                <c:pt idx="290">
                  <c:v>61.12287637870994</c:v>
                </c:pt>
                <c:pt idx="291">
                  <c:v>61.522059957166682</c:v>
                </c:pt>
                <c:pt idx="292">
                  <c:v>61.922154061238452</c:v>
                </c:pt>
                <c:pt idx="293">
                  <c:v>62.323152999174958</c:v>
                </c:pt>
                <c:pt idx="294">
                  <c:v>62.725051074475559</c:v>
                </c:pt>
                <c:pt idx="295">
                  <c:v>63.127842585974101</c:v>
                </c:pt>
                <c:pt idx="296">
                  <c:v>63.531521827923036</c:v>
                </c:pt>
                <c:pt idx="297">
                  <c:v>63.936083090076906</c:v>
                </c:pt>
                <c:pt idx="298">
                  <c:v>64.341516339820359</c:v>
                </c:pt>
                <c:pt idx="299">
                  <c:v>64.747802899022219</c:v>
                </c:pt>
                <c:pt idx="300">
                  <c:v>65.154919758471422</c:v>
                </c:pt>
                <c:pt idx="301">
                  <c:v>65.562843897822646</c:v>
                </c:pt>
                <c:pt idx="302">
                  <c:v>65.971552286146107</c:v>
                </c:pt>
                <c:pt idx="303">
                  <c:v>66.381021882468929</c:v>
                </c:pt>
                <c:pt idx="304">
                  <c:v>66.791229636307932</c:v>
                </c:pt>
                <c:pt idx="305">
                  <c:v>67.202152488193974</c:v>
                </c:pt>
                <c:pt idx="306">
                  <c:v>67.613767370187773</c:v>
                </c:pt>
                <c:pt idx="307">
                  <c:v>68.026051206387294</c:v>
                </c:pt>
                <c:pt idx="308">
                  <c:v>68.438980913426676</c:v>
                </c:pt>
                <c:pt idx="309">
                  <c:v>68.85253340096672</c:v>
                </c:pt>
                <c:pt idx="310">
                  <c:v>69.266685572176939</c:v>
                </c:pt>
                <c:pt idx="311">
                  <c:v>69.681414324209243</c:v>
                </c:pt>
                <c:pt idx="312">
                  <c:v>70.096696548663118</c:v>
                </c:pt>
                <c:pt idx="313">
                  <c:v>70.512509132042524</c:v>
                </c:pt>
                <c:pt idx="314">
                  <c:v>70.928828956204384</c:v>
                </c:pt>
                <c:pt idx="315">
                  <c:v>71.345632898798641</c:v>
                </c:pt>
                <c:pt idx="316">
                  <c:v>71.762897833700052</c:v>
                </c:pt>
                <c:pt idx="317">
                  <c:v>72.180600631431574</c:v>
                </c:pt>
                <c:pt idx="318">
                  <c:v>72.598718159579434</c:v>
                </c:pt>
                <c:pt idx="319">
                  <c:v>73.017227283199901</c:v>
                </c:pt>
                <c:pt idx="320">
                  <c:v>73.436104865217672</c:v>
                </c:pt>
                <c:pt idx="321">
                  <c:v>73.855329504563855</c:v>
                </c:pt>
                <c:pt idx="322">
                  <c:v>74.274883275510206</c:v>
                </c:pt>
                <c:pt idx="323">
                  <c:v>74.694749990354993</c:v>
                </c:pt>
                <c:pt idx="324">
                  <c:v>75.114913460807088</c:v>
                </c:pt>
                <c:pt idx="325">
                  <c:v>75.535357498167016</c:v>
                </c:pt>
                <c:pt idx="326">
                  <c:v>75.95606591350402</c:v>
                </c:pt>
                <c:pt idx="327">
                  <c:v>76.377022517829033</c:v>
                </c:pt>
                <c:pt idx="328">
                  <c:v>76.798211122263538</c:v>
                </c:pt>
                <c:pt idx="329">
                  <c:v>77.219615538204465</c:v>
                </c:pt>
                <c:pt idx="330">
                  <c:v>77.641219577484989</c:v>
                </c:pt>
                <c:pt idx="331">
                  <c:v>78.063007052531276</c:v>
                </c:pt>
                <c:pt idx="332">
                  <c:v>78.484961776515263</c:v>
                </c:pt>
                <c:pt idx="333">
                  <c:v>78.907067563503318</c:v>
                </c:pt>
                <c:pt idx="334">
                  <c:v>79.329308228600937</c:v>
                </c:pt>
                <c:pt idx="335">
                  <c:v>79.751667588093454</c:v>
                </c:pt>
                <c:pt idx="336">
                  <c:v>80.174129459582616</c:v>
                </c:pt>
                <c:pt idx="337">
                  <c:v>80.596677662119319</c:v>
                </c:pt>
                <c:pt idx="338">
                  <c:v>81.019296016332177</c:v>
                </c:pt>
                <c:pt idx="339">
                  <c:v>81.441968344552208</c:v>
                </c:pt>
                <c:pt idx="340">
                  <c:v>81.864678470933498</c:v>
                </c:pt>
                <c:pt idx="341">
                  <c:v>82.287410221569871</c:v>
                </c:pt>
                <c:pt idx="342">
                  <c:v>82.710147424607527</c:v>
                </c:pt>
                <c:pt idx="343">
                  <c:v>83.132873910353808</c:v>
                </c:pt>
                <c:pt idx="344">
                  <c:v>83.555573511381894</c:v>
                </c:pt>
                <c:pt idx="345">
                  <c:v>83.978230062631553</c:v>
                </c:pt>
                <c:pt idx="346">
                  <c:v>84.400827401505936</c:v>
                </c:pt>
                <c:pt idx="347">
                  <c:v>84.823349367964411</c:v>
                </c:pt>
                <c:pt idx="348">
                  <c:v>85.245779994679538</c:v>
                </c:pt>
                <c:pt idx="349">
                  <c:v>85.668103697256356</c:v>
                </c:pt>
                <c:pt idx="350">
                  <c:v>86.090305084157677</c:v>
                </c:pt>
                <c:pt idx="351">
                  <c:v>86.512368766553777</c:v>
                </c:pt>
                <c:pt idx="352">
                  <c:v>86.934279358385012</c:v>
                </c:pt>
                <c:pt idx="353">
                  <c:v>87.356021476420793</c:v>
                </c:pt>
                <c:pt idx="354">
                  <c:v>87.777579740314991</c:v>
                </c:pt>
                <c:pt idx="355">
                  <c:v>88.198938772657769</c:v>
                </c:pt>
                <c:pt idx="356">
                  <c:v>88.620083199023824</c:v>
                </c:pt>
                <c:pt idx="357">
                  <c:v>89.040997648017068</c:v>
                </c:pt>
                <c:pt idx="358">
                  <c:v>89.461666751311682</c:v>
                </c:pt>
                <c:pt idx="359">
                  <c:v>89.882075143689633</c:v>
                </c:pt>
                <c:pt idx="360">
                  <c:v>90.302211441446616</c:v>
                </c:pt>
                <c:pt idx="361">
                  <c:v>90.722072221761906</c:v>
                </c:pt>
                <c:pt idx="362">
                  <c:v>91.141658041993864</c:v>
                </c:pt>
                <c:pt idx="363">
                  <c:v>91.560969457996634</c:v>
                </c:pt>
                <c:pt idx="364">
                  <c:v>91.980007024125797</c:v>
                </c:pt>
                <c:pt idx="365">
                  <c:v>92.398771293243982</c:v>
                </c:pt>
                <c:pt idx="366">
                  <c:v>92.817262816726455</c:v>
                </c:pt>
                <c:pt idx="367">
                  <c:v>93.235482144466673</c:v>
                </c:pt>
                <c:pt idx="368">
                  <c:v>93.653429824881812</c:v>
                </c:pt>
                <c:pt idx="369">
                  <c:v>94.071106404918297</c:v>
                </c:pt>
                <c:pt idx="370">
                  <c:v>94.488512430057284</c:v>
                </c:pt>
                <c:pt idx="371">
                  <c:v>94.905648444320079</c:v>
                </c:pt>
                <c:pt idx="372">
                  <c:v>95.322514990273618</c:v>
                </c:pt>
                <c:pt idx="373">
                  <c:v>95.739112609035843</c:v>
                </c:pt>
                <c:pt idx="374">
                  <c:v>96.155441840281114</c:v>
                </c:pt>
                <c:pt idx="375">
                  <c:v>96.571503222245525</c:v>
                </c:pt>
                <c:pt idx="376">
                  <c:v>96.987297291732276</c:v>
                </c:pt>
                <c:pt idx="377">
                  <c:v>97.402824584116956</c:v>
                </c:pt>
                <c:pt idx="378">
                  <c:v>97.818085633352837</c:v>
                </c:pt>
                <c:pt idx="379">
                  <c:v>98.233080971976108</c:v>
                </c:pt>
                <c:pt idx="380">
                  <c:v>98.647811131111155</c:v>
                </c:pt>
                <c:pt idx="381">
                  <c:v>99.06227664047573</c:v>
                </c:pt>
                <c:pt idx="382">
                  <c:v>99.476478028386168</c:v>
                </c:pt>
                <c:pt idx="383">
                  <c:v>99.890415821762502</c:v>
                </c:pt>
                <c:pt idx="384">
                  <c:v>100.30409054613366</c:v>
                </c:pt>
                <c:pt idx="385">
                  <c:v>100.71750272564255</c:v>
                </c:pt>
                <c:pt idx="386">
                  <c:v>101.13065288305111</c:v>
                </c:pt>
                <c:pt idx="387">
                  <c:v>101.54354153974549</c:v>
                </c:pt>
                <c:pt idx="388">
                  <c:v>101.95616921574097</c:v>
                </c:pt>
                <c:pt idx="389">
                  <c:v>102.36853642968705</c:v>
                </c:pt>
                <c:pt idx="390">
                  <c:v>102.78064369887245</c:v>
                </c:pt>
                <c:pt idx="391">
                  <c:v>103.19249153923006</c:v>
                </c:pt>
                <c:pt idx="392">
                  <c:v>103.60408046534189</c:v>
                </c:pt>
                <c:pt idx="393">
                  <c:v>104.01541099044404</c:v>
                </c:pt>
                <c:pt idx="394">
                  <c:v>104.42648362643155</c:v>
                </c:pt>
                <c:pt idx="395">
                  <c:v>104.83729888386334</c:v>
                </c:pt>
                <c:pt idx="396">
                  <c:v>105.24785727196705</c:v>
                </c:pt>
                <c:pt idx="397">
                  <c:v>105.65815929864387</c:v>
                </c:pt>
                <c:pt idx="398">
                  <c:v>106.06820547047336</c:v>
                </c:pt>
                <c:pt idx="399">
                  <c:v>106.47799629271827</c:v>
                </c:pt>
                <c:pt idx="400">
                  <c:v>106.88753226932933</c:v>
                </c:pt>
                <c:pt idx="401">
                  <c:v>110.96891446576083</c:v>
                </c:pt>
                <c:pt idx="402">
                  <c:v>115.0251364924391</c:v>
                </c:pt>
                <c:pt idx="403">
                  <c:v>119.05669004260277</c:v>
                </c:pt>
                <c:pt idx="404">
                  <c:v>123.06405430276698</c:v>
                </c:pt>
                <c:pt idx="405">
                  <c:v>127.04769639435445</c:v>
                </c:pt>
                <c:pt idx="406">
                  <c:v>131.00807179598777</c:v>
                </c:pt>
                <c:pt idx="407">
                  <c:v>134.94562474745544</c:v>
                </c:pt>
                <c:pt idx="408">
                  <c:v>138.86078863630254</c:v>
                </c:pt>
                <c:pt idx="409">
                  <c:v>142.75398636793949</c:v>
                </c:pt>
                <c:pt idx="410">
                  <c:v>146.62563072010866</c:v>
                </c:pt>
                <c:pt idx="411">
                  <c:v>150.47612468249883</c:v>
                </c:pt>
                <c:pt idx="412">
                  <c:v>154.30586178225116</c:v>
                </c:pt>
                <c:pt idx="413">
                  <c:v>158.1152263960563</c:v>
                </c:pt>
                <c:pt idx="414">
                  <c:v>161.90459404950258</c:v>
                </c:pt>
                <c:pt idx="415">
                  <c:v>165.67433170429655</c:v>
                </c:pt>
                <c:pt idx="416">
                  <c:v>169.42479803394221</c:v>
                </c:pt>
                <c:pt idx="417">
                  <c:v>173.15634368843183</c:v>
                </c:pt>
                <c:pt idx="418">
                  <c:v>176.86931154847045</c:v>
                </c:pt>
                <c:pt idx="419">
                  <c:v>180.56403696972691</c:v>
                </c:pt>
                <c:pt idx="420">
                  <c:v>184.24084801757715</c:v>
                </c:pt>
                <c:pt idx="421">
                  <c:v>187.90006569277992</c:v>
                </c:pt>
                <c:pt idx="422">
                  <c:v>191.54200414850095</c:v>
                </c:pt>
                <c:pt idx="423">
                  <c:v>195.16697089907953</c:v>
                </c:pt>
                <c:pt idx="424">
                  <c:v>198.77526702090972</c:v>
                </c:pt>
                <c:pt idx="425">
                  <c:v>202.36718734578906</c:v>
                </c:pt>
                <c:pt idx="426">
                  <c:v>205.94302064706883</c:v>
                </c:pt>
                <c:pt idx="427">
                  <c:v>209.50304981892199</c:v>
                </c:pt>
                <c:pt idx="428">
                  <c:v>213.04755204902906</c:v>
                </c:pt>
                <c:pt idx="429">
                  <c:v>216.57679898496588</c:v>
                </c:pt>
                <c:pt idx="430">
                  <c:v>220.09105689456291</c:v>
                </c:pt>
                <c:pt idx="431">
                  <c:v>223.59058682049215</c:v>
                </c:pt>
                <c:pt idx="432">
                  <c:v>227.07564472932364</c:v>
                </c:pt>
                <c:pt idx="433">
                  <c:v>230.54648165528263</c:v>
                </c:pt>
                <c:pt idx="434">
                  <c:v>234.00334383892545</c:v>
                </c:pt>
                <c:pt idx="435">
                  <c:v>237.44647286094201</c:v>
                </c:pt>
                <c:pt idx="436">
                  <c:v>240.87610577128211</c:v>
                </c:pt>
                <c:pt idx="437">
                  <c:v>244.29247521379278</c:v>
                </c:pt>
                <c:pt idx="438">
                  <c:v>247.69580954654461</c:v>
                </c:pt>
                <c:pt idx="439">
                  <c:v>251.08633295801638</c:v>
                </c:pt>
                <c:pt idx="440">
                  <c:v>254.46426557929846</c:v>
                </c:pt>
                <c:pt idx="441">
                  <c:v>257.82982359246779</c:v>
                </c:pt>
                <c:pt idx="442">
                  <c:v>261.18321933527966</c:v>
                </c:pt>
                <c:pt idx="443">
                  <c:v>264.52466140231417</c:v>
                </c:pt>
                <c:pt idx="444">
                  <c:v>267.85435474270827</c:v>
                </c:pt>
                <c:pt idx="445">
                  <c:v>271.17250075459839</c:v>
                </c:pt>
                <c:pt idx="446">
                  <c:v>274.47929737639157</c:v>
                </c:pt>
                <c:pt idx="447">
                  <c:v>277.77493917497759</c:v>
                </c:pt>
                <c:pt idx="448">
                  <c:v>281.05961743098879</c:v>
                </c:pt>
                <c:pt idx="449">
                  <c:v>284.33352022120908</c:v>
                </c:pt>
                <c:pt idx="450">
                  <c:v>287.5968324982278</c:v>
                </c:pt>
                <c:pt idx="451">
                  <c:v>290.84973616742991</c:v>
                </c:pt>
                <c:pt idx="452">
                  <c:v>294.09241016140857</c:v>
                </c:pt>
                <c:pt idx="453">
                  <c:v>297.32503051188166</c:v>
                </c:pt>
                <c:pt idx="454">
                  <c:v>300.54777041918993</c:v>
                </c:pt>
                <c:pt idx="455">
                  <c:v>303.7608003194494</c:v>
                </c:pt>
                <c:pt idx="456">
                  <c:v>306.96428794942665</c:v>
                </c:pt>
                <c:pt idx="457">
                  <c:v>310.15839840920222</c:v>
                </c:pt>
                <c:pt idx="458">
                  <c:v>313.34329422268269</c:v>
                </c:pt>
                <c:pt idx="459">
                  <c:v>316.5191353960185</c:v>
                </c:pt>
                <c:pt idx="460">
                  <c:v>319.68607947398107</c:v>
                </c:pt>
                <c:pt idx="461">
                  <c:v>322.84428159434879</c:v>
                </c:pt>
                <c:pt idx="462">
                  <c:v>325.99389454034804</c:v>
                </c:pt>
                <c:pt idx="463">
                  <c:v>329.13506879119183</c:v>
                </c:pt>
                <c:pt idx="464">
                  <c:v>332.26795257075577</c:v>
                </c:pt>
                <c:pt idx="465">
                  <c:v>335.39269189442621</c:v>
                </c:pt>
                <c:pt idx="466">
                  <c:v>338.50943061415381</c:v>
                </c:pt>
                <c:pt idx="467">
                  <c:v>341.6183104617412</c:v>
                </c:pt>
                <c:pt idx="468">
                  <c:v>344.71947109038996</c:v>
                </c:pt>
                <c:pt idx="469">
                  <c:v>347.8130501145298</c:v>
                </c:pt>
                <c:pt idx="470">
                  <c:v>350.89918314794818</c:v>
                </c:pt>
                <c:pt idx="471">
                  <c:v>353.97800384023611</c:v>
                </c:pt>
                <c:pt idx="472">
                  <c:v>357.04964391156159</c:v>
                </c:pt>
                <c:pt idx="473">
                  <c:v>360.11423318577926</c:v>
                </c:pt>
                <c:pt idx="474">
                  <c:v>363.1718996218811</c:v>
                </c:pt>
                <c:pt idx="475">
                  <c:v>366.22276934378863</c:v>
                </c:pt>
                <c:pt idx="476">
                  <c:v>369.26696666848477</c:v>
                </c:pt>
                <c:pt idx="477">
                  <c:v>372.3046141324777</c:v>
                </c:pt>
                <c:pt idx="478">
                  <c:v>375.33583251658706</c:v>
                </c:pt>
                <c:pt idx="479">
                  <c:v>378.3607408690375</c:v>
                </c:pt>
                <c:pt idx="480">
                  <c:v>381.37945652684039</c:v>
                </c:pt>
                <c:pt idx="481">
                  <c:v>384.3920951354412</c:v>
                </c:pt>
                <c:pt idx="482">
                  <c:v>387.39877066660432</c:v>
                </c:pt>
                <c:pt idx="483">
                  <c:v>390.39959543450334</c:v>
                </c:pt>
                <c:pt idx="484">
                  <c:v>393.39468010997996</c:v>
                </c:pt>
                <c:pt idx="485">
                  <c:v>396.38413373292906</c:v>
                </c:pt>
                <c:pt idx="486">
                  <c:v>399.36806372276402</c:v>
                </c:pt>
                <c:pt idx="487">
                  <c:v>402.34657588690942</c:v>
                </c:pt>
                <c:pt idx="488">
                  <c:v>405.31977442726463</c:v>
                </c:pt>
                <c:pt idx="489">
                  <c:v>408.28776194457544</c:v>
                </c:pt>
                <c:pt idx="490">
                  <c:v>411.25063944064647</c:v>
                </c:pt>
                <c:pt idx="491">
                  <c:v>414.20850631832081</c:v>
                </c:pt>
                <c:pt idx="492">
                  <c:v>417.16146037914922</c:v>
                </c:pt>
                <c:pt idx="493">
                  <c:v>420.10959781866563</c:v>
                </c:pt>
                <c:pt idx="494">
                  <c:v>423.05301321918074</c:v>
                </c:pt>
                <c:pt idx="495">
                  <c:v>425.99179954000181</c:v>
                </c:pt>
                <c:pt idx="496">
                  <c:v>428.92604810498221</c:v>
                </c:pt>
                <c:pt idx="497">
                  <c:v>431.85584858730175</c:v>
                </c:pt>
                <c:pt idx="498">
                  <c:v>434.78128899137624</c:v>
                </c:pt>
                <c:pt idx="499">
                  <c:v>437.70245563179384</c:v>
                </c:pt>
                <c:pt idx="500">
                  <c:v>440.61943310917627</c:v>
                </c:pt>
                <c:pt idx="501">
                  <c:v>443.53230428286543</c:v>
                </c:pt>
                <c:pt idx="502">
                  <c:v>446.44115024033988</c:v>
                </c:pt>
                <c:pt idx="503">
                  <c:v>449.34605026327353</c:v>
                </c:pt>
                <c:pt idx="504">
                  <c:v>452.2470817901588</c:v>
                </c:pt>
                <c:pt idx="505">
                  <c:v>455.14432037543048</c:v>
                </c:pt>
                <c:pt idx="506">
                  <c:v>458.03783964504476</c:v>
                </c:pt>
                <c:pt idx="507">
                  <c:v>460.92771124849179</c:v>
                </c:pt>
                <c:pt idx="508">
                  <c:v>463.81400480724807</c:v>
                </c:pt>
                <c:pt idx="509">
                  <c:v>466.69678785970979</c:v>
                </c:pt>
                <c:pt idx="510">
                  <c:v>469.57612580269097</c:v>
                </c:pt>
                <c:pt idx="511">
                  <c:v>472.45208182961812</c:v>
                </c:pt>
                <c:pt idx="512">
                  <c:v>475.32471686560979</c:v>
                </c:pt>
                <c:pt idx="513">
                  <c:v>478.19408949969392</c:v>
                </c:pt>
                <c:pt idx="514">
                  <c:v>481.0602559144873</c:v>
                </c:pt>
                <c:pt idx="515">
                  <c:v>483.92326981374049</c:v>
                </c:pt>
                <c:pt idx="516">
                  <c:v>486.78318234823593</c:v>
                </c:pt>
                <c:pt idx="517">
                  <c:v>489.64004204061661</c:v>
                </c:pt>
                <c:pt idx="518">
                  <c:v>492.49389470981453</c:v>
                </c:pt>
                <c:pt idx="519">
                  <c:v>495.34478339583933</c:v>
                </c:pt>
                <c:pt idx="520">
                  <c:v>498.19274828577528</c:v>
                </c:pt>
                <c:pt idx="521">
                  <c:v>501.03782664191442</c:v>
                </c:pt>
                <c:pt idx="522">
                  <c:v>503.88005273302224</c:v>
                </c:pt>
                <c:pt idx="523">
                  <c:v>506.7194577697818</c:v>
                </c:pt>
                <c:pt idx="524">
                  <c:v>509.5560698454928</c:v>
                </c:pt>
                <c:pt idx="525">
                  <c:v>512.38991388310433</c:v>
                </c:pt>
                <c:pt idx="526">
                  <c:v>515.22101158963437</c:v>
                </c:pt>
                <c:pt idx="527">
                  <c:v>518.0493814189706</c:v>
                </c:pt>
                <c:pt idx="528">
                  <c:v>520.87503854395595</c:v>
                </c:pt>
                <c:pt idx="529">
                  <c:v>523.69799483853797</c:v>
                </c:pt>
                <c:pt idx="530">
                  <c:v>526.51825887060943</c:v>
                </c:pt>
                <c:pt idx="531">
                  <c:v>529.33583590598869</c:v>
                </c:pt>
                <c:pt idx="532">
                  <c:v>532.15072792379169</c:v>
                </c:pt>
                <c:pt idx="533">
                  <c:v>534.96293364324151</c:v>
                </c:pt>
                <c:pt idx="534">
                  <c:v>537.77244856175173</c:v>
                </c:pt>
                <c:pt idx="535">
                  <c:v>540.57926500391545</c:v>
                </c:pt>
                <c:pt idx="536">
                  <c:v>543.38337218084632</c:v>
                </c:pt>
                <c:pt idx="537">
                  <c:v>546.18475625914903</c:v>
                </c:pt>
                <c:pt idx="538">
                  <c:v>548.98340043865949</c:v>
                </c:pt>
                <c:pt idx="539">
                  <c:v>551.77928503798705</c:v>
                </c:pt>
                <c:pt idx="540">
                  <c:v>554.57238758681797</c:v>
                </c:pt>
                <c:pt idx="541">
                  <c:v>557.36268292389559</c:v>
                </c:pt>
                <c:pt idx="542">
                  <c:v>560.15014329958819</c:v>
                </c:pt>
                <c:pt idx="543">
                  <c:v>562.93473848196834</c:v>
                </c:pt>
                <c:pt idx="544">
                  <c:v>565.71643586537698</c:v>
                </c:pt>
                <c:pt idx="545">
                  <c:v>568.49520058050291</c:v>
                </c:pt>
                <c:pt idx="546">
                  <c:v>571.27099560508941</c:v>
                </c:pt>
                <c:pt idx="547">
                  <c:v>574.04378187446616</c:v>
                </c:pt>
                <c:pt idx="548">
                  <c:v>576.81351839119725</c:v>
                </c:pt>
                <c:pt idx="549">
                  <c:v>579.58016233323247</c:v>
                </c:pt>
                <c:pt idx="550">
                  <c:v>582.34366916004171</c:v>
                </c:pt>
                <c:pt idx="551">
                  <c:v>585.10399271630286</c:v>
                </c:pt>
                <c:pt idx="552">
                  <c:v>587.86108533279753</c:v>
                </c:pt>
                <c:pt idx="553">
                  <c:v>590.61489792424663</c:v>
                </c:pt>
                <c:pt idx="554">
                  <c:v>593.36538008388675</c:v>
                </c:pt>
                <c:pt idx="555">
                  <c:v>596.11248017465141</c:v>
                </c:pt>
                <c:pt idx="556">
                  <c:v>598.85614541687232</c:v>
                </c:pt>
                <c:pt idx="557">
                  <c:v>601.59632197246435</c:v>
                </c:pt>
                <c:pt idx="558">
                  <c:v>604.3329550255952</c:v>
                </c:pt>
                <c:pt idx="559">
                  <c:v>607.0659888598725</c:v>
                </c:pt>
                <c:pt idx="560">
                  <c:v>609.79536693210821</c:v>
                </c:pt>
                <c:pt idx="561">
                  <c:v>612.52103194273968</c:v>
                </c:pt>
                <c:pt idx="562">
                  <c:v>615.24292590300331</c:v>
                </c:pt>
                <c:pt idx="563">
                  <c:v>617.96099019896826</c:v>
                </c:pt>
                <c:pt idx="564">
                  <c:v>620.67516565254618</c:v>
                </c:pt>
                <c:pt idx="565">
                  <c:v>623.38539257959883</c:v>
                </c:pt>
                <c:pt idx="566">
                  <c:v>626.09161084526806</c:v>
                </c:pt>
                <c:pt idx="567">
                  <c:v>628.79375991665324</c:v>
                </c:pt>
                <c:pt idx="568">
                  <c:v>631.49177891296222</c:v>
                </c:pt>
                <c:pt idx="569">
                  <c:v>634.1856066532589</c:v>
                </c:pt>
                <c:pt idx="570">
                  <c:v>636.87518170192766</c:v>
                </c:pt>
                <c:pt idx="571">
                  <c:v>639.56044241197185</c:v>
                </c:pt>
                <c:pt idx="572">
                  <c:v>642.24132696625998</c:v>
                </c:pt>
                <c:pt idx="573">
                  <c:v>644.91777341682678</c:v>
                </c:pt>
                <c:pt idx="574">
                  <c:v>647.58971972233428</c:v>
                </c:pt>
                <c:pt idx="575">
                  <c:v>650.25710378379017</c:v>
                </c:pt>
                <c:pt idx="576">
                  <c:v>652.91986347861882</c:v>
                </c:pt>
                <c:pt idx="577">
                  <c:v>655.57793669317311</c:v>
                </c:pt>
                <c:pt idx="578">
                  <c:v>658.23126135377072</c:v>
                </c:pt>
                <c:pt idx="579">
                  <c:v>660.87977545633521</c:v>
                </c:pt>
                <c:pt idx="580">
                  <c:v>663.52341709471614</c:v>
                </c:pt>
                <c:pt idx="581">
                  <c:v>666.16212448775821</c:v>
                </c:pt>
                <c:pt idx="582">
                  <c:v>668.79583600518595</c:v>
                </c:pt>
                <c:pt idx="583">
                  <c:v>671.42449019236597</c:v>
                </c:pt>
                <c:pt idx="584">
                  <c:v>674.0480257940045</c:v>
                </c:pt>
                <c:pt idx="585">
                  <c:v>676.66638177683546</c:v>
                </c:pt>
                <c:pt idx="586">
                  <c:v>679.27949735134905</c:v>
                </c:pt>
                <c:pt idx="587">
                  <c:v>681.88731199261031</c:v>
                </c:pt>
                <c:pt idx="588">
                  <c:v>684.48976546021049</c:v>
                </c:pt>
                <c:pt idx="589">
                  <c:v>687.086797817395</c:v>
                </c:pt>
                <c:pt idx="590">
                  <c:v>689.6783494494058</c:v>
                </c:pt>
                <c:pt idx="591">
                  <c:v>692.26436108107555</c:v>
                </c:pt>
                <c:pt idx="592">
                  <c:v>694.84477379370821</c:v>
                </c:pt>
                <c:pt idx="593">
                  <c:v>697.41952904127743</c:v>
                </c:pt>
                <c:pt idx="594">
                  <c:v>699.98856866597339</c:v>
                </c:pt>
                <c:pt idx="595">
                  <c:v>702.5518349131263</c:v>
                </c:pt>
                <c:pt idx="596">
                  <c:v>705.10927044553273</c:v>
                </c:pt>
                <c:pt idx="597">
                  <c:v>707.66081835720968</c:v>
                </c:pt>
                <c:pt idx="598">
                  <c:v>710.20642218659941</c:v>
                </c:pt>
                <c:pt idx="599">
                  <c:v>712.74602592924725</c:v>
                </c:pt>
                <c:pt idx="600">
                  <c:v>715.27957404997187</c:v>
                </c:pt>
                <c:pt idx="601">
                  <c:v>717.80701149454853</c:v>
                </c:pt>
                <c:pt idx="602">
                  <c:v>720.3282837009217</c:v>
                </c:pt>
                <c:pt idx="603">
                  <c:v>722.8433366099656</c:v>
                </c:pt>
                <c:pt idx="604">
                  <c:v>725.352116675807</c:v>
                </c:pt>
                <c:pt idx="605">
                  <c:v>727.85457087572672</c:v>
                </c:pt>
                <c:pt idx="606">
                  <c:v>730.35064671965256</c:v>
                </c:pt>
                <c:pt idx="607">
                  <c:v>732.84029225925838</c:v>
                </c:pt>
                <c:pt idx="608">
                  <c:v>735.32345609668016</c:v>
                </c:pt>
                <c:pt idx="609">
                  <c:v>737.80008739286291</c:v>
                </c:pt>
                <c:pt idx="610">
                  <c:v>740.27013587554745</c:v>
                </c:pt>
                <c:pt idx="611">
                  <c:v>742.73355184690979</c:v>
                </c:pt>
                <c:pt idx="612">
                  <c:v>745.19028619086112</c:v>
                </c:pt>
                <c:pt idx="613">
                  <c:v>747.64029038001968</c:v>
                </c:pt>
                <c:pt idx="614">
                  <c:v>750.08351648236237</c:v>
                </c:pt>
                <c:pt idx="615">
                  <c:v>752.5199171675647</c:v>
                </c:pt>
                <c:pt idx="616">
                  <c:v>754.94944571303847</c:v>
                </c:pt>
                <c:pt idx="617">
                  <c:v>757.3720560096732</c:v>
                </c:pt>
                <c:pt idx="618">
                  <c:v>759.78770256728967</c:v>
                </c:pt>
                <c:pt idx="619">
                  <c:v>762.19634051981291</c:v>
                </c:pt>
                <c:pt idx="620">
                  <c:v>764.59792563017061</c:v>
                </c:pt>
                <c:pt idx="621">
                  <c:v>766.99241429492395</c:v>
                </c:pt>
                <c:pt idx="622">
                  <c:v>769.37976354863679</c:v>
                </c:pt>
                <c:pt idx="623">
                  <c:v>771.7599310679891</c:v>
                </c:pt>
                <c:pt idx="624">
                  <c:v>774.13287517564072</c:v>
                </c:pt>
                <c:pt idx="625">
                  <c:v>776.49855484385046</c:v>
                </c:pt>
                <c:pt idx="626">
                  <c:v>778.856929697856</c:v>
                </c:pt>
                <c:pt idx="627">
                  <c:v>781.20796001902011</c:v>
                </c:pt>
                <c:pt idx="628">
                  <c:v>783.55160674774686</c:v>
                </c:pt>
                <c:pt idx="629">
                  <c:v>785.88783148617449</c:v>
                </c:pt>
                <c:pt idx="630">
                  <c:v>788.21659650064737</c:v>
                </c:pt>
                <c:pt idx="631">
                  <c:v>790.53786472397371</c:v>
                </c:pt>
                <c:pt idx="632">
                  <c:v>792.85159975747115</c:v>
                </c:pt>
                <c:pt idx="633">
                  <c:v>795.15776587280641</c:v>
                </c:pt>
                <c:pt idx="634">
                  <c:v>797.45632801363172</c:v>
                </c:pt>
                <c:pt idx="635">
                  <c:v>799.74725179702273</c:v>
                </c:pt>
                <c:pt idx="636">
                  <c:v>802.03050351472132</c:v>
                </c:pt>
                <c:pt idx="637">
                  <c:v>804.30605013418779</c:v>
                </c:pt>
                <c:pt idx="638">
                  <c:v>806.57385929946531</c:v>
                </c:pt>
                <c:pt idx="639">
                  <c:v>808.83389933186061</c:v>
                </c:pt>
                <c:pt idx="640">
                  <c:v>811.08613923044504</c:v>
                </c:pt>
                <c:pt idx="641">
                  <c:v>813.33054867237831</c:v>
                </c:pt>
                <c:pt idx="642">
                  <c:v>815.56709801305942</c:v>
                </c:pt>
                <c:pt idx="643">
                  <c:v>817.79575828610757</c:v>
                </c:pt>
                <c:pt idx="644">
                  <c:v>820.01650120317618</c:v>
                </c:pt>
                <c:pt idx="645">
                  <c:v>822.22929915360419</c:v>
                </c:pt>
                <c:pt idx="646">
                  <c:v>824.43412520390655</c:v>
                </c:pt>
                <c:pt idx="647">
                  <c:v>826.63095309710809</c:v>
                </c:pt>
                <c:pt idx="648">
                  <c:v>828.81975725192353</c:v>
                </c:pt>
                <c:pt idx="649">
                  <c:v>831.00051276178647</c:v>
                </c:pt>
                <c:pt idx="650">
                  <c:v>833.17319539373045</c:v>
                </c:pt>
                <c:pt idx="651">
                  <c:v>835.33778158712562</c:v>
                </c:pt>
                <c:pt idx="652">
                  <c:v>837.49424845227315</c:v>
                </c:pt>
                <c:pt idx="653">
                  <c:v>839.64257376886098</c:v>
                </c:pt>
                <c:pt idx="654">
                  <c:v>841.78273598428336</c:v>
                </c:pt>
                <c:pt idx="655">
                  <c:v>843.91471421182689</c:v>
                </c:pt>
                <c:pt idx="656">
                  <c:v>846.03848822872669</c:v>
                </c:pt>
                <c:pt idx="657">
                  <c:v>848.15403847409493</c:v>
                </c:pt>
                <c:pt idx="658">
                  <c:v>850.26134604672393</c:v>
                </c:pt>
                <c:pt idx="659">
                  <c:v>852.36039270276785</c:v>
                </c:pt>
                <c:pt idx="660">
                  <c:v>854.45116085330505</c:v>
                </c:pt>
                <c:pt idx="661">
                  <c:v>856.53363356178295</c:v>
                </c:pt>
                <c:pt idx="662">
                  <c:v>858.60779454135002</c:v>
                </c:pt>
                <c:pt idx="663">
                  <c:v>860.67362815207571</c:v>
                </c:pt>
                <c:pt idx="664">
                  <c:v>862.73111939806176</c:v>
                </c:pt>
                <c:pt idx="665">
                  <c:v>864.78025392444783</c:v>
                </c:pt>
                <c:pt idx="666">
                  <c:v>866.82101801431281</c:v>
                </c:pt>
                <c:pt idx="667">
                  <c:v>868.85339858547616</c:v>
                </c:pt>
                <c:pt idx="668">
                  <c:v>870.87738318719994</c:v>
                </c:pt>
                <c:pt idx="669">
                  <c:v>872.89295999679564</c:v>
                </c:pt>
                <c:pt idx="670">
                  <c:v>874.90011781613703</c:v>
                </c:pt>
                <c:pt idx="671">
                  <c:v>876.89884606808243</c:v>
                </c:pt>
                <c:pt idx="672">
                  <c:v>878.8891347928087</c:v>
                </c:pt>
                <c:pt idx="673">
                  <c:v>880.87097464405872</c:v>
                </c:pt>
                <c:pt idx="674">
                  <c:v>882.8443568853055</c:v>
                </c:pt>
                <c:pt idx="675">
                  <c:v>884.80927338583524</c:v>
                </c:pt>
                <c:pt idx="676">
                  <c:v>886.76571661675132</c:v>
                </c:pt>
                <c:pt idx="677">
                  <c:v>888.71367964690205</c:v>
                </c:pt>
                <c:pt idx="678">
                  <c:v>890.65315613873406</c:v>
                </c:pt>
                <c:pt idx="679">
                  <c:v>892.58414034407417</c:v>
                </c:pt>
                <c:pt idx="680">
                  <c:v>894.50662709984147</c:v>
                </c:pt>
                <c:pt idx="681">
                  <c:v>896.4206118236923</c:v>
                </c:pt>
                <c:pt idx="682">
                  <c:v>898.32609050960002</c:v>
                </c:pt>
                <c:pt idx="683">
                  <c:v>900.22305972337256</c:v>
                </c:pt>
                <c:pt idx="684">
                  <c:v>902.11151659810901</c:v>
                </c:pt>
                <c:pt idx="685">
                  <c:v>903.99145882959772</c:v>
                </c:pt>
                <c:pt idx="686">
                  <c:v>905.86288467165866</c:v>
                </c:pt>
                <c:pt idx="687">
                  <c:v>907.72579293143167</c:v>
                </c:pt>
                <c:pt idx="688">
                  <c:v>909.58018296461228</c:v>
                </c:pt>
                <c:pt idx="689">
                  <c:v>911.42605467063856</c:v>
                </c:pt>
                <c:pt idx="690">
                  <c:v>913.26340848782945</c:v>
                </c:pt>
                <c:pt idx="691">
                  <c:v>915.0922453884782</c:v>
                </c:pt>
                <c:pt idx="692">
                  <c:v>916.91256687390148</c:v>
                </c:pt>
                <c:pt idx="693">
                  <c:v>918.72437496944713</c:v>
                </c:pt>
                <c:pt idx="694">
                  <c:v>920.5276722194626</c:v>
                </c:pt>
                <c:pt idx="695">
                  <c:v>922.32246168222525</c:v>
                </c:pt>
                <c:pt idx="696">
                  <c:v>924.10874692483708</c:v>
                </c:pt>
                <c:pt idx="697">
                  <c:v>925.88653201808609</c:v>
                </c:pt>
                <c:pt idx="698">
                  <c:v>927.6558215312748</c:v>
                </c:pt>
                <c:pt idx="699">
                  <c:v>929.41662052701975</c:v>
                </c:pt>
                <c:pt idx="700">
                  <c:v>931.16893455602212</c:v>
                </c:pt>
                <c:pt idx="701">
                  <c:v>932.91276965181214</c:v>
                </c:pt>
                <c:pt idx="702">
                  <c:v>934.64813232546919</c:v>
                </c:pt>
                <c:pt idx="703">
                  <c:v>936.37502956031881</c:v>
                </c:pt>
                <c:pt idx="704">
                  <c:v>938.0934688066086</c:v>
                </c:pt>
                <c:pt idx="705">
                  <c:v>939.80345797616508</c:v>
                </c:pt>
                <c:pt idx="706">
                  <c:v>941.50500543703242</c:v>
                </c:pt>
                <c:pt idx="707">
                  <c:v>943.198120008096</c:v>
                </c:pt>
                <c:pt idx="708">
                  <c:v>944.88281095369064</c:v>
                </c:pt>
                <c:pt idx="709">
                  <c:v>946.559087978197</c:v>
                </c:pt>
                <c:pt idx="710">
                  <c:v>948.22696122062621</c:v>
                </c:pt>
                <c:pt idx="711">
                  <c:v>949.88644124919529</c:v>
                </c:pt>
                <c:pt idx="712">
                  <c:v>951.53753905589474</c:v>
                </c:pt>
                <c:pt idx="713">
                  <c:v>953.1802660510491</c:v>
                </c:pt>
                <c:pt idx="714">
                  <c:v>953.1802660510491</c:v>
                </c:pt>
                <c:pt idx="715">
                  <c:v>953.1802660510491</c:v>
                </c:pt>
                <c:pt idx="716">
                  <c:v>953.1802660510491</c:v>
                </c:pt>
                <c:pt idx="717">
                  <c:v>953.1802660510491</c:v>
                </c:pt>
                <c:pt idx="718">
                  <c:v>953.1802660510491</c:v>
                </c:pt>
                <c:pt idx="719">
                  <c:v>953.1802660510491</c:v>
                </c:pt>
                <c:pt idx="720">
                  <c:v>953.1802660510491</c:v>
                </c:pt>
                <c:pt idx="721">
                  <c:v>953.1802660510491</c:v>
                </c:pt>
                <c:pt idx="722">
                  <c:v>953.1802660510491</c:v>
                </c:pt>
                <c:pt idx="723">
                  <c:v>953.1802660510491</c:v>
                </c:pt>
                <c:pt idx="724">
                  <c:v>953.1802660510491</c:v>
                </c:pt>
                <c:pt idx="725">
                  <c:v>953.1802660510491</c:v>
                </c:pt>
                <c:pt idx="726">
                  <c:v>953.1802660510491</c:v>
                </c:pt>
                <c:pt idx="727">
                  <c:v>953.1802660510491</c:v>
                </c:pt>
                <c:pt idx="728">
                  <c:v>953.1802660510491</c:v>
                </c:pt>
                <c:pt idx="729">
                  <c:v>953.1802660510491</c:v>
                </c:pt>
                <c:pt idx="730">
                  <c:v>953.1802660510491</c:v>
                </c:pt>
                <c:pt idx="731">
                  <c:v>953.1802660510491</c:v>
                </c:pt>
                <c:pt idx="732">
                  <c:v>953.1802660510491</c:v>
                </c:pt>
                <c:pt idx="733">
                  <c:v>953.1802660510491</c:v>
                </c:pt>
                <c:pt idx="734">
                  <c:v>953.1802660510491</c:v>
                </c:pt>
                <c:pt idx="735">
                  <c:v>953.1802660510491</c:v>
                </c:pt>
                <c:pt idx="736">
                  <c:v>953.1802660510491</c:v>
                </c:pt>
                <c:pt idx="737">
                  <c:v>953.1802660510491</c:v>
                </c:pt>
                <c:pt idx="738">
                  <c:v>953.1802660510491</c:v>
                </c:pt>
                <c:pt idx="739">
                  <c:v>953.1802660510491</c:v>
                </c:pt>
                <c:pt idx="740">
                  <c:v>953.1802660510491</c:v>
                </c:pt>
                <c:pt idx="741">
                  <c:v>953.1802660510491</c:v>
                </c:pt>
                <c:pt idx="742">
                  <c:v>953.1802660510491</c:v>
                </c:pt>
                <c:pt idx="743">
                  <c:v>953.1802660510491</c:v>
                </c:pt>
                <c:pt idx="744">
                  <c:v>953.1802660510491</c:v>
                </c:pt>
                <c:pt idx="745">
                  <c:v>953.1802660510491</c:v>
                </c:pt>
                <c:pt idx="746">
                  <c:v>953.1802660510491</c:v>
                </c:pt>
                <c:pt idx="747">
                  <c:v>953.1802660510491</c:v>
                </c:pt>
                <c:pt idx="748">
                  <c:v>953.1802660510491</c:v>
                </c:pt>
                <c:pt idx="749">
                  <c:v>953.1802660510491</c:v>
                </c:pt>
                <c:pt idx="750">
                  <c:v>953.1802660510491</c:v>
                </c:pt>
                <c:pt idx="751">
                  <c:v>953.1802660510491</c:v>
                </c:pt>
                <c:pt idx="752">
                  <c:v>953.1802660510491</c:v>
                </c:pt>
                <c:pt idx="753">
                  <c:v>953.1802660510491</c:v>
                </c:pt>
                <c:pt idx="754">
                  <c:v>953.1802660510491</c:v>
                </c:pt>
                <c:pt idx="755">
                  <c:v>953.1802660510491</c:v>
                </c:pt>
                <c:pt idx="756">
                  <c:v>953.1802660510491</c:v>
                </c:pt>
                <c:pt idx="757">
                  <c:v>953.1802660510491</c:v>
                </c:pt>
                <c:pt idx="758">
                  <c:v>953.1802660510491</c:v>
                </c:pt>
                <c:pt idx="759">
                  <c:v>953.1802660510491</c:v>
                </c:pt>
                <c:pt idx="760">
                  <c:v>953.1802660510491</c:v>
                </c:pt>
                <c:pt idx="761">
                  <c:v>953.1802660510491</c:v>
                </c:pt>
                <c:pt idx="762">
                  <c:v>953.1802660510491</c:v>
                </c:pt>
                <c:pt idx="763">
                  <c:v>953.1802660510491</c:v>
                </c:pt>
                <c:pt idx="764">
                  <c:v>953.1802660510491</c:v>
                </c:pt>
                <c:pt idx="765">
                  <c:v>953.1802660510491</c:v>
                </c:pt>
                <c:pt idx="766">
                  <c:v>953.1802660510491</c:v>
                </c:pt>
                <c:pt idx="767">
                  <c:v>953.1802660510491</c:v>
                </c:pt>
                <c:pt idx="768">
                  <c:v>953.1802660510491</c:v>
                </c:pt>
                <c:pt idx="769">
                  <c:v>953.1802660510491</c:v>
                </c:pt>
                <c:pt idx="770">
                  <c:v>953.1802660510491</c:v>
                </c:pt>
                <c:pt idx="771">
                  <c:v>953.1802660510491</c:v>
                </c:pt>
                <c:pt idx="772">
                  <c:v>953.1802660510491</c:v>
                </c:pt>
                <c:pt idx="773">
                  <c:v>953.1802660510491</c:v>
                </c:pt>
                <c:pt idx="774">
                  <c:v>953.1802660510491</c:v>
                </c:pt>
                <c:pt idx="775">
                  <c:v>953.1802660510491</c:v>
                </c:pt>
                <c:pt idx="776">
                  <c:v>953.1802660510491</c:v>
                </c:pt>
                <c:pt idx="777">
                  <c:v>953.1802660510491</c:v>
                </c:pt>
                <c:pt idx="778">
                  <c:v>953.1802660510491</c:v>
                </c:pt>
                <c:pt idx="779">
                  <c:v>953.1802660510491</c:v>
                </c:pt>
                <c:pt idx="780">
                  <c:v>953.1802660510491</c:v>
                </c:pt>
                <c:pt idx="781">
                  <c:v>953.1802660510491</c:v>
                </c:pt>
                <c:pt idx="782">
                  <c:v>953.1802660510491</c:v>
                </c:pt>
                <c:pt idx="783">
                  <c:v>953.1802660510491</c:v>
                </c:pt>
                <c:pt idx="784">
                  <c:v>953.1802660510491</c:v>
                </c:pt>
                <c:pt idx="785">
                  <c:v>953.1802660510491</c:v>
                </c:pt>
                <c:pt idx="786">
                  <c:v>953.1802660510491</c:v>
                </c:pt>
                <c:pt idx="787">
                  <c:v>953.1802660510491</c:v>
                </c:pt>
                <c:pt idx="788">
                  <c:v>953.1802660510491</c:v>
                </c:pt>
                <c:pt idx="789">
                  <c:v>953.1802660510491</c:v>
                </c:pt>
                <c:pt idx="790">
                  <c:v>953.1802660510491</c:v>
                </c:pt>
                <c:pt idx="791">
                  <c:v>953.1802660510491</c:v>
                </c:pt>
                <c:pt idx="792">
                  <c:v>953.1802660510491</c:v>
                </c:pt>
                <c:pt idx="793">
                  <c:v>953.1802660510491</c:v>
                </c:pt>
                <c:pt idx="794">
                  <c:v>953.1802660510491</c:v>
                </c:pt>
                <c:pt idx="795">
                  <c:v>953.1802660510491</c:v>
                </c:pt>
                <c:pt idx="796">
                  <c:v>953.1802660510491</c:v>
                </c:pt>
                <c:pt idx="797">
                  <c:v>953.1802660510491</c:v>
                </c:pt>
                <c:pt idx="798">
                  <c:v>953.1802660510491</c:v>
                </c:pt>
                <c:pt idx="799">
                  <c:v>953.1802660510491</c:v>
                </c:pt>
                <c:pt idx="800">
                  <c:v>953.1802660510491</c:v>
                </c:pt>
                <c:pt idx="801">
                  <c:v>953.1802660510491</c:v>
                </c:pt>
                <c:pt idx="802">
                  <c:v>953.1802660510491</c:v>
                </c:pt>
                <c:pt idx="803">
                  <c:v>953.1802660510491</c:v>
                </c:pt>
                <c:pt idx="804">
                  <c:v>953.1802660510491</c:v>
                </c:pt>
                <c:pt idx="805">
                  <c:v>953.1802660510491</c:v>
                </c:pt>
                <c:pt idx="806">
                  <c:v>953.1802660510491</c:v>
                </c:pt>
                <c:pt idx="807">
                  <c:v>953.1802660510491</c:v>
                </c:pt>
                <c:pt idx="808">
                  <c:v>953.1802660510491</c:v>
                </c:pt>
                <c:pt idx="809">
                  <c:v>953.1802660510491</c:v>
                </c:pt>
                <c:pt idx="810">
                  <c:v>953.1802660510491</c:v>
                </c:pt>
                <c:pt idx="811">
                  <c:v>953.1802660510491</c:v>
                </c:pt>
                <c:pt idx="812">
                  <c:v>953.1802660510491</c:v>
                </c:pt>
                <c:pt idx="813">
                  <c:v>953.1802660510491</c:v>
                </c:pt>
                <c:pt idx="814">
                  <c:v>953.1802660510491</c:v>
                </c:pt>
                <c:pt idx="815">
                  <c:v>953.1802660510491</c:v>
                </c:pt>
                <c:pt idx="816">
                  <c:v>953.1802660510491</c:v>
                </c:pt>
                <c:pt idx="817">
                  <c:v>953.1802660510491</c:v>
                </c:pt>
                <c:pt idx="818">
                  <c:v>953.1802660510491</c:v>
                </c:pt>
                <c:pt idx="819">
                  <c:v>953.1802660510491</c:v>
                </c:pt>
                <c:pt idx="820">
                  <c:v>953.1802660510491</c:v>
                </c:pt>
                <c:pt idx="821">
                  <c:v>953.1802660510491</c:v>
                </c:pt>
                <c:pt idx="822">
                  <c:v>953.1802660510491</c:v>
                </c:pt>
                <c:pt idx="823">
                  <c:v>953.1802660510491</c:v>
                </c:pt>
                <c:pt idx="824">
                  <c:v>953.1802660510491</c:v>
                </c:pt>
                <c:pt idx="825">
                  <c:v>953.1802660510491</c:v>
                </c:pt>
                <c:pt idx="826">
                  <c:v>953.1802660510491</c:v>
                </c:pt>
                <c:pt idx="827">
                  <c:v>953.1802660510491</c:v>
                </c:pt>
                <c:pt idx="828">
                  <c:v>953.1802660510491</c:v>
                </c:pt>
                <c:pt idx="829">
                  <c:v>953.1802660510491</c:v>
                </c:pt>
                <c:pt idx="830">
                  <c:v>953.1802660510491</c:v>
                </c:pt>
                <c:pt idx="831">
                  <c:v>953.1802660510491</c:v>
                </c:pt>
                <c:pt idx="832">
                  <c:v>953.1802660510491</c:v>
                </c:pt>
                <c:pt idx="833">
                  <c:v>953.1802660510491</c:v>
                </c:pt>
                <c:pt idx="834">
                  <c:v>953.1802660510491</c:v>
                </c:pt>
                <c:pt idx="835">
                  <c:v>953.1802660510491</c:v>
                </c:pt>
                <c:pt idx="836">
                  <c:v>953.1802660510491</c:v>
                </c:pt>
                <c:pt idx="837">
                  <c:v>953.1802660510491</c:v>
                </c:pt>
                <c:pt idx="838">
                  <c:v>953.1802660510491</c:v>
                </c:pt>
                <c:pt idx="839">
                  <c:v>953.1802660510491</c:v>
                </c:pt>
                <c:pt idx="840">
                  <c:v>953.1802660510491</c:v>
                </c:pt>
                <c:pt idx="841">
                  <c:v>953.1802660510491</c:v>
                </c:pt>
                <c:pt idx="842">
                  <c:v>953.1802660510491</c:v>
                </c:pt>
                <c:pt idx="843">
                  <c:v>953.1802660510491</c:v>
                </c:pt>
                <c:pt idx="844">
                  <c:v>953.1802660510491</c:v>
                </c:pt>
                <c:pt idx="845">
                  <c:v>953.1802660510491</c:v>
                </c:pt>
                <c:pt idx="846">
                  <c:v>953.1802660510491</c:v>
                </c:pt>
                <c:pt idx="847">
                  <c:v>953.1802660510491</c:v>
                </c:pt>
                <c:pt idx="848">
                  <c:v>953.1802660510491</c:v>
                </c:pt>
                <c:pt idx="849">
                  <c:v>953.1802660510491</c:v>
                </c:pt>
                <c:pt idx="850">
                  <c:v>953.1802660510491</c:v>
                </c:pt>
                <c:pt idx="851">
                  <c:v>953.1802660510491</c:v>
                </c:pt>
                <c:pt idx="852">
                  <c:v>953.1802660510491</c:v>
                </c:pt>
                <c:pt idx="853">
                  <c:v>953.1802660510491</c:v>
                </c:pt>
                <c:pt idx="854">
                  <c:v>953.1802660510491</c:v>
                </c:pt>
                <c:pt idx="855">
                  <c:v>953.1802660510491</c:v>
                </c:pt>
                <c:pt idx="856">
                  <c:v>953.1802660510491</c:v>
                </c:pt>
                <c:pt idx="857">
                  <c:v>953.1802660510491</c:v>
                </c:pt>
                <c:pt idx="858">
                  <c:v>953.1802660510491</c:v>
                </c:pt>
                <c:pt idx="859">
                  <c:v>953.1802660510491</c:v>
                </c:pt>
                <c:pt idx="860">
                  <c:v>953.1802660510491</c:v>
                </c:pt>
                <c:pt idx="861">
                  <c:v>953.1802660510491</c:v>
                </c:pt>
                <c:pt idx="862">
                  <c:v>953.1802660510491</c:v>
                </c:pt>
                <c:pt idx="863">
                  <c:v>953.1802660510491</c:v>
                </c:pt>
                <c:pt idx="864">
                  <c:v>953.1802660510491</c:v>
                </c:pt>
                <c:pt idx="865">
                  <c:v>953.1802660510491</c:v>
                </c:pt>
                <c:pt idx="866">
                  <c:v>953.1802660510491</c:v>
                </c:pt>
                <c:pt idx="867">
                  <c:v>953.1802660510491</c:v>
                </c:pt>
                <c:pt idx="868">
                  <c:v>953.1802660510491</c:v>
                </c:pt>
                <c:pt idx="869">
                  <c:v>953.1802660510491</c:v>
                </c:pt>
                <c:pt idx="870">
                  <c:v>953.1802660510491</c:v>
                </c:pt>
                <c:pt idx="871">
                  <c:v>953.1802660510491</c:v>
                </c:pt>
                <c:pt idx="872">
                  <c:v>953.1802660510491</c:v>
                </c:pt>
                <c:pt idx="873">
                  <c:v>953.1802660510491</c:v>
                </c:pt>
                <c:pt idx="874">
                  <c:v>953.1802660510491</c:v>
                </c:pt>
                <c:pt idx="875">
                  <c:v>953.1802660510491</c:v>
                </c:pt>
                <c:pt idx="876">
                  <c:v>953.1802660510491</c:v>
                </c:pt>
                <c:pt idx="877">
                  <c:v>953.1802660510491</c:v>
                </c:pt>
                <c:pt idx="878">
                  <c:v>953.1802660510491</c:v>
                </c:pt>
                <c:pt idx="879">
                  <c:v>953.1802660510491</c:v>
                </c:pt>
                <c:pt idx="880">
                  <c:v>953.1802660510491</c:v>
                </c:pt>
                <c:pt idx="881">
                  <c:v>953.1802660510491</c:v>
                </c:pt>
                <c:pt idx="882">
                  <c:v>953.1802660510491</c:v>
                </c:pt>
                <c:pt idx="883">
                  <c:v>953.1802660510491</c:v>
                </c:pt>
                <c:pt idx="884">
                  <c:v>953.1802660510491</c:v>
                </c:pt>
                <c:pt idx="885">
                  <c:v>953.1802660510491</c:v>
                </c:pt>
                <c:pt idx="886">
                  <c:v>953.1802660510491</c:v>
                </c:pt>
                <c:pt idx="887">
                  <c:v>953.1802660510491</c:v>
                </c:pt>
                <c:pt idx="888">
                  <c:v>953.1802660510491</c:v>
                </c:pt>
                <c:pt idx="889">
                  <c:v>953.1802660510491</c:v>
                </c:pt>
                <c:pt idx="890">
                  <c:v>953.1802660510491</c:v>
                </c:pt>
                <c:pt idx="891">
                  <c:v>953.1802660510491</c:v>
                </c:pt>
                <c:pt idx="892">
                  <c:v>953.1802660510491</c:v>
                </c:pt>
                <c:pt idx="893">
                  <c:v>953.1802660510491</c:v>
                </c:pt>
                <c:pt idx="894">
                  <c:v>953.1802660510491</c:v>
                </c:pt>
                <c:pt idx="895">
                  <c:v>953.1802660510491</c:v>
                </c:pt>
                <c:pt idx="896">
                  <c:v>953.1802660510491</c:v>
                </c:pt>
                <c:pt idx="897">
                  <c:v>953.1802660510491</c:v>
                </c:pt>
                <c:pt idx="898">
                  <c:v>953.1802660510491</c:v>
                </c:pt>
                <c:pt idx="899">
                  <c:v>953.1802660510491</c:v>
                </c:pt>
                <c:pt idx="900">
                  <c:v>953.1802660510491</c:v>
                </c:pt>
                <c:pt idx="901">
                  <c:v>953.1802660510491</c:v>
                </c:pt>
                <c:pt idx="902">
                  <c:v>953.1802660510491</c:v>
                </c:pt>
                <c:pt idx="903">
                  <c:v>953.1802660510491</c:v>
                </c:pt>
                <c:pt idx="904">
                  <c:v>953.1802660510491</c:v>
                </c:pt>
                <c:pt idx="905">
                  <c:v>953.1802660510491</c:v>
                </c:pt>
                <c:pt idx="906">
                  <c:v>953.1802660510491</c:v>
                </c:pt>
                <c:pt idx="907">
                  <c:v>953.1802660510491</c:v>
                </c:pt>
                <c:pt idx="908">
                  <c:v>953.1802660510491</c:v>
                </c:pt>
                <c:pt idx="909">
                  <c:v>953.1802660510491</c:v>
                </c:pt>
                <c:pt idx="910">
                  <c:v>953.1802660510491</c:v>
                </c:pt>
                <c:pt idx="911">
                  <c:v>953.1802660510491</c:v>
                </c:pt>
                <c:pt idx="912">
                  <c:v>953.1802660510491</c:v>
                </c:pt>
                <c:pt idx="913">
                  <c:v>953.1802660510491</c:v>
                </c:pt>
                <c:pt idx="914">
                  <c:v>953.1802660510491</c:v>
                </c:pt>
                <c:pt idx="915">
                  <c:v>953.1802660510491</c:v>
                </c:pt>
                <c:pt idx="916">
                  <c:v>953.1802660510491</c:v>
                </c:pt>
                <c:pt idx="917">
                  <c:v>953.1802660510491</c:v>
                </c:pt>
                <c:pt idx="918">
                  <c:v>953.1802660510491</c:v>
                </c:pt>
                <c:pt idx="919">
                  <c:v>953.1802660510491</c:v>
                </c:pt>
                <c:pt idx="920">
                  <c:v>953.1802660510491</c:v>
                </c:pt>
                <c:pt idx="921">
                  <c:v>953.1802660510491</c:v>
                </c:pt>
                <c:pt idx="922">
                  <c:v>953.1802660510491</c:v>
                </c:pt>
                <c:pt idx="923">
                  <c:v>953.1802660510491</c:v>
                </c:pt>
                <c:pt idx="924">
                  <c:v>953.1802660510491</c:v>
                </c:pt>
                <c:pt idx="925">
                  <c:v>953.1802660510491</c:v>
                </c:pt>
                <c:pt idx="926">
                  <c:v>953.1802660510491</c:v>
                </c:pt>
                <c:pt idx="927">
                  <c:v>953.1802660510491</c:v>
                </c:pt>
                <c:pt idx="928">
                  <c:v>953.1802660510491</c:v>
                </c:pt>
                <c:pt idx="929">
                  <c:v>953.1802660510491</c:v>
                </c:pt>
                <c:pt idx="930">
                  <c:v>953.1802660510491</c:v>
                </c:pt>
                <c:pt idx="931">
                  <c:v>953.1802660510491</c:v>
                </c:pt>
                <c:pt idx="932">
                  <c:v>953.1802660510491</c:v>
                </c:pt>
                <c:pt idx="933">
                  <c:v>953.1802660510491</c:v>
                </c:pt>
                <c:pt idx="934">
                  <c:v>953.1802660510491</c:v>
                </c:pt>
                <c:pt idx="935">
                  <c:v>953.1802660510491</c:v>
                </c:pt>
                <c:pt idx="936">
                  <c:v>953.1802660510491</c:v>
                </c:pt>
                <c:pt idx="937">
                  <c:v>953.1802660510491</c:v>
                </c:pt>
                <c:pt idx="938">
                  <c:v>953.1802660510491</c:v>
                </c:pt>
                <c:pt idx="939">
                  <c:v>953.1802660510491</c:v>
                </c:pt>
                <c:pt idx="940">
                  <c:v>953.1802660510491</c:v>
                </c:pt>
                <c:pt idx="941">
                  <c:v>953.1802660510491</c:v>
                </c:pt>
                <c:pt idx="942">
                  <c:v>953.1802660510491</c:v>
                </c:pt>
                <c:pt idx="943">
                  <c:v>953.1802660510491</c:v>
                </c:pt>
                <c:pt idx="944">
                  <c:v>953.1802660510491</c:v>
                </c:pt>
                <c:pt idx="945">
                  <c:v>953.1802660510491</c:v>
                </c:pt>
                <c:pt idx="946">
                  <c:v>953.1802660510491</c:v>
                </c:pt>
                <c:pt idx="947">
                  <c:v>953.1802660510491</c:v>
                </c:pt>
                <c:pt idx="948">
                  <c:v>953.1802660510491</c:v>
                </c:pt>
                <c:pt idx="949">
                  <c:v>953.1802660510491</c:v>
                </c:pt>
                <c:pt idx="950">
                  <c:v>953.1802660510491</c:v>
                </c:pt>
                <c:pt idx="951">
                  <c:v>953.1802660510491</c:v>
                </c:pt>
                <c:pt idx="952">
                  <c:v>953.1802660510491</c:v>
                </c:pt>
                <c:pt idx="953">
                  <c:v>953.1802660510491</c:v>
                </c:pt>
                <c:pt idx="954">
                  <c:v>953.1802660510491</c:v>
                </c:pt>
                <c:pt idx="955">
                  <c:v>953.1802660510491</c:v>
                </c:pt>
                <c:pt idx="956">
                  <c:v>953.1802660510491</c:v>
                </c:pt>
                <c:pt idx="957">
                  <c:v>953.1802660510491</c:v>
                </c:pt>
                <c:pt idx="958">
                  <c:v>953.1802660510491</c:v>
                </c:pt>
                <c:pt idx="959">
                  <c:v>953.1802660510491</c:v>
                </c:pt>
                <c:pt idx="960">
                  <c:v>953.1802660510491</c:v>
                </c:pt>
                <c:pt idx="961">
                  <c:v>953.1802660510491</c:v>
                </c:pt>
                <c:pt idx="962">
                  <c:v>953.1802660510491</c:v>
                </c:pt>
                <c:pt idx="963">
                  <c:v>953.1802660510491</c:v>
                </c:pt>
                <c:pt idx="964">
                  <c:v>953.1802660510491</c:v>
                </c:pt>
                <c:pt idx="965">
                  <c:v>953.1802660510491</c:v>
                </c:pt>
                <c:pt idx="966">
                  <c:v>953.1802660510491</c:v>
                </c:pt>
                <c:pt idx="967">
                  <c:v>953.1802660510491</c:v>
                </c:pt>
                <c:pt idx="968">
                  <c:v>953.1802660510491</c:v>
                </c:pt>
                <c:pt idx="969">
                  <c:v>953.1802660510491</c:v>
                </c:pt>
                <c:pt idx="970">
                  <c:v>953.1802660510491</c:v>
                </c:pt>
                <c:pt idx="971">
                  <c:v>953.1802660510491</c:v>
                </c:pt>
                <c:pt idx="972">
                  <c:v>953.1802660510491</c:v>
                </c:pt>
                <c:pt idx="973">
                  <c:v>953.1802660510491</c:v>
                </c:pt>
                <c:pt idx="974">
                  <c:v>953.1802660510491</c:v>
                </c:pt>
                <c:pt idx="975">
                  <c:v>953.1802660510491</c:v>
                </c:pt>
                <c:pt idx="976">
                  <c:v>953.1802660510491</c:v>
                </c:pt>
                <c:pt idx="977">
                  <c:v>953.1802660510491</c:v>
                </c:pt>
                <c:pt idx="978">
                  <c:v>953.1802660510491</c:v>
                </c:pt>
                <c:pt idx="979">
                  <c:v>953.1802660510491</c:v>
                </c:pt>
                <c:pt idx="980">
                  <c:v>953.1802660510491</c:v>
                </c:pt>
                <c:pt idx="981">
                  <c:v>953.1802660510491</c:v>
                </c:pt>
                <c:pt idx="982">
                  <c:v>953.1802660510491</c:v>
                </c:pt>
                <c:pt idx="983">
                  <c:v>953.1802660510491</c:v>
                </c:pt>
                <c:pt idx="984">
                  <c:v>953.1802660510491</c:v>
                </c:pt>
                <c:pt idx="985">
                  <c:v>953.1802660510491</c:v>
                </c:pt>
                <c:pt idx="986">
                  <c:v>953.1802660510491</c:v>
                </c:pt>
                <c:pt idx="987">
                  <c:v>953.1802660510491</c:v>
                </c:pt>
                <c:pt idx="988">
                  <c:v>953.1802660510491</c:v>
                </c:pt>
                <c:pt idx="989">
                  <c:v>953.1802660510491</c:v>
                </c:pt>
                <c:pt idx="990">
                  <c:v>953.1802660510491</c:v>
                </c:pt>
                <c:pt idx="991">
                  <c:v>953.1802660510491</c:v>
                </c:pt>
                <c:pt idx="992">
                  <c:v>953.1802660510491</c:v>
                </c:pt>
                <c:pt idx="993">
                  <c:v>953.1802660510491</c:v>
                </c:pt>
                <c:pt idx="994">
                  <c:v>953.1802660510491</c:v>
                </c:pt>
                <c:pt idx="995">
                  <c:v>953.1802660510491</c:v>
                </c:pt>
                <c:pt idx="996">
                  <c:v>953.1802660510491</c:v>
                </c:pt>
                <c:pt idx="997">
                  <c:v>953.1802660510491</c:v>
                </c:pt>
                <c:pt idx="998">
                  <c:v>953.1802660510491</c:v>
                </c:pt>
                <c:pt idx="999">
                  <c:v>953.1802660510491</c:v>
                </c:pt>
                <c:pt idx="1000">
                  <c:v>953.1802660510491</c:v>
                </c:pt>
              </c:numCache>
            </c:numRef>
          </c:yVal>
          <c:smooth val="0"/>
          <c:extLst>
            <c:ext xmlns:c16="http://schemas.microsoft.com/office/drawing/2014/chart" uri="{C3380CC4-5D6E-409C-BE32-E72D297353CC}">
              <c16:uniqueId val="{00000000-5211-46C7-9CDC-5ABB17BE7C67}"/>
            </c:ext>
          </c:extLst>
        </c:ser>
        <c:ser>
          <c:idx val="1"/>
          <c:order val="1"/>
          <c:tx>
            <c:strRef>
              <c:f>Courbes!$B$143</c:f>
              <c:strCache>
                <c:ptCount val="1"/>
                <c:pt idx="0">
                  <c:v>Altitude</c:v>
                </c:pt>
              </c:strCache>
            </c:strRef>
          </c:tx>
          <c:spPr>
            <a:ln w="12700">
              <a:solidFill>
                <a:srgbClr val="000080"/>
              </a:solidFill>
              <a:prstDash val="solid"/>
            </a:ln>
          </c:spPr>
          <c:marker>
            <c:symbol val="none"/>
          </c:marker>
          <c:xVal>
            <c:numRef>
              <c:f>Calculs!$B$4:$B$1004</c:f>
              <c:numCache>
                <c:formatCode>0.00</c:formatCode>
                <c:ptCount val="10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1">
                  <c:v>1.0100000000000007</c:v>
                </c:pt>
                <c:pt idx="102">
                  <c:v>1.0200000000000007</c:v>
                </c:pt>
                <c:pt idx="103">
                  <c:v>1.0300000000000007</c:v>
                </c:pt>
                <c:pt idx="104">
                  <c:v>1.0400000000000007</c:v>
                </c:pt>
                <c:pt idx="105">
                  <c:v>1.0500000000000007</c:v>
                </c:pt>
                <c:pt idx="106">
                  <c:v>1.0600000000000007</c:v>
                </c:pt>
                <c:pt idx="107">
                  <c:v>1.0700000000000007</c:v>
                </c:pt>
                <c:pt idx="108">
                  <c:v>1.0800000000000007</c:v>
                </c:pt>
                <c:pt idx="109">
                  <c:v>1.0900000000000007</c:v>
                </c:pt>
                <c:pt idx="110">
                  <c:v>1.1000000000000008</c:v>
                </c:pt>
                <c:pt idx="111">
                  <c:v>1.1100000000000008</c:v>
                </c:pt>
                <c:pt idx="112">
                  <c:v>1.1200000000000008</c:v>
                </c:pt>
                <c:pt idx="113">
                  <c:v>1.1300000000000008</c:v>
                </c:pt>
                <c:pt idx="114">
                  <c:v>1.1400000000000008</c:v>
                </c:pt>
                <c:pt idx="115">
                  <c:v>1.1500000000000008</c:v>
                </c:pt>
                <c:pt idx="116">
                  <c:v>1.1600000000000008</c:v>
                </c:pt>
                <c:pt idx="117">
                  <c:v>1.1700000000000008</c:v>
                </c:pt>
                <c:pt idx="118">
                  <c:v>1.1800000000000008</c:v>
                </c:pt>
                <c:pt idx="119">
                  <c:v>1.1900000000000008</c:v>
                </c:pt>
                <c:pt idx="120">
                  <c:v>1.2000000000000008</c:v>
                </c:pt>
                <c:pt idx="121">
                  <c:v>1.2100000000000009</c:v>
                </c:pt>
                <c:pt idx="122">
                  <c:v>1.2200000000000009</c:v>
                </c:pt>
                <c:pt idx="123">
                  <c:v>1.2300000000000009</c:v>
                </c:pt>
                <c:pt idx="124">
                  <c:v>1.2400000000000009</c:v>
                </c:pt>
                <c:pt idx="125">
                  <c:v>1.2500000000000009</c:v>
                </c:pt>
                <c:pt idx="126">
                  <c:v>1.2600000000000009</c:v>
                </c:pt>
                <c:pt idx="127">
                  <c:v>1.2700000000000009</c:v>
                </c:pt>
                <c:pt idx="128">
                  <c:v>1.2800000000000009</c:v>
                </c:pt>
                <c:pt idx="129">
                  <c:v>1.2900000000000009</c:v>
                </c:pt>
                <c:pt idx="130">
                  <c:v>1.3000000000000009</c:v>
                </c:pt>
                <c:pt idx="131">
                  <c:v>1.3100000000000009</c:v>
                </c:pt>
                <c:pt idx="132">
                  <c:v>1.320000000000001</c:v>
                </c:pt>
                <c:pt idx="133">
                  <c:v>1.330000000000001</c:v>
                </c:pt>
                <c:pt idx="134">
                  <c:v>1.340000000000001</c:v>
                </c:pt>
                <c:pt idx="135">
                  <c:v>1.350000000000001</c:v>
                </c:pt>
                <c:pt idx="136">
                  <c:v>1.360000000000001</c:v>
                </c:pt>
                <c:pt idx="137">
                  <c:v>1.370000000000001</c:v>
                </c:pt>
                <c:pt idx="138">
                  <c:v>1.380000000000001</c:v>
                </c:pt>
                <c:pt idx="139">
                  <c:v>1.390000000000001</c:v>
                </c:pt>
                <c:pt idx="140">
                  <c:v>1.400000000000001</c:v>
                </c:pt>
                <c:pt idx="141">
                  <c:v>1.410000000000001</c:v>
                </c:pt>
                <c:pt idx="142">
                  <c:v>1.420000000000001</c:v>
                </c:pt>
                <c:pt idx="143">
                  <c:v>1.430000000000001</c:v>
                </c:pt>
                <c:pt idx="144">
                  <c:v>1.4400000000000011</c:v>
                </c:pt>
                <c:pt idx="145">
                  <c:v>1.4500000000000011</c:v>
                </c:pt>
                <c:pt idx="146">
                  <c:v>1.4600000000000011</c:v>
                </c:pt>
                <c:pt idx="147">
                  <c:v>1.4700000000000011</c:v>
                </c:pt>
                <c:pt idx="148">
                  <c:v>1.4800000000000011</c:v>
                </c:pt>
                <c:pt idx="149">
                  <c:v>1.4900000000000011</c:v>
                </c:pt>
                <c:pt idx="150">
                  <c:v>1.5000000000000011</c:v>
                </c:pt>
                <c:pt idx="151">
                  <c:v>1.5100000000000011</c:v>
                </c:pt>
                <c:pt idx="152">
                  <c:v>1.5200000000000011</c:v>
                </c:pt>
                <c:pt idx="153">
                  <c:v>1.5300000000000011</c:v>
                </c:pt>
                <c:pt idx="154">
                  <c:v>1.5400000000000011</c:v>
                </c:pt>
                <c:pt idx="155">
                  <c:v>1.5500000000000012</c:v>
                </c:pt>
                <c:pt idx="156">
                  <c:v>1.5600000000000012</c:v>
                </c:pt>
                <c:pt idx="157">
                  <c:v>1.5700000000000012</c:v>
                </c:pt>
                <c:pt idx="158">
                  <c:v>1.5800000000000012</c:v>
                </c:pt>
                <c:pt idx="159">
                  <c:v>1.5900000000000012</c:v>
                </c:pt>
                <c:pt idx="160">
                  <c:v>1.6000000000000012</c:v>
                </c:pt>
                <c:pt idx="161">
                  <c:v>1.6100000000000012</c:v>
                </c:pt>
                <c:pt idx="162">
                  <c:v>1.6200000000000012</c:v>
                </c:pt>
                <c:pt idx="163">
                  <c:v>1.6300000000000012</c:v>
                </c:pt>
                <c:pt idx="164">
                  <c:v>1.6400000000000012</c:v>
                </c:pt>
                <c:pt idx="165">
                  <c:v>1.6500000000000012</c:v>
                </c:pt>
                <c:pt idx="166">
                  <c:v>1.6600000000000013</c:v>
                </c:pt>
                <c:pt idx="167">
                  <c:v>1.6700000000000013</c:v>
                </c:pt>
                <c:pt idx="168">
                  <c:v>1.6800000000000013</c:v>
                </c:pt>
                <c:pt idx="169">
                  <c:v>1.6900000000000013</c:v>
                </c:pt>
                <c:pt idx="170">
                  <c:v>1.7000000000000013</c:v>
                </c:pt>
                <c:pt idx="171">
                  <c:v>1.7100000000000013</c:v>
                </c:pt>
                <c:pt idx="172">
                  <c:v>1.7200000000000013</c:v>
                </c:pt>
                <c:pt idx="173">
                  <c:v>1.7300000000000013</c:v>
                </c:pt>
                <c:pt idx="174">
                  <c:v>1.7400000000000013</c:v>
                </c:pt>
                <c:pt idx="175">
                  <c:v>1.7500000000000013</c:v>
                </c:pt>
                <c:pt idx="176">
                  <c:v>1.7600000000000013</c:v>
                </c:pt>
                <c:pt idx="177">
                  <c:v>1.7700000000000014</c:v>
                </c:pt>
                <c:pt idx="178">
                  <c:v>1.7800000000000014</c:v>
                </c:pt>
                <c:pt idx="179">
                  <c:v>1.7900000000000014</c:v>
                </c:pt>
                <c:pt idx="180">
                  <c:v>1.8000000000000014</c:v>
                </c:pt>
                <c:pt idx="181">
                  <c:v>1.8100000000000014</c:v>
                </c:pt>
                <c:pt idx="182">
                  <c:v>1.8200000000000014</c:v>
                </c:pt>
                <c:pt idx="183">
                  <c:v>1.8300000000000014</c:v>
                </c:pt>
                <c:pt idx="184">
                  <c:v>1.8400000000000014</c:v>
                </c:pt>
                <c:pt idx="185">
                  <c:v>1.8500000000000014</c:v>
                </c:pt>
                <c:pt idx="186">
                  <c:v>1.8600000000000014</c:v>
                </c:pt>
                <c:pt idx="187">
                  <c:v>1.8700000000000014</c:v>
                </c:pt>
                <c:pt idx="188">
                  <c:v>1.8800000000000014</c:v>
                </c:pt>
                <c:pt idx="189">
                  <c:v>1.8900000000000015</c:v>
                </c:pt>
                <c:pt idx="190">
                  <c:v>1.9000000000000015</c:v>
                </c:pt>
                <c:pt idx="191">
                  <c:v>1.9100000000000015</c:v>
                </c:pt>
                <c:pt idx="192">
                  <c:v>1.9200000000000015</c:v>
                </c:pt>
                <c:pt idx="193">
                  <c:v>1.9300000000000015</c:v>
                </c:pt>
                <c:pt idx="194">
                  <c:v>1.9400000000000015</c:v>
                </c:pt>
                <c:pt idx="195">
                  <c:v>1.9500000000000015</c:v>
                </c:pt>
                <c:pt idx="196">
                  <c:v>1.9600000000000015</c:v>
                </c:pt>
                <c:pt idx="197">
                  <c:v>1.9700000000000015</c:v>
                </c:pt>
                <c:pt idx="198">
                  <c:v>1.9800000000000015</c:v>
                </c:pt>
                <c:pt idx="199">
                  <c:v>1.9900000000000015</c:v>
                </c:pt>
                <c:pt idx="200">
                  <c:v>2.0000000000000013</c:v>
                </c:pt>
                <c:pt idx="201">
                  <c:v>2.0100000000000011</c:v>
                </c:pt>
                <c:pt idx="202">
                  <c:v>2.0200000000000009</c:v>
                </c:pt>
                <c:pt idx="203">
                  <c:v>2.0300000000000007</c:v>
                </c:pt>
                <c:pt idx="204">
                  <c:v>2.0400000000000005</c:v>
                </c:pt>
                <c:pt idx="205">
                  <c:v>2.0500000000000003</c:v>
                </c:pt>
                <c:pt idx="206">
                  <c:v>2.06</c:v>
                </c:pt>
                <c:pt idx="207">
                  <c:v>2.0699999999999998</c:v>
                </c:pt>
                <c:pt idx="208">
                  <c:v>2.0799999999999996</c:v>
                </c:pt>
                <c:pt idx="209">
                  <c:v>2.0899999999999994</c:v>
                </c:pt>
                <c:pt idx="210">
                  <c:v>2.0999999999999992</c:v>
                </c:pt>
                <c:pt idx="211">
                  <c:v>2.109999999999999</c:v>
                </c:pt>
                <c:pt idx="212">
                  <c:v>2.1199999999999988</c:v>
                </c:pt>
                <c:pt idx="213">
                  <c:v>2.1299999999999986</c:v>
                </c:pt>
                <c:pt idx="214">
                  <c:v>2.1399999999999983</c:v>
                </c:pt>
                <c:pt idx="215">
                  <c:v>2.1499999999999981</c:v>
                </c:pt>
                <c:pt idx="216">
                  <c:v>2.1599999999999979</c:v>
                </c:pt>
                <c:pt idx="217">
                  <c:v>2.1699999999999977</c:v>
                </c:pt>
                <c:pt idx="218">
                  <c:v>2.1799999999999975</c:v>
                </c:pt>
                <c:pt idx="219">
                  <c:v>2.1899999999999973</c:v>
                </c:pt>
                <c:pt idx="220">
                  <c:v>2.1999999999999971</c:v>
                </c:pt>
                <c:pt idx="221">
                  <c:v>2.2099999999999969</c:v>
                </c:pt>
                <c:pt idx="222">
                  <c:v>2.2199999999999966</c:v>
                </c:pt>
                <c:pt idx="223">
                  <c:v>2.2299999999999964</c:v>
                </c:pt>
                <c:pt idx="224">
                  <c:v>2.2399999999999962</c:v>
                </c:pt>
                <c:pt idx="225">
                  <c:v>2.249999999999996</c:v>
                </c:pt>
                <c:pt idx="226">
                  <c:v>2.2599999999999958</c:v>
                </c:pt>
                <c:pt idx="227">
                  <c:v>2.2699999999999956</c:v>
                </c:pt>
                <c:pt idx="228">
                  <c:v>2.2799999999999954</c:v>
                </c:pt>
                <c:pt idx="229">
                  <c:v>2.2899999999999952</c:v>
                </c:pt>
                <c:pt idx="230">
                  <c:v>2.2999999999999949</c:v>
                </c:pt>
                <c:pt idx="231">
                  <c:v>2.3099999999999947</c:v>
                </c:pt>
                <c:pt idx="232">
                  <c:v>2.3199999999999945</c:v>
                </c:pt>
                <c:pt idx="233">
                  <c:v>2.3299999999999943</c:v>
                </c:pt>
                <c:pt idx="234">
                  <c:v>2.3399999999999941</c:v>
                </c:pt>
                <c:pt idx="235">
                  <c:v>2.3499999999999939</c:v>
                </c:pt>
                <c:pt idx="236">
                  <c:v>2.3599999999999937</c:v>
                </c:pt>
                <c:pt idx="237">
                  <c:v>2.3699999999999934</c:v>
                </c:pt>
                <c:pt idx="238">
                  <c:v>2.3799999999999932</c:v>
                </c:pt>
                <c:pt idx="239">
                  <c:v>2.389999999999993</c:v>
                </c:pt>
                <c:pt idx="240">
                  <c:v>2.3999999999999928</c:v>
                </c:pt>
                <c:pt idx="241">
                  <c:v>2.4099999999999926</c:v>
                </c:pt>
                <c:pt idx="242">
                  <c:v>2.4199999999999924</c:v>
                </c:pt>
                <c:pt idx="243">
                  <c:v>2.4299999999999922</c:v>
                </c:pt>
                <c:pt idx="244">
                  <c:v>2.439999999999992</c:v>
                </c:pt>
                <c:pt idx="245">
                  <c:v>2.4499999999999917</c:v>
                </c:pt>
                <c:pt idx="246">
                  <c:v>2.4599999999999915</c:v>
                </c:pt>
                <c:pt idx="247">
                  <c:v>2.4699999999999913</c:v>
                </c:pt>
                <c:pt idx="248">
                  <c:v>2.4799999999999911</c:v>
                </c:pt>
                <c:pt idx="249">
                  <c:v>2.4899999999999909</c:v>
                </c:pt>
                <c:pt idx="250">
                  <c:v>2.4999999999999907</c:v>
                </c:pt>
                <c:pt idx="251">
                  <c:v>2.5099999999999905</c:v>
                </c:pt>
                <c:pt idx="252">
                  <c:v>2.5199999999999902</c:v>
                </c:pt>
                <c:pt idx="253">
                  <c:v>2.52999999999999</c:v>
                </c:pt>
                <c:pt idx="254">
                  <c:v>2.5399999999999898</c:v>
                </c:pt>
                <c:pt idx="255">
                  <c:v>2.5499999999999896</c:v>
                </c:pt>
                <c:pt idx="256">
                  <c:v>2.5599999999999894</c:v>
                </c:pt>
                <c:pt idx="257">
                  <c:v>2.5699999999999892</c:v>
                </c:pt>
                <c:pt idx="258">
                  <c:v>2.579999999999989</c:v>
                </c:pt>
                <c:pt idx="259">
                  <c:v>2.5899999999999888</c:v>
                </c:pt>
                <c:pt idx="260">
                  <c:v>2.5999999999999885</c:v>
                </c:pt>
                <c:pt idx="261">
                  <c:v>2.6099999999999883</c:v>
                </c:pt>
                <c:pt idx="262">
                  <c:v>2.6199999999999881</c:v>
                </c:pt>
                <c:pt idx="263">
                  <c:v>2.6299999999999879</c:v>
                </c:pt>
                <c:pt idx="264">
                  <c:v>2.6399999999999877</c:v>
                </c:pt>
                <c:pt idx="265">
                  <c:v>2.6499999999999875</c:v>
                </c:pt>
                <c:pt idx="266">
                  <c:v>2.6599999999999873</c:v>
                </c:pt>
                <c:pt idx="267">
                  <c:v>2.6699999999999871</c:v>
                </c:pt>
                <c:pt idx="268">
                  <c:v>2.6799999999999868</c:v>
                </c:pt>
                <c:pt idx="269">
                  <c:v>2.6899999999999866</c:v>
                </c:pt>
                <c:pt idx="270">
                  <c:v>2.6999999999999864</c:v>
                </c:pt>
                <c:pt idx="271">
                  <c:v>2.7099999999999862</c:v>
                </c:pt>
                <c:pt idx="272">
                  <c:v>2.719999999999986</c:v>
                </c:pt>
                <c:pt idx="273">
                  <c:v>2.7299999999999858</c:v>
                </c:pt>
                <c:pt idx="274">
                  <c:v>2.7399999999999856</c:v>
                </c:pt>
                <c:pt idx="275">
                  <c:v>2.7499999999999853</c:v>
                </c:pt>
                <c:pt idx="276">
                  <c:v>2.7599999999999851</c:v>
                </c:pt>
                <c:pt idx="277">
                  <c:v>2.7699999999999849</c:v>
                </c:pt>
                <c:pt idx="278">
                  <c:v>2.7799999999999847</c:v>
                </c:pt>
                <c:pt idx="279">
                  <c:v>2.7899999999999845</c:v>
                </c:pt>
                <c:pt idx="280">
                  <c:v>2.7999999999999843</c:v>
                </c:pt>
                <c:pt idx="281">
                  <c:v>2.8099999999999841</c:v>
                </c:pt>
                <c:pt idx="282">
                  <c:v>2.8199999999999839</c:v>
                </c:pt>
                <c:pt idx="283">
                  <c:v>2.8299999999999836</c:v>
                </c:pt>
                <c:pt idx="284">
                  <c:v>2.8399999999999834</c:v>
                </c:pt>
                <c:pt idx="285">
                  <c:v>2.8499999999999832</c:v>
                </c:pt>
                <c:pt idx="286">
                  <c:v>2.859999999999983</c:v>
                </c:pt>
                <c:pt idx="287">
                  <c:v>2.8699999999999828</c:v>
                </c:pt>
                <c:pt idx="288">
                  <c:v>2.8799999999999826</c:v>
                </c:pt>
                <c:pt idx="289">
                  <c:v>2.8899999999999824</c:v>
                </c:pt>
                <c:pt idx="290">
                  <c:v>2.8999999999999821</c:v>
                </c:pt>
                <c:pt idx="291">
                  <c:v>2.9099999999999819</c:v>
                </c:pt>
                <c:pt idx="292">
                  <c:v>2.9199999999999817</c:v>
                </c:pt>
                <c:pt idx="293">
                  <c:v>2.9299999999999815</c:v>
                </c:pt>
                <c:pt idx="294">
                  <c:v>2.9399999999999813</c:v>
                </c:pt>
                <c:pt idx="295">
                  <c:v>2.9499999999999811</c:v>
                </c:pt>
                <c:pt idx="296">
                  <c:v>2.9599999999999809</c:v>
                </c:pt>
                <c:pt idx="297">
                  <c:v>2.9699999999999807</c:v>
                </c:pt>
                <c:pt idx="298">
                  <c:v>2.9799999999999804</c:v>
                </c:pt>
                <c:pt idx="299">
                  <c:v>2.9899999999999802</c:v>
                </c:pt>
                <c:pt idx="300">
                  <c:v>2.99999999999998</c:v>
                </c:pt>
                <c:pt idx="301">
                  <c:v>3.0099999999999798</c:v>
                </c:pt>
                <c:pt idx="302">
                  <c:v>3.0199999999999796</c:v>
                </c:pt>
                <c:pt idx="303">
                  <c:v>3.0299999999999794</c:v>
                </c:pt>
                <c:pt idx="304">
                  <c:v>3.0399999999999792</c:v>
                </c:pt>
                <c:pt idx="305">
                  <c:v>3.049999999999979</c:v>
                </c:pt>
                <c:pt idx="306">
                  <c:v>3.0599999999999787</c:v>
                </c:pt>
                <c:pt idx="307">
                  <c:v>3.0699999999999785</c:v>
                </c:pt>
                <c:pt idx="308">
                  <c:v>3.0799999999999783</c:v>
                </c:pt>
                <c:pt idx="309">
                  <c:v>3.0899999999999781</c:v>
                </c:pt>
                <c:pt idx="310">
                  <c:v>3.0999999999999779</c:v>
                </c:pt>
                <c:pt idx="311">
                  <c:v>3.1099999999999777</c:v>
                </c:pt>
                <c:pt idx="312">
                  <c:v>3.1199999999999775</c:v>
                </c:pt>
                <c:pt idx="313">
                  <c:v>3.1299999999999772</c:v>
                </c:pt>
                <c:pt idx="314">
                  <c:v>3.139999999999977</c:v>
                </c:pt>
                <c:pt idx="315">
                  <c:v>3.1499999999999768</c:v>
                </c:pt>
                <c:pt idx="316">
                  <c:v>3.1599999999999766</c:v>
                </c:pt>
                <c:pt idx="317">
                  <c:v>3.1699999999999764</c:v>
                </c:pt>
                <c:pt idx="318">
                  <c:v>3.1799999999999762</c:v>
                </c:pt>
                <c:pt idx="319">
                  <c:v>3.189999999999976</c:v>
                </c:pt>
                <c:pt idx="320">
                  <c:v>3.1999999999999758</c:v>
                </c:pt>
                <c:pt idx="321">
                  <c:v>3.2099999999999755</c:v>
                </c:pt>
                <c:pt idx="322">
                  <c:v>3.2199999999999753</c:v>
                </c:pt>
                <c:pt idx="323">
                  <c:v>3.2299999999999751</c:v>
                </c:pt>
                <c:pt idx="324">
                  <c:v>3.2399999999999749</c:v>
                </c:pt>
                <c:pt idx="325">
                  <c:v>3.2499999999999747</c:v>
                </c:pt>
                <c:pt idx="326">
                  <c:v>3.2599999999999745</c:v>
                </c:pt>
                <c:pt idx="327">
                  <c:v>3.2699999999999743</c:v>
                </c:pt>
                <c:pt idx="328">
                  <c:v>3.279999999999974</c:v>
                </c:pt>
                <c:pt idx="329">
                  <c:v>3.2899999999999738</c:v>
                </c:pt>
                <c:pt idx="330">
                  <c:v>3.2999999999999736</c:v>
                </c:pt>
                <c:pt idx="331">
                  <c:v>3.3099999999999734</c:v>
                </c:pt>
                <c:pt idx="332">
                  <c:v>3.3199999999999732</c:v>
                </c:pt>
                <c:pt idx="333">
                  <c:v>3.329999999999973</c:v>
                </c:pt>
                <c:pt idx="334">
                  <c:v>3.3399999999999728</c:v>
                </c:pt>
                <c:pt idx="335">
                  <c:v>3.3499999999999726</c:v>
                </c:pt>
                <c:pt idx="336">
                  <c:v>3.3599999999999723</c:v>
                </c:pt>
                <c:pt idx="337">
                  <c:v>3.3699999999999721</c:v>
                </c:pt>
                <c:pt idx="338">
                  <c:v>3.3799999999999719</c:v>
                </c:pt>
                <c:pt idx="339">
                  <c:v>3.3899999999999717</c:v>
                </c:pt>
                <c:pt idx="340">
                  <c:v>3.3999999999999715</c:v>
                </c:pt>
                <c:pt idx="341">
                  <c:v>3.4099999999999713</c:v>
                </c:pt>
                <c:pt idx="342">
                  <c:v>3.4199999999999711</c:v>
                </c:pt>
                <c:pt idx="343">
                  <c:v>3.4299999999999708</c:v>
                </c:pt>
                <c:pt idx="344">
                  <c:v>3.4399999999999706</c:v>
                </c:pt>
                <c:pt idx="345">
                  <c:v>3.4499999999999704</c:v>
                </c:pt>
                <c:pt idx="346">
                  <c:v>3.4599999999999702</c:v>
                </c:pt>
                <c:pt idx="347">
                  <c:v>3.46999999999997</c:v>
                </c:pt>
                <c:pt idx="348">
                  <c:v>3.4799999999999698</c:v>
                </c:pt>
                <c:pt idx="349">
                  <c:v>3.4899999999999696</c:v>
                </c:pt>
                <c:pt idx="350">
                  <c:v>3.4999999999999694</c:v>
                </c:pt>
                <c:pt idx="351">
                  <c:v>3.5099999999999691</c:v>
                </c:pt>
                <c:pt idx="352">
                  <c:v>3.5199999999999689</c:v>
                </c:pt>
                <c:pt idx="353">
                  <c:v>3.5299999999999687</c:v>
                </c:pt>
                <c:pt idx="354">
                  <c:v>3.5399999999999685</c:v>
                </c:pt>
                <c:pt idx="355">
                  <c:v>3.5499999999999683</c:v>
                </c:pt>
                <c:pt idx="356">
                  <c:v>3.5599999999999681</c:v>
                </c:pt>
                <c:pt idx="357">
                  <c:v>3.5699999999999679</c:v>
                </c:pt>
                <c:pt idx="358">
                  <c:v>3.5799999999999677</c:v>
                </c:pt>
                <c:pt idx="359">
                  <c:v>3.5899999999999674</c:v>
                </c:pt>
                <c:pt idx="360">
                  <c:v>3.5999999999999672</c:v>
                </c:pt>
                <c:pt idx="361">
                  <c:v>3.609999999999967</c:v>
                </c:pt>
                <c:pt idx="362">
                  <c:v>3.6199999999999668</c:v>
                </c:pt>
                <c:pt idx="363">
                  <c:v>3.6299999999999666</c:v>
                </c:pt>
                <c:pt idx="364">
                  <c:v>3.6399999999999664</c:v>
                </c:pt>
                <c:pt idx="365">
                  <c:v>3.6499999999999662</c:v>
                </c:pt>
                <c:pt idx="366">
                  <c:v>3.6599999999999659</c:v>
                </c:pt>
                <c:pt idx="367">
                  <c:v>3.6699999999999657</c:v>
                </c:pt>
                <c:pt idx="368">
                  <c:v>3.6799999999999655</c:v>
                </c:pt>
                <c:pt idx="369">
                  <c:v>3.6899999999999653</c:v>
                </c:pt>
                <c:pt idx="370">
                  <c:v>3.6999999999999651</c:v>
                </c:pt>
                <c:pt idx="371">
                  <c:v>3.7099999999999649</c:v>
                </c:pt>
                <c:pt idx="372">
                  <c:v>3.7199999999999647</c:v>
                </c:pt>
                <c:pt idx="373">
                  <c:v>3.7299999999999645</c:v>
                </c:pt>
                <c:pt idx="374">
                  <c:v>3.7399999999999642</c:v>
                </c:pt>
                <c:pt idx="375">
                  <c:v>3.749999999999964</c:v>
                </c:pt>
                <c:pt idx="376">
                  <c:v>3.7599999999999638</c:v>
                </c:pt>
                <c:pt idx="377">
                  <c:v>3.7699999999999636</c:v>
                </c:pt>
                <c:pt idx="378">
                  <c:v>3.7799999999999634</c:v>
                </c:pt>
                <c:pt idx="379">
                  <c:v>3.7899999999999632</c:v>
                </c:pt>
                <c:pt idx="380">
                  <c:v>3.799999999999963</c:v>
                </c:pt>
                <c:pt idx="381">
                  <c:v>3.8099999999999627</c:v>
                </c:pt>
                <c:pt idx="382">
                  <c:v>3.8199999999999625</c:v>
                </c:pt>
                <c:pt idx="383">
                  <c:v>3.8299999999999623</c:v>
                </c:pt>
                <c:pt idx="384">
                  <c:v>3.8399999999999621</c:v>
                </c:pt>
                <c:pt idx="385">
                  <c:v>3.8499999999999619</c:v>
                </c:pt>
                <c:pt idx="386">
                  <c:v>3.8599999999999617</c:v>
                </c:pt>
                <c:pt idx="387">
                  <c:v>3.8699999999999615</c:v>
                </c:pt>
                <c:pt idx="388">
                  <c:v>3.8799999999999613</c:v>
                </c:pt>
                <c:pt idx="389">
                  <c:v>3.889999999999961</c:v>
                </c:pt>
                <c:pt idx="390">
                  <c:v>3.8999999999999608</c:v>
                </c:pt>
                <c:pt idx="391">
                  <c:v>3.9099999999999606</c:v>
                </c:pt>
                <c:pt idx="392">
                  <c:v>3.9199999999999604</c:v>
                </c:pt>
                <c:pt idx="393">
                  <c:v>3.9299999999999602</c:v>
                </c:pt>
                <c:pt idx="394">
                  <c:v>3.93999999999996</c:v>
                </c:pt>
                <c:pt idx="395">
                  <c:v>3.9499999999999598</c:v>
                </c:pt>
                <c:pt idx="396">
                  <c:v>3.9599999999999596</c:v>
                </c:pt>
                <c:pt idx="397">
                  <c:v>3.9699999999999593</c:v>
                </c:pt>
                <c:pt idx="398">
                  <c:v>3.9799999999999591</c:v>
                </c:pt>
                <c:pt idx="399">
                  <c:v>3.9899999999999589</c:v>
                </c:pt>
                <c:pt idx="400">
                  <c:v>3.9999999999999587</c:v>
                </c:pt>
                <c:pt idx="401">
                  <c:v>4.0999999999999588</c:v>
                </c:pt>
                <c:pt idx="402">
                  <c:v>4.1999999999999584</c:v>
                </c:pt>
                <c:pt idx="403">
                  <c:v>4.2999999999999581</c:v>
                </c:pt>
                <c:pt idx="404">
                  <c:v>4.3999999999999577</c:v>
                </c:pt>
                <c:pt idx="405">
                  <c:v>4.4999999999999574</c:v>
                </c:pt>
                <c:pt idx="406">
                  <c:v>4.599999999999957</c:v>
                </c:pt>
                <c:pt idx="407">
                  <c:v>4.6999999999999567</c:v>
                </c:pt>
                <c:pt idx="408">
                  <c:v>4.7999999999999563</c:v>
                </c:pt>
                <c:pt idx="409">
                  <c:v>4.8999999999999559</c:v>
                </c:pt>
                <c:pt idx="410">
                  <c:v>4.9999999999999556</c:v>
                </c:pt>
                <c:pt idx="411">
                  <c:v>5.0999999999999552</c:v>
                </c:pt>
                <c:pt idx="412">
                  <c:v>5.1999999999999549</c:v>
                </c:pt>
                <c:pt idx="413">
                  <c:v>5.2999999999999545</c:v>
                </c:pt>
                <c:pt idx="414">
                  <c:v>5.3999999999999542</c:v>
                </c:pt>
                <c:pt idx="415">
                  <c:v>5.4999999999999538</c:v>
                </c:pt>
                <c:pt idx="416">
                  <c:v>5.5999999999999535</c:v>
                </c:pt>
                <c:pt idx="417">
                  <c:v>5.6999999999999531</c:v>
                </c:pt>
                <c:pt idx="418">
                  <c:v>5.7999999999999527</c:v>
                </c:pt>
                <c:pt idx="419">
                  <c:v>5.8999999999999524</c:v>
                </c:pt>
                <c:pt idx="420">
                  <c:v>5.999999999999952</c:v>
                </c:pt>
                <c:pt idx="421">
                  <c:v>6.0999999999999517</c:v>
                </c:pt>
                <c:pt idx="422">
                  <c:v>6.1999999999999513</c:v>
                </c:pt>
                <c:pt idx="423">
                  <c:v>6.299999999999951</c:v>
                </c:pt>
                <c:pt idx="424">
                  <c:v>6.3999999999999506</c:v>
                </c:pt>
                <c:pt idx="425">
                  <c:v>6.4999999999999503</c:v>
                </c:pt>
                <c:pt idx="426">
                  <c:v>6.5999999999999499</c:v>
                </c:pt>
                <c:pt idx="427">
                  <c:v>6.6999999999999496</c:v>
                </c:pt>
                <c:pt idx="428">
                  <c:v>6.7999999999999492</c:v>
                </c:pt>
                <c:pt idx="429">
                  <c:v>6.8999999999999488</c:v>
                </c:pt>
                <c:pt idx="430">
                  <c:v>6.9999999999999485</c:v>
                </c:pt>
                <c:pt idx="431">
                  <c:v>7.0999999999999481</c:v>
                </c:pt>
                <c:pt idx="432">
                  <c:v>7.1999999999999478</c:v>
                </c:pt>
                <c:pt idx="433">
                  <c:v>7.2999999999999474</c:v>
                </c:pt>
                <c:pt idx="434">
                  <c:v>7.3999999999999471</c:v>
                </c:pt>
                <c:pt idx="435">
                  <c:v>7.4999999999999467</c:v>
                </c:pt>
                <c:pt idx="436">
                  <c:v>7.5999999999999464</c:v>
                </c:pt>
                <c:pt idx="437">
                  <c:v>7.699999999999946</c:v>
                </c:pt>
                <c:pt idx="438">
                  <c:v>7.7999999999999456</c:v>
                </c:pt>
                <c:pt idx="439">
                  <c:v>7.8999999999999453</c:v>
                </c:pt>
                <c:pt idx="440">
                  <c:v>7.9999999999999449</c:v>
                </c:pt>
                <c:pt idx="441">
                  <c:v>8.0999999999999446</c:v>
                </c:pt>
                <c:pt idx="442">
                  <c:v>8.1999999999999442</c:v>
                </c:pt>
                <c:pt idx="443">
                  <c:v>8.2999999999999439</c:v>
                </c:pt>
                <c:pt idx="444">
                  <c:v>8.3999999999999435</c:v>
                </c:pt>
                <c:pt idx="445">
                  <c:v>8.4999999999999432</c:v>
                </c:pt>
                <c:pt idx="446">
                  <c:v>8.5999999999999428</c:v>
                </c:pt>
                <c:pt idx="447">
                  <c:v>8.6999999999999424</c:v>
                </c:pt>
                <c:pt idx="448">
                  <c:v>8.7999999999999421</c:v>
                </c:pt>
                <c:pt idx="449">
                  <c:v>8.8999999999999417</c:v>
                </c:pt>
                <c:pt idx="450">
                  <c:v>8.9999999999999414</c:v>
                </c:pt>
                <c:pt idx="451">
                  <c:v>9.099999999999941</c:v>
                </c:pt>
                <c:pt idx="452">
                  <c:v>9.1999999999999407</c:v>
                </c:pt>
                <c:pt idx="453">
                  <c:v>9.2999999999999403</c:v>
                </c:pt>
                <c:pt idx="454">
                  <c:v>9.39999999999994</c:v>
                </c:pt>
                <c:pt idx="455">
                  <c:v>9.4999999999999396</c:v>
                </c:pt>
                <c:pt idx="456">
                  <c:v>9.5999999999999392</c:v>
                </c:pt>
                <c:pt idx="457">
                  <c:v>9.6999999999999389</c:v>
                </c:pt>
                <c:pt idx="458">
                  <c:v>9.7999999999999385</c:v>
                </c:pt>
                <c:pt idx="459">
                  <c:v>9.8999999999999382</c:v>
                </c:pt>
                <c:pt idx="460">
                  <c:v>9.9999999999999378</c:v>
                </c:pt>
                <c:pt idx="461">
                  <c:v>10.099999999999937</c:v>
                </c:pt>
                <c:pt idx="462">
                  <c:v>10.199999999999937</c:v>
                </c:pt>
                <c:pt idx="463">
                  <c:v>10.299999999999937</c:v>
                </c:pt>
                <c:pt idx="464">
                  <c:v>10.399999999999936</c:v>
                </c:pt>
                <c:pt idx="465">
                  <c:v>10.499999999999936</c:v>
                </c:pt>
                <c:pt idx="466">
                  <c:v>10.599999999999936</c:v>
                </c:pt>
                <c:pt idx="467">
                  <c:v>10.699999999999935</c:v>
                </c:pt>
                <c:pt idx="468">
                  <c:v>10.799999999999935</c:v>
                </c:pt>
                <c:pt idx="469">
                  <c:v>10.899999999999935</c:v>
                </c:pt>
                <c:pt idx="470">
                  <c:v>10.999999999999934</c:v>
                </c:pt>
                <c:pt idx="471">
                  <c:v>11.099999999999934</c:v>
                </c:pt>
                <c:pt idx="472">
                  <c:v>11.199999999999934</c:v>
                </c:pt>
                <c:pt idx="473">
                  <c:v>11.299999999999933</c:v>
                </c:pt>
                <c:pt idx="474">
                  <c:v>11.399999999999933</c:v>
                </c:pt>
                <c:pt idx="475">
                  <c:v>11.499999999999932</c:v>
                </c:pt>
                <c:pt idx="476">
                  <c:v>11.599999999999932</c:v>
                </c:pt>
                <c:pt idx="477">
                  <c:v>11.699999999999932</c:v>
                </c:pt>
                <c:pt idx="478">
                  <c:v>11.799999999999931</c:v>
                </c:pt>
                <c:pt idx="479">
                  <c:v>11.899999999999931</c:v>
                </c:pt>
                <c:pt idx="480">
                  <c:v>11.999999999999931</c:v>
                </c:pt>
                <c:pt idx="481">
                  <c:v>12.09999999999993</c:v>
                </c:pt>
                <c:pt idx="482">
                  <c:v>12.19999999999993</c:v>
                </c:pt>
                <c:pt idx="483">
                  <c:v>12.29999999999993</c:v>
                </c:pt>
                <c:pt idx="484">
                  <c:v>12.399999999999929</c:v>
                </c:pt>
                <c:pt idx="485">
                  <c:v>12.499999999999929</c:v>
                </c:pt>
                <c:pt idx="486">
                  <c:v>12.599999999999929</c:v>
                </c:pt>
                <c:pt idx="487">
                  <c:v>12.699999999999928</c:v>
                </c:pt>
                <c:pt idx="488">
                  <c:v>12.799999999999928</c:v>
                </c:pt>
                <c:pt idx="489">
                  <c:v>12.899999999999928</c:v>
                </c:pt>
                <c:pt idx="490">
                  <c:v>12.999999999999927</c:v>
                </c:pt>
                <c:pt idx="491">
                  <c:v>13.099999999999927</c:v>
                </c:pt>
                <c:pt idx="492">
                  <c:v>13.199999999999926</c:v>
                </c:pt>
                <c:pt idx="493">
                  <c:v>13.299999999999926</c:v>
                </c:pt>
                <c:pt idx="494">
                  <c:v>13.399999999999926</c:v>
                </c:pt>
                <c:pt idx="495">
                  <c:v>13.499999999999925</c:v>
                </c:pt>
                <c:pt idx="496">
                  <c:v>13.599999999999925</c:v>
                </c:pt>
                <c:pt idx="497">
                  <c:v>13.699999999999925</c:v>
                </c:pt>
                <c:pt idx="498">
                  <c:v>13.799999999999924</c:v>
                </c:pt>
                <c:pt idx="499">
                  <c:v>13.899999999999924</c:v>
                </c:pt>
                <c:pt idx="500">
                  <c:v>13.999999999999924</c:v>
                </c:pt>
                <c:pt idx="501">
                  <c:v>14.099999999999923</c:v>
                </c:pt>
                <c:pt idx="502">
                  <c:v>14.199999999999923</c:v>
                </c:pt>
                <c:pt idx="503">
                  <c:v>14.299999999999923</c:v>
                </c:pt>
                <c:pt idx="504">
                  <c:v>14.399999999999922</c:v>
                </c:pt>
                <c:pt idx="505">
                  <c:v>14.499999999999922</c:v>
                </c:pt>
                <c:pt idx="506">
                  <c:v>14.599999999999921</c:v>
                </c:pt>
                <c:pt idx="507">
                  <c:v>14.699999999999921</c:v>
                </c:pt>
                <c:pt idx="508">
                  <c:v>14.799999999999921</c:v>
                </c:pt>
                <c:pt idx="509">
                  <c:v>14.89999999999992</c:v>
                </c:pt>
                <c:pt idx="510">
                  <c:v>14.99999999999992</c:v>
                </c:pt>
                <c:pt idx="511">
                  <c:v>15.09999999999992</c:v>
                </c:pt>
                <c:pt idx="512">
                  <c:v>15.199999999999919</c:v>
                </c:pt>
                <c:pt idx="513">
                  <c:v>15.299999999999919</c:v>
                </c:pt>
                <c:pt idx="514">
                  <c:v>15.399999999999919</c:v>
                </c:pt>
                <c:pt idx="515">
                  <c:v>15.499999999999918</c:v>
                </c:pt>
                <c:pt idx="516">
                  <c:v>15.599999999999918</c:v>
                </c:pt>
                <c:pt idx="517">
                  <c:v>15.699999999999918</c:v>
                </c:pt>
                <c:pt idx="518">
                  <c:v>15.799999999999917</c:v>
                </c:pt>
                <c:pt idx="519">
                  <c:v>15.899999999999917</c:v>
                </c:pt>
                <c:pt idx="520">
                  <c:v>15.999999999999917</c:v>
                </c:pt>
                <c:pt idx="521">
                  <c:v>16.099999999999916</c:v>
                </c:pt>
                <c:pt idx="522">
                  <c:v>16.199999999999918</c:v>
                </c:pt>
                <c:pt idx="523">
                  <c:v>16.299999999999919</c:v>
                </c:pt>
                <c:pt idx="524">
                  <c:v>16.39999999999992</c:v>
                </c:pt>
                <c:pt idx="525">
                  <c:v>16.499999999999922</c:v>
                </c:pt>
                <c:pt idx="526">
                  <c:v>16.599999999999923</c:v>
                </c:pt>
                <c:pt idx="527">
                  <c:v>16.699999999999925</c:v>
                </c:pt>
                <c:pt idx="528">
                  <c:v>16.799999999999926</c:v>
                </c:pt>
                <c:pt idx="529">
                  <c:v>16.899999999999928</c:v>
                </c:pt>
                <c:pt idx="530">
                  <c:v>16.999999999999929</c:v>
                </c:pt>
                <c:pt idx="531">
                  <c:v>17.09999999999993</c:v>
                </c:pt>
                <c:pt idx="532">
                  <c:v>17.199999999999932</c:v>
                </c:pt>
                <c:pt idx="533">
                  <c:v>17.299999999999933</c:v>
                </c:pt>
                <c:pt idx="534">
                  <c:v>17.399999999999935</c:v>
                </c:pt>
                <c:pt idx="535">
                  <c:v>17.499999999999936</c:v>
                </c:pt>
                <c:pt idx="536">
                  <c:v>17.599999999999937</c:v>
                </c:pt>
                <c:pt idx="537">
                  <c:v>17.699999999999939</c:v>
                </c:pt>
                <c:pt idx="538">
                  <c:v>17.79999999999994</c:v>
                </c:pt>
                <c:pt idx="539">
                  <c:v>17.899999999999942</c:v>
                </c:pt>
                <c:pt idx="540">
                  <c:v>17.999999999999943</c:v>
                </c:pt>
                <c:pt idx="541">
                  <c:v>18.099999999999945</c:v>
                </c:pt>
                <c:pt idx="542">
                  <c:v>18.199999999999946</c:v>
                </c:pt>
                <c:pt idx="543">
                  <c:v>18.299999999999947</c:v>
                </c:pt>
                <c:pt idx="544">
                  <c:v>18.399999999999949</c:v>
                </c:pt>
                <c:pt idx="545">
                  <c:v>18.49999999999995</c:v>
                </c:pt>
                <c:pt idx="546">
                  <c:v>18.599999999999952</c:v>
                </c:pt>
                <c:pt idx="547">
                  <c:v>18.699999999999953</c:v>
                </c:pt>
                <c:pt idx="548">
                  <c:v>18.799999999999955</c:v>
                </c:pt>
                <c:pt idx="549">
                  <c:v>18.899999999999956</c:v>
                </c:pt>
                <c:pt idx="550">
                  <c:v>18.999999999999957</c:v>
                </c:pt>
                <c:pt idx="551">
                  <c:v>19.099999999999959</c:v>
                </c:pt>
                <c:pt idx="552">
                  <c:v>19.19999999999996</c:v>
                </c:pt>
                <c:pt idx="553">
                  <c:v>19.299999999999962</c:v>
                </c:pt>
                <c:pt idx="554">
                  <c:v>19.399999999999963</c:v>
                </c:pt>
                <c:pt idx="555">
                  <c:v>19.499999999999964</c:v>
                </c:pt>
                <c:pt idx="556">
                  <c:v>19.599999999999966</c:v>
                </c:pt>
                <c:pt idx="557">
                  <c:v>19.699999999999967</c:v>
                </c:pt>
                <c:pt idx="558">
                  <c:v>19.799999999999969</c:v>
                </c:pt>
                <c:pt idx="559">
                  <c:v>19.89999999999997</c:v>
                </c:pt>
                <c:pt idx="560">
                  <c:v>19.999999999999972</c:v>
                </c:pt>
                <c:pt idx="561">
                  <c:v>20.099999999999973</c:v>
                </c:pt>
                <c:pt idx="562">
                  <c:v>20.199999999999974</c:v>
                </c:pt>
                <c:pt idx="563">
                  <c:v>20.299999999999976</c:v>
                </c:pt>
                <c:pt idx="564">
                  <c:v>20.399999999999977</c:v>
                </c:pt>
                <c:pt idx="565">
                  <c:v>20.499999999999979</c:v>
                </c:pt>
                <c:pt idx="566">
                  <c:v>20.59999999999998</c:v>
                </c:pt>
                <c:pt idx="567">
                  <c:v>20.699999999999982</c:v>
                </c:pt>
                <c:pt idx="568">
                  <c:v>20.799999999999983</c:v>
                </c:pt>
                <c:pt idx="569">
                  <c:v>20.899999999999984</c:v>
                </c:pt>
                <c:pt idx="570">
                  <c:v>20.999999999999986</c:v>
                </c:pt>
                <c:pt idx="571">
                  <c:v>21.099999999999987</c:v>
                </c:pt>
                <c:pt idx="572">
                  <c:v>21.199999999999989</c:v>
                </c:pt>
                <c:pt idx="573">
                  <c:v>21.29999999999999</c:v>
                </c:pt>
                <c:pt idx="574">
                  <c:v>21.399999999999991</c:v>
                </c:pt>
                <c:pt idx="575">
                  <c:v>21.499999999999993</c:v>
                </c:pt>
                <c:pt idx="576">
                  <c:v>21.599999999999994</c:v>
                </c:pt>
                <c:pt idx="577">
                  <c:v>21.699999999999996</c:v>
                </c:pt>
                <c:pt idx="578">
                  <c:v>21.799999999999997</c:v>
                </c:pt>
                <c:pt idx="579">
                  <c:v>21.9</c:v>
                </c:pt>
                <c:pt idx="580">
                  <c:v>22</c:v>
                </c:pt>
                <c:pt idx="581">
                  <c:v>22.1</c:v>
                </c:pt>
                <c:pt idx="582">
                  <c:v>22.200000000000003</c:v>
                </c:pt>
                <c:pt idx="583">
                  <c:v>22.300000000000004</c:v>
                </c:pt>
                <c:pt idx="584">
                  <c:v>22.400000000000006</c:v>
                </c:pt>
                <c:pt idx="585">
                  <c:v>22.500000000000007</c:v>
                </c:pt>
                <c:pt idx="586">
                  <c:v>22.600000000000009</c:v>
                </c:pt>
                <c:pt idx="587">
                  <c:v>22.70000000000001</c:v>
                </c:pt>
                <c:pt idx="588">
                  <c:v>22.800000000000011</c:v>
                </c:pt>
                <c:pt idx="589">
                  <c:v>22.900000000000013</c:v>
                </c:pt>
                <c:pt idx="590">
                  <c:v>23.000000000000014</c:v>
                </c:pt>
                <c:pt idx="591">
                  <c:v>23.100000000000016</c:v>
                </c:pt>
                <c:pt idx="592">
                  <c:v>23.200000000000017</c:v>
                </c:pt>
                <c:pt idx="593">
                  <c:v>23.300000000000018</c:v>
                </c:pt>
                <c:pt idx="594">
                  <c:v>23.40000000000002</c:v>
                </c:pt>
                <c:pt idx="595">
                  <c:v>23.500000000000021</c:v>
                </c:pt>
                <c:pt idx="596">
                  <c:v>23.600000000000023</c:v>
                </c:pt>
                <c:pt idx="597">
                  <c:v>23.700000000000024</c:v>
                </c:pt>
                <c:pt idx="598">
                  <c:v>23.800000000000026</c:v>
                </c:pt>
                <c:pt idx="599">
                  <c:v>23.900000000000027</c:v>
                </c:pt>
                <c:pt idx="600">
                  <c:v>24.000000000000028</c:v>
                </c:pt>
                <c:pt idx="601">
                  <c:v>24.10000000000003</c:v>
                </c:pt>
                <c:pt idx="602">
                  <c:v>24.200000000000031</c:v>
                </c:pt>
                <c:pt idx="603">
                  <c:v>24.300000000000033</c:v>
                </c:pt>
                <c:pt idx="604">
                  <c:v>24.400000000000034</c:v>
                </c:pt>
                <c:pt idx="605">
                  <c:v>24.500000000000036</c:v>
                </c:pt>
                <c:pt idx="606">
                  <c:v>24.600000000000037</c:v>
                </c:pt>
                <c:pt idx="607">
                  <c:v>24.700000000000038</c:v>
                </c:pt>
                <c:pt idx="608">
                  <c:v>24.80000000000004</c:v>
                </c:pt>
                <c:pt idx="609">
                  <c:v>24.900000000000041</c:v>
                </c:pt>
                <c:pt idx="610">
                  <c:v>25.000000000000043</c:v>
                </c:pt>
                <c:pt idx="611">
                  <c:v>25.100000000000044</c:v>
                </c:pt>
                <c:pt idx="612">
                  <c:v>25.200000000000045</c:v>
                </c:pt>
                <c:pt idx="613">
                  <c:v>25.300000000000047</c:v>
                </c:pt>
                <c:pt idx="614">
                  <c:v>25.400000000000048</c:v>
                </c:pt>
                <c:pt idx="615">
                  <c:v>25.50000000000005</c:v>
                </c:pt>
                <c:pt idx="616">
                  <c:v>25.600000000000051</c:v>
                </c:pt>
                <c:pt idx="617">
                  <c:v>25.700000000000053</c:v>
                </c:pt>
                <c:pt idx="618">
                  <c:v>25.800000000000054</c:v>
                </c:pt>
                <c:pt idx="619">
                  <c:v>25.900000000000055</c:v>
                </c:pt>
                <c:pt idx="620">
                  <c:v>26.000000000000057</c:v>
                </c:pt>
                <c:pt idx="621">
                  <c:v>26.100000000000058</c:v>
                </c:pt>
                <c:pt idx="622">
                  <c:v>26.20000000000006</c:v>
                </c:pt>
                <c:pt idx="623">
                  <c:v>26.300000000000061</c:v>
                </c:pt>
                <c:pt idx="624">
                  <c:v>26.400000000000063</c:v>
                </c:pt>
                <c:pt idx="625">
                  <c:v>26.500000000000064</c:v>
                </c:pt>
                <c:pt idx="626">
                  <c:v>26.600000000000065</c:v>
                </c:pt>
                <c:pt idx="627">
                  <c:v>26.700000000000067</c:v>
                </c:pt>
                <c:pt idx="628">
                  <c:v>26.800000000000068</c:v>
                </c:pt>
                <c:pt idx="629">
                  <c:v>26.90000000000007</c:v>
                </c:pt>
                <c:pt idx="630">
                  <c:v>27.000000000000071</c:v>
                </c:pt>
                <c:pt idx="631">
                  <c:v>27.100000000000072</c:v>
                </c:pt>
                <c:pt idx="632">
                  <c:v>27.200000000000074</c:v>
                </c:pt>
                <c:pt idx="633">
                  <c:v>27.300000000000075</c:v>
                </c:pt>
                <c:pt idx="634">
                  <c:v>27.400000000000077</c:v>
                </c:pt>
                <c:pt idx="635">
                  <c:v>27.500000000000078</c:v>
                </c:pt>
                <c:pt idx="636">
                  <c:v>27.60000000000008</c:v>
                </c:pt>
                <c:pt idx="637">
                  <c:v>27.700000000000081</c:v>
                </c:pt>
                <c:pt idx="638">
                  <c:v>27.800000000000082</c:v>
                </c:pt>
                <c:pt idx="639">
                  <c:v>27.900000000000084</c:v>
                </c:pt>
                <c:pt idx="640">
                  <c:v>28.000000000000085</c:v>
                </c:pt>
                <c:pt idx="641">
                  <c:v>28.100000000000087</c:v>
                </c:pt>
                <c:pt idx="642">
                  <c:v>28.200000000000088</c:v>
                </c:pt>
                <c:pt idx="643">
                  <c:v>28.30000000000009</c:v>
                </c:pt>
                <c:pt idx="644">
                  <c:v>28.400000000000091</c:v>
                </c:pt>
                <c:pt idx="645">
                  <c:v>28.500000000000092</c:v>
                </c:pt>
                <c:pt idx="646">
                  <c:v>28.600000000000094</c:v>
                </c:pt>
                <c:pt idx="647">
                  <c:v>28.700000000000095</c:v>
                </c:pt>
                <c:pt idx="648">
                  <c:v>28.800000000000097</c:v>
                </c:pt>
                <c:pt idx="649">
                  <c:v>28.900000000000098</c:v>
                </c:pt>
                <c:pt idx="650">
                  <c:v>29.000000000000099</c:v>
                </c:pt>
                <c:pt idx="651">
                  <c:v>29.100000000000101</c:v>
                </c:pt>
                <c:pt idx="652">
                  <c:v>29.200000000000102</c:v>
                </c:pt>
                <c:pt idx="653">
                  <c:v>29.300000000000104</c:v>
                </c:pt>
                <c:pt idx="654">
                  <c:v>29.400000000000105</c:v>
                </c:pt>
                <c:pt idx="655">
                  <c:v>29.500000000000107</c:v>
                </c:pt>
                <c:pt idx="656">
                  <c:v>29.600000000000108</c:v>
                </c:pt>
                <c:pt idx="657">
                  <c:v>29.700000000000109</c:v>
                </c:pt>
                <c:pt idx="658">
                  <c:v>29.800000000000111</c:v>
                </c:pt>
                <c:pt idx="659">
                  <c:v>29.900000000000112</c:v>
                </c:pt>
                <c:pt idx="660">
                  <c:v>30.000000000000114</c:v>
                </c:pt>
                <c:pt idx="661">
                  <c:v>30.100000000000115</c:v>
                </c:pt>
                <c:pt idx="662">
                  <c:v>30.200000000000117</c:v>
                </c:pt>
                <c:pt idx="663">
                  <c:v>30.300000000000118</c:v>
                </c:pt>
                <c:pt idx="664">
                  <c:v>30.400000000000119</c:v>
                </c:pt>
                <c:pt idx="665">
                  <c:v>30.500000000000121</c:v>
                </c:pt>
                <c:pt idx="666">
                  <c:v>30.600000000000122</c:v>
                </c:pt>
                <c:pt idx="667">
                  <c:v>30.700000000000124</c:v>
                </c:pt>
                <c:pt idx="668">
                  <c:v>30.800000000000125</c:v>
                </c:pt>
                <c:pt idx="669">
                  <c:v>30.900000000000126</c:v>
                </c:pt>
                <c:pt idx="670">
                  <c:v>31.000000000000128</c:v>
                </c:pt>
                <c:pt idx="671">
                  <c:v>31.100000000000129</c:v>
                </c:pt>
                <c:pt idx="672">
                  <c:v>31.200000000000131</c:v>
                </c:pt>
                <c:pt idx="673">
                  <c:v>31.300000000000132</c:v>
                </c:pt>
                <c:pt idx="674">
                  <c:v>31.400000000000134</c:v>
                </c:pt>
                <c:pt idx="675">
                  <c:v>31.500000000000135</c:v>
                </c:pt>
                <c:pt idx="676">
                  <c:v>31.600000000000136</c:v>
                </c:pt>
                <c:pt idx="677">
                  <c:v>31.700000000000138</c:v>
                </c:pt>
                <c:pt idx="678">
                  <c:v>31.800000000000139</c:v>
                </c:pt>
                <c:pt idx="679">
                  <c:v>31.900000000000141</c:v>
                </c:pt>
                <c:pt idx="680">
                  <c:v>32.000000000000142</c:v>
                </c:pt>
                <c:pt idx="681">
                  <c:v>32.100000000000144</c:v>
                </c:pt>
                <c:pt idx="682">
                  <c:v>32.200000000000145</c:v>
                </c:pt>
                <c:pt idx="683">
                  <c:v>32.300000000000146</c:v>
                </c:pt>
                <c:pt idx="684">
                  <c:v>32.400000000000148</c:v>
                </c:pt>
                <c:pt idx="685">
                  <c:v>32.500000000000149</c:v>
                </c:pt>
                <c:pt idx="686">
                  <c:v>32.600000000000151</c:v>
                </c:pt>
                <c:pt idx="687">
                  <c:v>32.700000000000152</c:v>
                </c:pt>
                <c:pt idx="688">
                  <c:v>32.800000000000153</c:v>
                </c:pt>
                <c:pt idx="689">
                  <c:v>32.900000000000155</c:v>
                </c:pt>
                <c:pt idx="690">
                  <c:v>33.000000000000156</c:v>
                </c:pt>
                <c:pt idx="691">
                  <c:v>33.100000000000158</c:v>
                </c:pt>
                <c:pt idx="692">
                  <c:v>33.200000000000159</c:v>
                </c:pt>
                <c:pt idx="693">
                  <c:v>33.300000000000161</c:v>
                </c:pt>
                <c:pt idx="694">
                  <c:v>33.400000000000162</c:v>
                </c:pt>
                <c:pt idx="695">
                  <c:v>33.500000000000163</c:v>
                </c:pt>
                <c:pt idx="696">
                  <c:v>33.600000000000165</c:v>
                </c:pt>
                <c:pt idx="697">
                  <c:v>33.700000000000166</c:v>
                </c:pt>
                <c:pt idx="698">
                  <c:v>33.800000000000168</c:v>
                </c:pt>
                <c:pt idx="699">
                  <c:v>33.900000000000169</c:v>
                </c:pt>
                <c:pt idx="700">
                  <c:v>34.000000000000171</c:v>
                </c:pt>
                <c:pt idx="701">
                  <c:v>34.100000000000172</c:v>
                </c:pt>
                <c:pt idx="702">
                  <c:v>34.200000000000173</c:v>
                </c:pt>
                <c:pt idx="703">
                  <c:v>34.300000000000175</c:v>
                </c:pt>
                <c:pt idx="704">
                  <c:v>34.400000000000176</c:v>
                </c:pt>
                <c:pt idx="705">
                  <c:v>34.500000000000178</c:v>
                </c:pt>
                <c:pt idx="706">
                  <c:v>34.600000000000179</c:v>
                </c:pt>
                <c:pt idx="707">
                  <c:v>34.70000000000018</c:v>
                </c:pt>
                <c:pt idx="708">
                  <c:v>34.800000000000182</c:v>
                </c:pt>
                <c:pt idx="709">
                  <c:v>34.900000000000183</c:v>
                </c:pt>
                <c:pt idx="710">
                  <c:v>35.000000000000185</c:v>
                </c:pt>
                <c:pt idx="711">
                  <c:v>35.100000000000186</c:v>
                </c:pt>
                <c:pt idx="712">
                  <c:v>35.200000000000188</c:v>
                </c:pt>
                <c:pt idx="713">
                  <c:v>35.300000000000189</c:v>
                </c:pt>
                <c:pt idx="714">
                  <c:v>35.300100000000192</c:v>
                </c:pt>
                <c:pt idx="715">
                  <c:v>35.300200000000196</c:v>
                </c:pt>
                <c:pt idx="716">
                  <c:v>35.300300000000199</c:v>
                </c:pt>
                <c:pt idx="717">
                  <c:v>35.300400000000202</c:v>
                </c:pt>
                <c:pt idx="718">
                  <c:v>35.300500000000206</c:v>
                </c:pt>
                <c:pt idx="719">
                  <c:v>35.300600000000209</c:v>
                </c:pt>
                <c:pt idx="720">
                  <c:v>35.300700000000212</c:v>
                </c:pt>
                <c:pt idx="721">
                  <c:v>35.300800000000216</c:v>
                </c:pt>
                <c:pt idx="722">
                  <c:v>35.300900000000219</c:v>
                </c:pt>
                <c:pt idx="723">
                  <c:v>35.301000000000222</c:v>
                </c:pt>
                <c:pt idx="724">
                  <c:v>35.301100000000226</c:v>
                </c:pt>
                <c:pt idx="725">
                  <c:v>35.301200000000229</c:v>
                </c:pt>
                <c:pt idx="726">
                  <c:v>35.301300000000232</c:v>
                </c:pt>
                <c:pt idx="727">
                  <c:v>35.301400000000235</c:v>
                </c:pt>
                <c:pt idx="728">
                  <c:v>35.301500000000239</c:v>
                </c:pt>
                <c:pt idx="729">
                  <c:v>35.301600000000242</c:v>
                </c:pt>
                <c:pt idx="730">
                  <c:v>35.301700000000245</c:v>
                </c:pt>
                <c:pt idx="731">
                  <c:v>35.301800000000249</c:v>
                </c:pt>
                <c:pt idx="732">
                  <c:v>35.301900000000252</c:v>
                </c:pt>
                <c:pt idx="733">
                  <c:v>35.302000000000255</c:v>
                </c:pt>
                <c:pt idx="734">
                  <c:v>35.302100000000259</c:v>
                </c:pt>
                <c:pt idx="735">
                  <c:v>35.302200000000262</c:v>
                </c:pt>
                <c:pt idx="736">
                  <c:v>35.302300000000265</c:v>
                </c:pt>
                <c:pt idx="737">
                  <c:v>35.302400000000269</c:v>
                </c:pt>
                <c:pt idx="738">
                  <c:v>35.302500000000272</c:v>
                </c:pt>
                <c:pt idx="739">
                  <c:v>35.302600000000275</c:v>
                </c:pt>
                <c:pt idx="740">
                  <c:v>35.302700000000279</c:v>
                </c:pt>
                <c:pt idx="741">
                  <c:v>35.302800000000282</c:v>
                </c:pt>
                <c:pt idx="742">
                  <c:v>35.302900000000285</c:v>
                </c:pt>
                <c:pt idx="743">
                  <c:v>35.303000000000289</c:v>
                </c:pt>
                <c:pt idx="744">
                  <c:v>35.303100000000292</c:v>
                </c:pt>
                <c:pt idx="745">
                  <c:v>35.303200000000295</c:v>
                </c:pt>
                <c:pt idx="746">
                  <c:v>35.303300000000299</c:v>
                </c:pt>
                <c:pt idx="747">
                  <c:v>35.303400000000302</c:v>
                </c:pt>
                <c:pt idx="748">
                  <c:v>35.303500000000305</c:v>
                </c:pt>
                <c:pt idx="749">
                  <c:v>35.303600000000309</c:v>
                </c:pt>
                <c:pt idx="750">
                  <c:v>35.303700000000312</c:v>
                </c:pt>
                <c:pt idx="751">
                  <c:v>35.303800000000315</c:v>
                </c:pt>
                <c:pt idx="752">
                  <c:v>35.303900000000318</c:v>
                </c:pt>
                <c:pt idx="753">
                  <c:v>35.304000000000322</c:v>
                </c:pt>
                <c:pt idx="754">
                  <c:v>35.304100000000325</c:v>
                </c:pt>
                <c:pt idx="755">
                  <c:v>35.304200000000328</c:v>
                </c:pt>
                <c:pt idx="756">
                  <c:v>35.304300000000332</c:v>
                </c:pt>
                <c:pt idx="757">
                  <c:v>35.304400000000335</c:v>
                </c:pt>
                <c:pt idx="758">
                  <c:v>35.304500000000338</c:v>
                </c:pt>
                <c:pt idx="759">
                  <c:v>35.304600000000342</c:v>
                </c:pt>
                <c:pt idx="760">
                  <c:v>35.304700000000345</c:v>
                </c:pt>
                <c:pt idx="761">
                  <c:v>35.304800000000348</c:v>
                </c:pt>
                <c:pt idx="762">
                  <c:v>35.304900000000352</c:v>
                </c:pt>
                <c:pt idx="763">
                  <c:v>35.305000000000355</c:v>
                </c:pt>
                <c:pt idx="764">
                  <c:v>35.305100000000358</c:v>
                </c:pt>
                <c:pt idx="765">
                  <c:v>35.305200000000362</c:v>
                </c:pt>
                <c:pt idx="766">
                  <c:v>35.305300000000365</c:v>
                </c:pt>
                <c:pt idx="767">
                  <c:v>35.305400000000368</c:v>
                </c:pt>
                <c:pt idx="768">
                  <c:v>35.305500000000372</c:v>
                </c:pt>
                <c:pt idx="769">
                  <c:v>35.305600000000375</c:v>
                </c:pt>
                <c:pt idx="770">
                  <c:v>35.305700000000378</c:v>
                </c:pt>
                <c:pt idx="771">
                  <c:v>35.305800000000382</c:v>
                </c:pt>
                <c:pt idx="772">
                  <c:v>35.305900000000385</c:v>
                </c:pt>
                <c:pt idx="773">
                  <c:v>35.306000000000388</c:v>
                </c:pt>
                <c:pt idx="774">
                  <c:v>35.306100000000392</c:v>
                </c:pt>
                <c:pt idx="775">
                  <c:v>35.306200000000395</c:v>
                </c:pt>
                <c:pt idx="776">
                  <c:v>35.306300000000398</c:v>
                </c:pt>
                <c:pt idx="777">
                  <c:v>35.306400000000401</c:v>
                </c:pt>
                <c:pt idx="778">
                  <c:v>35.306500000000405</c:v>
                </c:pt>
                <c:pt idx="779">
                  <c:v>35.306600000000408</c:v>
                </c:pt>
                <c:pt idx="780">
                  <c:v>35.306700000000411</c:v>
                </c:pt>
                <c:pt idx="781">
                  <c:v>35.306800000000415</c:v>
                </c:pt>
                <c:pt idx="782">
                  <c:v>35.306900000000418</c:v>
                </c:pt>
                <c:pt idx="783">
                  <c:v>35.307000000000421</c:v>
                </c:pt>
                <c:pt idx="784">
                  <c:v>35.307100000000425</c:v>
                </c:pt>
                <c:pt idx="785">
                  <c:v>35.307200000000428</c:v>
                </c:pt>
                <c:pt idx="786">
                  <c:v>35.307300000000431</c:v>
                </c:pt>
                <c:pt idx="787">
                  <c:v>35.307400000000435</c:v>
                </c:pt>
                <c:pt idx="788">
                  <c:v>35.307500000000438</c:v>
                </c:pt>
                <c:pt idx="789">
                  <c:v>35.307600000000441</c:v>
                </c:pt>
                <c:pt idx="790">
                  <c:v>35.307700000000445</c:v>
                </c:pt>
                <c:pt idx="791">
                  <c:v>35.307800000000448</c:v>
                </c:pt>
                <c:pt idx="792">
                  <c:v>35.307900000000451</c:v>
                </c:pt>
                <c:pt idx="793">
                  <c:v>35.308000000000455</c:v>
                </c:pt>
                <c:pt idx="794">
                  <c:v>35.308100000000458</c:v>
                </c:pt>
                <c:pt idx="795">
                  <c:v>35.308200000000461</c:v>
                </c:pt>
                <c:pt idx="796">
                  <c:v>35.308300000000465</c:v>
                </c:pt>
                <c:pt idx="797">
                  <c:v>35.308400000000468</c:v>
                </c:pt>
                <c:pt idx="798">
                  <c:v>35.308500000000471</c:v>
                </c:pt>
                <c:pt idx="799">
                  <c:v>35.308600000000474</c:v>
                </c:pt>
                <c:pt idx="800">
                  <c:v>35.308700000000478</c:v>
                </c:pt>
                <c:pt idx="801">
                  <c:v>35.308800000000481</c:v>
                </c:pt>
                <c:pt idx="802">
                  <c:v>35.308900000000484</c:v>
                </c:pt>
                <c:pt idx="803">
                  <c:v>35.309000000000488</c:v>
                </c:pt>
                <c:pt idx="804">
                  <c:v>35.309100000000491</c:v>
                </c:pt>
                <c:pt idx="805">
                  <c:v>35.309200000000494</c:v>
                </c:pt>
                <c:pt idx="806">
                  <c:v>35.309300000000498</c:v>
                </c:pt>
                <c:pt idx="807">
                  <c:v>35.309400000000501</c:v>
                </c:pt>
                <c:pt idx="808">
                  <c:v>35.309500000000504</c:v>
                </c:pt>
                <c:pt idx="809">
                  <c:v>35.309600000000508</c:v>
                </c:pt>
                <c:pt idx="810">
                  <c:v>35.309700000000511</c:v>
                </c:pt>
                <c:pt idx="811">
                  <c:v>35.309800000000514</c:v>
                </c:pt>
                <c:pt idx="812">
                  <c:v>35.309900000000518</c:v>
                </c:pt>
                <c:pt idx="813">
                  <c:v>35.310000000000521</c:v>
                </c:pt>
                <c:pt idx="814">
                  <c:v>35.310100000000524</c:v>
                </c:pt>
                <c:pt idx="815">
                  <c:v>35.310200000000528</c:v>
                </c:pt>
                <c:pt idx="816">
                  <c:v>35.310300000000531</c:v>
                </c:pt>
                <c:pt idx="817">
                  <c:v>35.310400000000534</c:v>
                </c:pt>
                <c:pt idx="818">
                  <c:v>35.310500000000538</c:v>
                </c:pt>
                <c:pt idx="819">
                  <c:v>35.310600000000541</c:v>
                </c:pt>
                <c:pt idx="820">
                  <c:v>35.310700000000544</c:v>
                </c:pt>
                <c:pt idx="821">
                  <c:v>35.310800000000548</c:v>
                </c:pt>
                <c:pt idx="822">
                  <c:v>35.310900000000551</c:v>
                </c:pt>
                <c:pt idx="823">
                  <c:v>35.311000000000554</c:v>
                </c:pt>
                <c:pt idx="824">
                  <c:v>35.311100000000557</c:v>
                </c:pt>
                <c:pt idx="825">
                  <c:v>35.311200000000561</c:v>
                </c:pt>
                <c:pt idx="826">
                  <c:v>35.311300000000564</c:v>
                </c:pt>
                <c:pt idx="827">
                  <c:v>35.311400000000567</c:v>
                </c:pt>
                <c:pt idx="828">
                  <c:v>35.311500000000571</c:v>
                </c:pt>
                <c:pt idx="829">
                  <c:v>35.311600000000574</c:v>
                </c:pt>
                <c:pt idx="830">
                  <c:v>35.311700000000577</c:v>
                </c:pt>
                <c:pt idx="831">
                  <c:v>35.311800000000581</c:v>
                </c:pt>
                <c:pt idx="832">
                  <c:v>35.311900000000584</c:v>
                </c:pt>
                <c:pt idx="833">
                  <c:v>35.312000000000587</c:v>
                </c:pt>
                <c:pt idx="834">
                  <c:v>35.312100000000591</c:v>
                </c:pt>
                <c:pt idx="835">
                  <c:v>35.312200000000594</c:v>
                </c:pt>
                <c:pt idx="836">
                  <c:v>35.312300000000597</c:v>
                </c:pt>
                <c:pt idx="837">
                  <c:v>35.312400000000601</c:v>
                </c:pt>
                <c:pt idx="838">
                  <c:v>35.312500000000604</c:v>
                </c:pt>
                <c:pt idx="839">
                  <c:v>35.312600000000607</c:v>
                </c:pt>
                <c:pt idx="840">
                  <c:v>35.312700000000611</c:v>
                </c:pt>
                <c:pt idx="841">
                  <c:v>35.312800000000614</c:v>
                </c:pt>
                <c:pt idx="842">
                  <c:v>35.312900000000617</c:v>
                </c:pt>
                <c:pt idx="843">
                  <c:v>35.313000000000621</c:v>
                </c:pt>
                <c:pt idx="844">
                  <c:v>35.313100000000624</c:v>
                </c:pt>
                <c:pt idx="845">
                  <c:v>35.313200000000627</c:v>
                </c:pt>
                <c:pt idx="846">
                  <c:v>35.313300000000631</c:v>
                </c:pt>
                <c:pt idx="847">
                  <c:v>35.313400000000634</c:v>
                </c:pt>
                <c:pt idx="848">
                  <c:v>35.313500000000637</c:v>
                </c:pt>
                <c:pt idx="849">
                  <c:v>35.31360000000064</c:v>
                </c:pt>
                <c:pt idx="850">
                  <c:v>35.313700000000644</c:v>
                </c:pt>
                <c:pt idx="851">
                  <c:v>35.313800000000647</c:v>
                </c:pt>
                <c:pt idx="852">
                  <c:v>35.31390000000065</c:v>
                </c:pt>
                <c:pt idx="853">
                  <c:v>35.314000000000654</c:v>
                </c:pt>
                <c:pt idx="854">
                  <c:v>35.314100000000657</c:v>
                </c:pt>
                <c:pt idx="855">
                  <c:v>35.31420000000066</c:v>
                </c:pt>
                <c:pt idx="856">
                  <c:v>35.314300000000664</c:v>
                </c:pt>
                <c:pt idx="857">
                  <c:v>35.314400000000667</c:v>
                </c:pt>
                <c:pt idx="858">
                  <c:v>35.31450000000067</c:v>
                </c:pt>
                <c:pt idx="859">
                  <c:v>35.314600000000674</c:v>
                </c:pt>
                <c:pt idx="860">
                  <c:v>35.314700000000677</c:v>
                </c:pt>
                <c:pt idx="861">
                  <c:v>35.31480000000068</c:v>
                </c:pt>
                <c:pt idx="862">
                  <c:v>35.314900000000684</c:v>
                </c:pt>
                <c:pt idx="863">
                  <c:v>35.315000000000687</c:v>
                </c:pt>
                <c:pt idx="864">
                  <c:v>35.31510000000069</c:v>
                </c:pt>
                <c:pt idx="865">
                  <c:v>35.315200000000694</c:v>
                </c:pt>
                <c:pt idx="866">
                  <c:v>35.315300000000697</c:v>
                </c:pt>
                <c:pt idx="867">
                  <c:v>35.3154000000007</c:v>
                </c:pt>
                <c:pt idx="868">
                  <c:v>35.315500000000704</c:v>
                </c:pt>
                <c:pt idx="869">
                  <c:v>35.315600000000707</c:v>
                </c:pt>
                <c:pt idx="870">
                  <c:v>35.31570000000071</c:v>
                </c:pt>
                <c:pt idx="871">
                  <c:v>35.315800000000714</c:v>
                </c:pt>
                <c:pt idx="872">
                  <c:v>35.315900000000717</c:v>
                </c:pt>
                <c:pt idx="873">
                  <c:v>35.31600000000072</c:v>
                </c:pt>
                <c:pt idx="874">
                  <c:v>35.316100000000723</c:v>
                </c:pt>
                <c:pt idx="875">
                  <c:v>35.316200000000727</c:v>
                </c:pt>
                <c:pt idx="876">
                  <c:v>35.31630000000073</c:v>
                </c:pt>
                <c:pt idx="877">
                  <c:v>35.316400000000733</c:v>
                </c:pt>
                <c:pt idx="878">
                  <c:v>35.316500000000737</c:v>
                </c:pt>
                <c:pt idx="879">
                  <c:v>35.31660000000074</c:v>
                </c:pt>
                <c:pt idx="880">
                  <c:v>35.316700000000743</c:v>
                </c:pt>
                <c:pt idx="881">
                  <c:v>35.316800000000747</c:v>
                </c:pt>
                <c:pt idx="882">
                  <c:v>35.31690000000075</c:v>
                </c:pt>
                <c:pt idx="883">
                  <c:v>35.317000000000753</c:v>
                </c:pt>
                <c:pt idx="884">
                  <c:v>35.317100000000757</c:v>
                </c:pt>
                <c:pt idx="885">
                  <c:v>35.31720000000076</c:v>
                </c:pt>
                <c:pt idx="886">
                  <c:v>35.317300000000763</c:v>
                </c:pt>
                <c:pt idx="887">
                  <c:v>35.317400000000767</c:v>
                </c:pt>
                <c:pt idx="888">
                  <c:v>35.31750000000077</c:v>
                </c:pt>
                <c:pt idx="889">
                  <c:v>35.317600000000773</c:v>
                </c:pt>
                <c:pt idx="890">
                  <c:v>35.317700000000777</c:v>
                </c:pt>
                <c:pt idx="891">
                  <c:v>35.31780000000078</c:v>
                </c:pt>
                <c:pt idx="892">
                  <c:v>35.317900000000783</c:v>
                </c:pt>
                <c:pt idx="893">
                  <c:v>35.318000000000787</c:v>
                </c:pt>
                <c:pt idx="894">
                  <c:v>35.31810000000079</c:v>
                </c:pt>
                <c:pt idx="895">
                  <c:v>35.318200000000793</c:v>
                </c:pt>
                <c:pt idx="896">
                  <c:v>35.318300000000797</c:v>
                </c:pt>
                <c:pt idx="897">
                  <c:v>35.3184000000008</c:v>
                </c:pt>
                <c:pt idx="898">
                  <c:v>35.318500000000803</c:v>
                </c:pt>
                <c:pt idx="899">
                  <c:v>35.318600000000806</c:v>
                </c:pt>
                <c:pt idx="900">
                  <c:v>35.31870000000081</c:v>
                </c:pt>
                <c:pt idx="901">
                  <c:v>35.318800000000813</c:v>
                </c:pt>
                <c:pt idx="902">
                  <c:v>35.318900000000816</c:v>
                </c:pt>
                <c:pt idx="903">
                  <c:v>35.31900000000082</c:v>
                </c:pt>
                <c:pt idx="904">
                  <c:v>35.319100000000823</c:v>
                </c:pt>
                <c:pt idx="905">
                  <c:v>35.319200000000826</c:v>
                </c:pt>
                <c:pt idx="906">
                  <c:v>35.31930000000083</c:v>
                </c:pt>
                <c:pt idx="907">
                  <c:v>35.319400000000833</c:v>
                </c:pt>
                <c:pt idx="908">
                  <c:v>35.319500000000836</c:v>
                </c:pt>
                <c:pt idx="909">
                  <c:v>35.31960000000084</c:v>
                </c:pt>
                <c:pt idx="910">
                  <c:v>35.319700000000843</c:v>
                </c:pt>
                <c:pt idx="911">
                  <c:v>35.319800000000846</c:v>
                </c:pt>
                <c:pt idx="912">
                  <c:v>35.31990000000085</c:v>
                </c:pt>
                <c:pt idx="913">
                  <c:v>35.320000000000853</c:v>
                </c:pt>
                <c:pt idx="914">
                  <c:v>35.320100000000856</c:v>
                </c:pt>
                <c:pt idx="915">
                  <c:v>35.32020000000086</c:v>
                </c:pt>
                <c:pt idx="916">
                  <c:v>35.320300000000863</c:v>
                </c:pt>
                <c:pt idx="917">
                  <c:v>35.320400000000866</c:v>
                </c:pt>
                <c:pt idx="918">
                  <c:v>35.32050000000087</c:v>
                </c:pt>
                <c:pt idx="919">
                  <c:v>35.320600000000873</c:v>
                </c:pt>
                <c:pt idx="920">
                  <c:v>35.320700000000876</c:v>
                </c:pt>
                <c:pt idx="921">
                  <c:v>35.320800000000879</c:v>
                </c:pt>
                <c:pt idx="922">
                  <c:v>35.320900000000883</c:v>
                </c:pt>
                <c:pt idx="923">
                  <c:v>35.321000000000886</c:v>
                </c:pt>
                <c:pt idx="924">
                  <c:v>35.321100000000889</c:v>
                </c:pt>
                <c:pt idx="925">
                  <c:v>35.321200000000893</c:v>
                </c:pt>
                <c:pt idx="926">
                  <c:v>35.321300000000896</c:v>
                </c:pt>
                <c:pt idx="927">
                  <c:v>35.321400000000899</c:v>
                </c:pt>
                <c:pt idx="928">
                  <c:v>35.321500000000903</c:v>
                </c:pt>
                <c:pt idx="929">
                  <c:v>35.321600000000906</c:v>
                </c:pt>
                <c:pt idx="930">
                  <c:v>35.321700000000909</c:v>
                </c:pt>
                <c:pt idx="931">
                  <c:v>35.321800000000913</c:v>
                </c:pt>
                <c:pt idx="932">
                  <c:v>35.321900000000916</c:v>
                </c:pt>
                <c:pt idx="933">
                  <c:v>35.322000000000919</c:v>
                </c:pt>
                <c:pt idx="934">
                  <c:v>35.322100000000923</c:v>
                </c:pt>
                <c:pt idx="935">
                  <c:v>35.322200000000926</c:v>
                </c:pt>
                <c:pt idx="936">
                  <c:v>35.322300000000929</c:v>
                </c:pt>
                <c:pt idx="937">
                  <c:v>35.322400000000933</c:v>
                </c:pt>
                <c:pt idx="938">
                  <c:v>35.322500000000936</c:v>
                </c:pt>
                <c:pt idx="939">
                  <c:v>35.322600000000939</c:v>
                </c:pt>
                <c:pt idx="940">
                  <c:v>35.322700000000943</c:v>
                </c:pt>
                <c:pt idx="941">
                  <c:v>35.322800000000946</c:v>
                </c:pt>
                <c:pt idx="942">
                  <c:v>35.322900000000949</c:v>
                </c:pt>
                <c:pt idx="943">
                  <c:v>35.323000000000953</c:v>
                </c:pt>
                <c:pt idx="944">
                  <c:v>35.323100000000956</c:v>
                </c:pt>
                <c:pt idx="945">
                  <c:v>35.323200000000959</c:v>
                </c:pt>
                <c:pt idx="946">
                  <c:v>35.323300000000962</c:v>
                </c:pt>
                <c:pt idx="947">
                  <c:v>35.323400000000966</c:v>
                </c:pt>
                <c:pt idx="948">
                  <c:v>35.323500000000969</c:v>
                </c:pt>
                <c:pt idx="949">
                  <c:v>35.323600000000972</c:v>
                </c:pt>
                <c:pt idx="950">
                  <c:v>35.323700000000976</c:v>
                </c:pt>
                <c:pt idx="951">
                  <c:v>35.323800000000979</c:v>
                </c:pt>
                <c:pt idx="952">
                  <c:v>35.323900000000982</c:v>
                </c:pt>
                <c:pt idx="953">
                  <c:v>35.324000000000986</c:v>
                </c:pt>
                <c:pt idx="954">
                  <c:v>35.324100000000989</c:v>
                </c:pt>
                <c:pt idx="955">
                  <c:v>35.324200000000992</c:v>
                </c:pt>
                <c:pt idx="956">
                  <c:v>35.324300000000996</c:v>
                </c:pt>
                <c:pt idx="957">
                  <c:v>35.324400000000999</c:v>
                </c:pt>
                <c:pt idx="958">
                  <c:v>35.324500000001002</c:v>
                </c:pt>
                <c:pt idx="959">
                  <c:v>35.324600000001006</c:v>
                </c:pt>
                <c:pt idx="960">
                  <c:v>35.324700000001009</c:v>
                </c:pt>
                <c:pt idx="961">
                  <c:v>35.324800000001012</c:v>
                </c:pt>
                <c:pt idx="962">
                  <c:v>35.324900000001016</c:v>
                </c:pt>
                <c:pt idx="963">
                  <c:v>35.325000000001019</c:v>
                </c:pt>
                <c:pt idx="964">
                  <c:v>35.325100000001022</c:v>
                </c:pt>
                <c:pt idx="965">
                  <c:v>35.325200000001026</c:v>
                </c:pt>
                <c:pt idx="966">
                  <c:v>35.325300000001029</c:v>
                </c:pt>
                <c:pt idx="967">
                  <c:v>35.325400000001032</c:v>
                </c:pt>
                <c:pt idx="968">
                  <c:v>35.325500000001036</c:v>
                </c:pt>
                <c:pt idx="969">
                  <c:v>35.325600000001039</c:v>
                </c:pt>
                <c:pt idx="970">
                  <c:v>35.325700000001042</c:v>
                </c:pt>
                <c:pt idx="971">
                  <c:v>35.325800000001045</c:v>
                </c:pt>
                <c:pt idx="972">
                  <c:v>35.325900000001049</c:v>
                </c:pt>
                <c:pt idx="973">
                  <c:v>35.326000000001052</c:v>
                </c:pt>
                <c:pt idx="974">
                  <c:v>35.326100000001055</c:v>
                </c:pt>
                <c:pt idx="975">
                  <c:v>35.326200000001059</c:v>
                </c:pt>
                <c:pt idx="976">
                  <c:v>35.326300000001062</c:v>
                </c:pt>
                <c:pt idx="977">
                  <c:v>35.326400000001065</c:v>
                </c:pt>
                <c:pt idx="978">
                  <c:v>35.326500000001069</c:v>
                </c:pt>
                <c:pt idx="979">
                  <c:v>35.326600000001072</c:v>
                </c:pt>
                <c:pt idx="980">
                  <c:v>35.326700000001075</c:v>
                </c:pt>
                <c:pt idx="981">
                  <c:v>35.326800000001079</c:v>
                </c:pt>
                <c:pt idx="982">
                  <c:v>35.326900000001082</c:v>
                </c:pt>
                <c:pt idx="983">
                  <c:v>35.327000000001085</c:v>
                </c:pt>
                <c:pt idx="984">
                  <c:v>35.327100000001089</c:v>
                </c:pt>
                <c:pt idx="985">
                  <c:v>35.327200000001092</c:v>
                </c:pt>
                <c:pt idx="986">
                  <c:v>35.327300000001095</c:v>
                </c:pt>
                <c:pt idx="987">
                  <c:v>35.327400000001099</c:v>
                </c:pt>
                <c:pt idx="988">
                  <c:v>35.327500000001102</c:v>
                </c:pt>
                <c:pt idx="989">
                  <c:v>35.327600000001105</c:v>
                </c:pt>
                <c:pt idx="990">
                  <c:v>35.327700000001109</c:v>
                </c:pt>
                <c:pt idx="991">
                  <c:v>35.327800000001112</c:v>
                </c:pt>
                <c:pt idx="992">
                  <c:v>35.327900000001115</c:v>
                </c:pt>
                <c:pt idx="993">
                  <c:v>35.328000000001119</c:v>
                </c:pt>
                <c:pt idx="994">
                  <c:v>35.328100000001122</c:v>
                </c:pt>
                <c:pt idx="995">
                  <c:v>35.328200000001125</c:v>
                </c:pt>
                <c:pt idx="996">
                  <c:v>35.328300000001128</c:v>
                </c:pt>
                <c:pt idx="997">
                  <c:v>35.328400000001132</c:v>
                </c:pt>
                <c:pt idx="998">
                  <c:v>35.328500000001135</c:v>
                </c:pt>
                <c:pt idx="999">
                  <c:v>35.328600000001138</c:v>
                </c:pt>
                <c:pt idx="1000">
                  <c:v>35.328700000001142</c:v>
                </c:pt>
              </c:numCache>
            </c:numRef>
          </c:xVal>
          <c:yVal>
            <c:numRef>
              <c:f>Calculs!$K$4:$K$1004</c:f>
              <c:numCache>
                <c:formatCode>0.00</c:formatCode>
                <c:ptCount val="1001"/>
                <c:pt idx="0">
                  <c:v>0</c:v>
                </c:pt>
                <c:pt idx="1">
                  <c:v>0</c:v>
                </c:pt>
                <c:pt idx="2">
                  <c:v>9.256745468933812E-4</c:v>
                </c:pt>
                <c:pt idx="3">
                  <c:v>4.6375098159864465E-3</c:v>
                </c:pt>
                <c:pt idx="4">
                  <c:v>1.3005881763920295E-2</c:v>
                </c:pt>
                <c:pt idx="5">
                  <c:v>2.7902932677719018E-2</c:v>
                </c:pt>
                <c:pt idx="6">
                  <c:v>5.0729494037892092E-2</c:v>
                </c:pt>
                <c:pt idx="7">
                  <c:v>8.1940908218334885E-2</c:v>
                </c:pt>
                <c:pt idx="8">
                  <c:v>0.12151931462913008</c:v>
                </c:pt>
                <c:pt idx="9">
                  <c:v>0.16944677622685986</c:v>
                </c:pt>
                <c:pt idx="10">
                  <c:v>0.22570527978592239</c:v>
                </c:pt>
                <c:pt idx="11">
                  <c:v>0.29027673617222649</c:v>
                </c:pt>
                <c:pt idx="12">
                  <c:v>0.36314298061924566</c:v>
                </c:pt>
                <c:pt idx="13">
                  <c:v>0.44428577300641242</c:v>
                </c:pt>
                <c:pt idx="14">
                  <c:v>0.53368679813983388</c:v>
                </c:pt>
                <c:pt idx="15">
                  <c:v>0.63132766603530943</c:v>
                </c:pt>
                <c:pt idx="16">
                  <c:v>0.7371899122036305</c:v>
                </c:pt>
                <c:pt idx="17">
                  <c:v>0.85125499793814385</c:v>
                </c:pt>
                <c:pt idx="18">
                  <c:v>0.973504310604557</c:v>
                </c:pt>
                <c:pt idx="19">
                  <c:v>1.1039191639329675</c:v>
                </c:pt>
                <c:pt idx="20">
                  <c:v>1.2424807983120951</c:v>
                </c:pt>
                <c:pt idx="21">
                  <c:v>1.3891703810856959</c:v>
                </c:pt>
                <c:pt idx="22">
                  <c:v>1.5439690068511398</c:v>
                </c:pt>
                <c:pt idx="23">
                  <c:v>1.7068576977601289</c:v>
                </c:pt>
                <c:pt idx="24">
                  <c:v>1.8778174038215372</c:v>
                </c:pt>
                <c:pt idx="25">
                  <c:v>2.0568290032063508</c:v>
                </c:pt>
                <c:pt idx="26">
                  <c:v>2.2438733025546869</c:v>
                </c:pt>
                <c:pt idx="27">
                  <c:v>2.4389310372848709</c:v>
                </c:pt>
                <c:pt idx="28">
                  <c:v>2.6419828719045495</c:v>
                </c:pt>
                <c:pt idx="29">
                  <c:v>2.8530094003238204</c:v>
                </c:pt>
                <c:pt idx="30">
                  <c:v>3.0719911461703555</c:v>
                </c:pt>
                <c:pt idx="31">
                  <c:v>3.2989085631064961</c:v>
                </c:pt>
                <c:pt idx="32">
                  <c:v>3.5337420351482973</c:v>
                </c:pt>
                <c:pt idx="33">
                  <c:v>3.7764718769865033</c:v>
                </c:pt>
                <c:pt idx="34">
                  <c:v>4.0270783343094267</c:v>
                </c:pt>
                <c:pt idx="35">
                  <c:v>4.2855267870942164</c:v>
                </c:pt>
                <c:pt idx="36">
                  <c:v>4.5517820584966753</c:v>
                </c:pt>
                <c:pt idx="37">
                  <c:v>4.8258232181161596</c:v>
                </c:pt>
                <c:pt idx="38">
                  <c:v>5.1076292862374588</c:v>
                </c:pt>
                <c:pt idx="39">
                  <c:v>5.3971792401500984</c:v>
                </c:pt>
                <c:pt idx="40">
                  <c:v>5.6944520133574148</c:v>
                </c:pt>
                <c:pt idx="41">
                  <c:v>5.9994264948718143</c:v>
                </c:pt>
                <c:pt idx="42">
                  <c:v>6.3120815285877736</c:v>
                </c:pt>
                <c:pt idx="43">
                  <c:v>6.6323959127251593</c:v>
                </c:pt>
                <c:pt idx="44">
                  <c:v>6.960348399336354</c:v>
                </c:pt>
                <c:pt idx="45">
                  <c:v>7.2959176938714139</c:v>
                </c:pt>
                <c:pt idx="46">
                  <c:v>7.6390824547961556</c:v>
                </c:pt>
                <c:pt idx="47">
                  <c:v>7.9898212932586299</c:v>
                </c:pt>
                <c:pt idx="48">
                  <c:v>8.3481127727999347</c:v>
                </c:pt>
                <c:pt idx="49">
                  <c:v>8.7139354091057477</c:v>
                </c:pt>
                <c:pt idx="50">
                  <c:v>9.087267669795331</c:v>
                </c:pt>
                <c:pt idx="51">
                  <c:v>9.4680904607792051</c:v>
                </c:pt>
                <c:pt idx="52">
                  <c:v>9.8563896156349617</c:v>
                </c:pt>
                <c:pt idx="53">
                  <c:v>10.252153413149001</c:v>
                </c:pt>
                <c:pt idx="54">
                  <c:v>10.6553700918227</c:v>
                </c:pt>
                <c:pt idx="55">
                  <c:v>11.066027849655297</c:v>
                </c:pt>
                <c:pt idx="56">
                  <c:v>11.484114843947582</c:v>
                </c:pt>
                <c:pt idx="57">
                  <c:v>11.909619191125028</c:v>
                </c:pt>
                <c:pt idx="58">
                  <c:v>12.342528966579124</c:v>
                </c:pt>
                <c:pt idx="59">
                  <c:v>12.782832204525784</c:v>
                </c:pt>
                <c:pt idx="60">
                  <c:v>13.230516897879768</c:v>
                </c:pt>
                <c:pt idx="61">
                  <c:v>13.685570998144183</c:v>
                </c:pt>
                <c:pt idx="62">
                  <c:v>14.147982415314159</c:v>
                </c:pt>
                <c:pt idx="63">
                  <c:v>14.617739017793911</c:v>
                </c:pt>
                <c:pt idx="64">
                  <c:v>15.094828632326408</c:v>
                </c:pt>
                <c:pt idx="65">
                  <c:v>15.57923904393499</c:v>
                </c:pt>
                <c:pt idx="66">
                  <c:v>16.07095799587626</c:v>
                </c:pt>
                <c:pt idx="67">
                  <c:v>16.569973189603672</c:v>
                </c:pt>
                <c:pt idx="68">
                  <c:v>17.076272284741261</c:v>
                </c:pt>
                <c:pt idx="69">
                  <c:v>17.589842899067008</c:v>
                </c:pt>
                <c:pt idx="70">
                  <c:v>18.110672608505332</c:v>
                </c:pt>
                <c:pt idx="71">
                  <c:v>18.63874894712832</c:v>
                </c:pt>
                <c:pt idx="72">
                  <c:v>19.174059407165217</c:v>
                </c:pt>
                <c:pt idx="73">
                  <c:v>19.716591439019826</c:v>
                </c:pt>
                <c:pt idx="74">
                  <c:v>20.266332451295462</c:v>
                </c:pt>
                <c:pt idx="75">
                  <c:v>20.823269810827078</c:v>
                </c:pt>
                <c:pt idx="76">
                  <c:v>21.387390842720297</c:v>
                </c:pt>
                <c:pt idx="77">
                  <c:v>21.95868283039702</c:v>
                </c:pt>
                <c:pt idx="78">
                  <c:v>22.537133015647321</c:v>
                </c:pt>
                <c:pt idx="79">
                  <c:v>23.122728598687409</c:v>
                </c:pt>
                <c:pt idx="80">
                  <c:v>23.715456738223363</c:v>
                </c:pt>
                <c:pt idx="81">
                  <c:v>24.31530455152042</c:v>
                </c:pt>
                <c:pt idx="82">
                  <c:v>24.922259114477619</c:v>
                </c:pt>
                <c:pt idx="83">
                  <c:v>25.536307461707565</c:v>
                </c:pt>
                <c:pt idx="84">
                  <c:v>26.157436586621124</c:v>
                </c:pt>
                <c:pt idx="85">
                  <c:v>26.785633441516868</c:v>
                </c:pt>
                <c:pt idx="86">
                  <c:v>27.420884937675105</c:v>
                </c:pt>
                <c:pt idx="87">
                  <c:v>28.063177945456289</c:v>
                </c:pt>
                <c:pt idx="88">
                  <c:v>28.712499294403703</c:v>
                </c:pt>
                <c:pt idx="89">
                  <c:v>29.368835773350227</c:v>
                </c:pt>
                <c:pt idx="90">
                  <c:v>30.032174130529068</c:v>
                </c:pt>
                <c:pt idx="91">
                  <c:v>30.702501073688307</c:v>
                </c:pt>
                <c:pt idx="92">
                  <c:v>31.379803270209145</c:v>
                </c:pt>
                <c:pt idx="93">
                  <c:v>32.064067347227706</c:v>
                </c:pt>
                <c:pt idx="94">
                  <c:v>32.75527989176031</c:v>
                </c:pt>
                <c:pt idx="95">
                  <c:v>33.453427450832081</c:v>
                </c:pt>
                <c:pt idx="96">
                  <c:v>34.158496531608776</c:v>
                </c:pt>
                <c:pt idx="97">
                  <c:v>34.870473601531785</c:v>
                </c:pt>
                <c:pt idx="98">
                  <c:v>35.589345088456128</c:v>
                </c:pt>
                <c:pt idx="99">
                  <c:v>36.315097380791421</c:v>
                </c:pt>
                <c:pt idx="100">
                  <c:v>37.047716827645679</c:v>
                </c:pt>
                <c:pt idx="101">
                  <c:v>37.787188597185938</c:v>
                </c:pt>
                <c:pt idx="102">
                  <c:v>38.533495533942798</c:v>
                </c:pt>
                <c:pt idx="103">
                  <c:v>39.286619299474474</c:v>
                </c:pt>
                <c:pt idx="104">
                  <c:v>40.04654151413277</c:v>
                </c:pt>
                <c:pt idx="105">
                  <c:v>40.813243757301436</c:v>
                </c:pt>
                <c:pt idx="106">
                  <c:v>41.586707567636964</c:v>
                </c:pt>
                <c:pt idx="107">
                  <c:v>42.366914443311806</c:v>
                </c:pt>
                <c:pt idx="108">
                  <c:v>43.153845842259891</c:v>
                </c:pt>
                <c:pt idx="109">
                  <c:v>43.947483182424349</c:v>
                </c:pt>
                <c:pt idx="110">
                  <c:v>44.74780784200744</c:v>
                </c:pt>
                <c:pt idx="111">
                  <c:v>45.554801159722523</c:v>
                </c:pt>
                <c:pt idx="112">
                  <c:v>46.368444435048083</c:v>
                </c:pt>
                <c:pt idx="113">
                  <c:v>47.188718928483702</c:v>
                </c:pt>
                <c:pt idx="114">
                  <c:v>48.015605861807899</c:v>
                </c:pt>
                <c:pt idx="115">
                  <c:v>48.849086418337819</c:v>
                </c:pt>
                <c:pt idx="116">
                  <c:v>49.689141743190675</c:v>
                </c:pt>
                <c:pt idx="117">
                  <c:v>50.535752943546903</c:v>
                </c:pt>
                <c:pt idx="118">
                  <c:v>51.38890108891497</c:v>
                </c:pt>
                <c:pt idx="119">
                  <c:v>52.248567211397784</c:v>
                </c:pt>
                <c:pt idx="120">
                  <c:v>53.114732305960622</c:v>
                </c:pt>
                <c:pt idx="121">
                  <c:v>53.987377330700575</c:v>
                </c:pt>
                <c:pt idx="122">
                  <c:v>54.866483207117412</c:v>
                </c:pt>
                <c:pt idx="123">
                  <c:v>55.752030820385855</c:v>
                </c:pt>
                <c:pt idx="124">
                  <c:v>56.644001019629179</c:v>
                </c:pt>
                <c:pt idx="125">
                  <c:v>57.542374618194117</c:v>
                </c:pt>
                <c:pt idx="126">
                  <c:v>58.447132393927006</c:v>
                </c:pt>
                <c:pt idx="127">
                  <c:v>59.358255089451163</c:v>
                </c:pt>
                <c:pt idx="128">
                  <c:v>60.27572341244538</c:v>
                </c:pt>
                <c:pt idx="129">
                  <c:v>61.199518035923589</c:v>
                </c:pt>
                <c:pt idx="130">
                  <c:v>62.129619598515568</c:v>
                </c:pt>
                <c:pt idx="131">
                  <c:v>63.066008704748711</c:v>
                </c:pt>
                <c:pt idx="132">
                  <c:v>64.008665925330774</c:v>
                </c:pt>
                <c:pt idx="133">
                  <c:v>64.957571797433602</c:v>
                </c:pt>
                <c:pt idx="134">
                  <c:v>65.912706824977775</c:v>
                </c:pt>
                <c:pt idx="135">
                  <c:v>66.874051478918133</c:v>
                </c:pt>
                <c:pt idx="136">
                  <c:v>67.841586197530134</c:v>
                </c:pt>
                <c:pt idx="137">
                  <c:v>68.815291386697083</c:v>
                </c:pt>
                <c:pt idx="138">
                  <c:v>69.795147420198063</c:v>
                </c:pt>
                <c:pt idx="139">
                  <c:v>70.781134639996679</c:v>
                </c:pt>
                <c:pt idx="140">
                  <c:v>71.773233356530483</c:v>
                </c:pt>
                <c:pt idx="141">
                  <c:v>72.771423849001081</c:v>
                </c:pt>
                <c:pt idx="142">
                  <c:v>73.775686365664882</c:v>
                </c:pt>
                <c:pt idx="143">
                  <c:v>74.786001124124482</c:v>
                </c:pt>
                <c:pt idx="144">
                  <c:v>75.802348311620591</c:v>
                </c:pt>
                <c:pt idx="145">
                  <c:v>76.824708085324573</c:v>
                </c:pt>
                <c:pt idx="146">
                  <c:v>77.853060572631492</c:v>
                </c:pt>
                <c:pt idx="147">
                  <c:v>78.887385871453588</c:v>
                </c:pt>
                <c:pt idx="148">
                  <c:v>79.927664050514309</c:v>
                </c:pt>
                <c:pt idx="149">
                  <c:v>80.973875149642751</c:v>
                </c:pt>
                <c:pt idx="150">
                  <c:v>82.025999180068482</c:v>
                </c:pt>
                <c:pt idx="151">
                  <c:v>83.084016511940348</c:v>
                </c:pt>
                <c:pt idx="152">
                  <c:v>84.147908262059872</c:v>
                </c:pt>
                <c:pt idx="153">
                  <c:v>85.217655907115997</c:v>
                </c:pt>
                <c:pt idx="154">
                  <c:v>86.293240896692211</c:v>
                </c:pt>
                <c:pt idx="155">
                  <c:v>87.374644653535711</c:v>
                </c:pt>
                <c:pt idx="156">
                  <c:v>88.461848573826828</c:v>
                </c:pt>
                <c:pt idx="157">
                  <c:v>89.554834027448891</c:v>
                </c:pt>
                <c:pt idx="158">
                  <c:v>90.653582358258248</c:v>
                </c:pt>
                <c:pt idx="159">
                  <c:v>91.758074884354642</c:v>
                </c:pt>
                <c:pt idx="160">
                  <c:v>92.868292898351797</c:v>
                </c:pt>
                <c:pt idx="161">
                  <c:v>93.984217667648238</c:v>
                </c:pt>
                <c:pt idx="162">
                  <c:v>95.105830434698305</c:v>
                </c:pt>
                <c:pt idx="163">
                  <c:v>96.233112417283337</c:v>
                </c:pt>
                <c:pt idx="164">
                  <c:v>97.366044808783087</c:v>
                </c:pt>
                <c:pt idx="165">
                  <c:v>98.504608778447135</c:v>
                </c:pt>
                <c:pt idx="166">
                  <c:v>99.648785471666585</c:v>
                </c:pt>
                <c:pt idx="167">
                  <c:v>100.79855601024575</c:v>
                </c:pt>
                <c:pt idx="168">
                  <c:v>101.95390149267392</c:v>
                </c:pt>
                <c:pt idx="169">
                  <c:v>103.11480299439731</c:v>
                </c:pt>
                <c:pt idx="170">
                  <c:v>104.28124156809086</c:v>
                </c:pt>
                <c:pt idx="171">
                  <c:v>105.45319824393022</c:v>
                </c:pt>
                <c:pt idx="172">
                  <c:v>106.63065402986365</c:v>
                </c:pt>
                <c:pt idx="173">
                  <c:v>107.81358991188395</c:v>
                </c:pt>
                <c:pt idx="174">
                  <c:v>109.00198685430033</c:v>
                </c:pt>
                <c:pt idx="175">
                  <c:v>110.19582580001023</c:v>
                </c:pt>
                <c:pt idx="176">
                  <c:v>111.39508767077106</c:v>
                </c:pt>
                <c:pt idx="177">
                  <c:v>112.59975336747193</c:v>
                </c:pt>
                <c:pt idx="178">
                  <c:v>113.80980377040517</c:v>
                </c:pt>
                <c:pt idx="179">
                  <c:v>115.02521973953775</c:v>
                </c:pt>
                <c:pt idx="180">
                  <c:v>116.24598211478263</c:v>
                </c:pt>
                <c:pt idx="181">
                  <c:v>117.47207171626994</c:v>
                </c:pt>
                <c:pt idx="182">
                  <c:v>118.70346934461783</c:v>
                </c:pt>
                <c:pt idx="183">
                  <c:v>119.94015578120342</c:v>
                </c:pt>
                <c:pt idx="184">
                  <c:v>121.18211178843325</c:v>
                </c:pt>
                <c:pt idx="185">
                  <c:v>122.42931811001372</c:v>
                </c:pt>
                <c:pt idx="186">
                  <c:v>123.68175547122119</c:v>
                </c:pt>
                <c:pt idx="187">
                  <c:v>124.93940457917186</c:v>
                </c:pt>
                <c:pt idx="188">
                  <c:v>126.20224612309134</c:v>
                </c:pt>
                <c:pt idx="189">
                  <c:v>127.47026077458401</c:v>
                </c:pt>
                <c:pt idx="190">
                  <c:v>128.743429187902</c:v>
                </c:pt>
                <c:pt idx="191">
                  <c:v>130.02173200021394</c:v>
                </c:pt>
                <c:pt idx="192">
                  <c:v>131.30514983187334</c:v>
                </c:pt>
                <c:pt idx="193">
                  <c:v>132.59366328668654</c:v>
                </c:pt>
                <c:pt idx="194">
                  <c:v>133.88725295218046</c:v>
                </c:pt>
                <c:pt idx="195">
                  <c:v>135.18589939986992</c:v>
                </c:pt>
                <c:pt idx="196">
                  <c:v>136.48958318552445</c:v>
                </c:pt>
                <c:pt idx="197">
                  <c:v>137.79828484943494</c:v>
                </c:pt>
                <c:pt idx="198">
                  <c:v>139.11198491667957</c:v>
                </c:pt>
                <c:pt idx="199">
                  <c:v>140.43066389738965</c:v>
                </c:pt>
                <c:pt idx="200">
                  <c:v>141.75430228701472</c:v>
                </c:pt>
                <c:pt idx="201">
                  <c:v>143.08288056658739</c:v>
                </c:pt>
                <c:pt idx="202">
                  <c:v>144.4163792029876</c:v>
                </c:pt>
                <c:pt idx="203">
                  <c:v>145.75477864920646</c:v>
                </c:pt>
                <c:pt idx="204">
                  <c:v>147.09805934460957</c:v>
                </c:pt>
                <c:pt idx="205">
                  <c:v>148.44620171519983</c:v>
                </c:pt>
                <c:pt idx="206">
                  <c:v>149.79918617387975</c:v>
                </c:pt>
                <c:pt idx="207">
                  <c:v>151.15699312071314</c:v>
                </c:pt>
                <c:pt idx="208">
                  <c:v>152.51960294318641</c:v>
                </c:pt>
                <c:pt idx="209">
                  <c:v>153.8869960164692</c:v>
                </c:pt>
                <c:pt idx="210">
                  <c:v>155.25915270367437</c:v>
                </c:pt>
                <c:pt idx="211">
                  <c:v>156.63605335611771</c:v>
                </c:pt>
                <c:pt idx="212">
                  <c:v>158.0176783135766</c:v>
                </c:pt>
                <c:pt idx="213">
                  <c:v>159.40400790454851</c:v>
                </c:pt>
                <c:pt idx="214">
                  <c:v>160.79502244650854</c:v>
                </c:pt>
                <c:pt idx="215">
                  <c:v>162.19070224616658</c:v>
                </c:pt>
                <c:pt idx="216">
                  <c:v>163.59102759972367</c:v>
                </c:pt>
                <c:pt idx="217">
                  <c:v>164.99597879312779</c:v>
                </c:pt>
                <c:pt idx="218">
                  <c:v>166.40553610232888</c:v>
                </c:pt>
                <c:pt idx="219">
                  <c:v>167.8196797935334</c:v>
                </c:pt>
                <c:pt idx="220">
                  <c:v>169.23839012345795</c:v>
                </c:pt>
                <c:pt idx="221">
                  <c:v>170.6616473395824</c:v>
                </c:pt>
                <c:pt idx="222">
                  <c:v>172.08943168040216</c:v>
                </c:pt>
                <c:pt idx="223">
                  <c:v>173.52172337567987</c:v>
                </c:pt>
                <c:pt idx="224">
                  <c:v>174.95850264669625</c:v>
                </c:pt>
                <c:pt idx="225">
                  <c:v>176.3997497065003</c:v>
                </c:pt>
                <c:pt idx="226">
                  <c:v>177.8454447601587</c:v>
                </c:pt>
                <c:pt idx="227">
                  <c:v>179.2955680050045</c:v>
                </c:pt>
                <c:pt idx="228">
                  <c:v>180.75009963088493</c:v>
                </c:pt>
                <c:pt idx="229">
                  <c:v>182.20901982040863</c:v>
                </c:pt>
                <c:pt idx="230">
                  <c:v>183.6723087491919</c:v>
                </c:pt>
                <c:pt idx="231">
                  <c:v>185.13994658610432</c:v>
                </c:pt>
                <c:pt idx="232">
                  <c:v>186.61191349351341</c:v>
                </c:pt>
                <c:pt idx="233">
                  <c:v>188.08818962752864</c:v>
                </c:pt>
                <c:pt idx="234">
                  <c:v>189.56875513824446</c:v>
                </c:pt>
                <c:pt idx="235">
                  <c:v>191.05359016998258</c:v>
                </c:pt>
                <c:pt idx="236">
                  <c:v>192.5426748615335</c:v>
                </c:pt>
                <c:pt idx="237">
                  <c:v>194.03598934639697</c:v>
                </c:pt>
                <c:pt idx="238">
                  <c:v>195.53351375302185</c:v>
                </c:pt>
                <c:pt idx="239">
                  <c:v>197.03522820504486</c:v>
                </c:pt>
                <c:pt idx="240">
                  <c:v>198.54111282152866</c:v>
                </c:pt>
                <c:pt idx="241">
                  <c:v>200.05114771719892</c:v>
                </c:pt>
                <c:pt idx="242">
                  <c:v>201.5653130026806</c:v>
                </c:pt>
                <c:pt idx="243">
                  <c:v>203.08358878473322</c:v>
                </c:pt>
                <c:pt idx="244">
                  <c:v>204.60595516648539</c:v>
                </c:pt>
                <c:pt idx="245">
                  <c:v>206.13239224766815</c:v>
                </c:pt>
                <c:pt idx="246">
                  <c:v>207.66288012484779</c:v>
                </c:pt>
                <c:pt idx="247">
                  <c:v>209.19739889165731</c:v>
                </c:pt>
                <c:pt idx="248">
                  <c:v>210.73592863902732</c:v>
                </c:pt>
                <c:pt idx="249">
                  <c:v>212.27844945541574</c:v>
                </c:pt>
                <c:pt idx="250">
                  <c:v>213.82494142703666</c:v>
                </c:pt>
                <c:pt idx="251">
                  <c:v>215.37538297758087</c:v>
                </c:pt>
                <c:pt idx="252">
                  <c:v>216.92974920816016</c:v>
                </c:pt>
                <c:pt idx="253">
                  <c:v>218.48801355941092</c:v>
                </c:pt>
                <c:pt idx="254">
                  <c:v>220.05014947342033</c:v>
                </c:pt>
                <c:pt idx="255">
                  <c:v>221.61613039404745</c:v>
                </c:pt>
                <c:pt idx="256">
                  <c:v>223.18592976724236</c:v>
                </c:pt>
                <c:pt idx="257">
                  <c:v>224.75952104136377</c:v>
                </c:pt>
                <c:pt idx="258">
                  <c:v>226.33687766749455</c:v>
                </c:pt>
                <c:pt idx="259">
                  <c:v>227.9179730997557</c:v>
                </c:pt>
                <c:pt idx="260">
                  <c:v>229.50278079561838</c:v>
                </c:pt>
                <c:pt idx="261">
                  <c:v>231.09127421621412</c:v>
                </c:pt>
                <c:pt idx="262">
                  <c:v>232.68342682664326</c:v>
                </c:pt>
                <c:pt idx="263">
                  <c:v>234.27921209628161</c:v>
                </c:pt>
                <c:pt idx="264">
                  <c:v>235.87860349908507</c:v>
                </c:pt>
                <c:pt idx="265">
                  <c:v>237.48157451389264</c:v>
                </c:pt>
                <c:pt idx="266">
                  <c:v>239.08809862472737</c:v>
                </c:pt>
                <c:pt idx="267">
                  <c:v>240.69814932109557</c:v>
                </c:pt>
                <c:pt idx="268">
                  <c:v>242.31170009828421</c:v>
                </c:pt>
                <c:pt idx="269">
                  <c:v>243.92872445765616</c:v>
                </c:pt>
                <c:pt idx="270">
                  <c:v>245.54919590694396</c:v>
                </c:pt>
                <c:pt idx="271">
                  <c:v>247.1730879605413</c:v>
                </c:pt>
                <c:pt idx="272">
                  <c:v>248.80037413979289</c:v>
                </c:pt>
                <c:pt idx="273">
                  <c:v>250.43102797328234</c:v>
                </c:pt>
                <c:pt idx="274">
                  <c:v>252.06502299711804</c:v>
                </c:pt>
                <c:pt idx="275">
                  <c:v>253.70233275521727</c:v>
                </c:pt>
                <c:pt idx="276">
                  <c:v>255.34293079958832</c:v>
                </c:pt>
                <c:pt idx="277">
                  <c:v>256.98679069061069</c:v>
                </c:pt>
                <c:pt idx="278">
                  <c:v>258.63388599731343</c:v>
                </c:pt>
                <c:pt idx="279">
                  <c:v>260.28419029765138</c:v>
                </c:pt>
                <c:pt idx="280">
                  <c:v>261.93767717877972</c:v>
                </c:pt>
                <c:pt idx="281">
                  <c:v>263.59432023732637</c:v>
                </c:pt>
                <c:pt idx="282">
                  <c:v>265.25409307966254</c:v>
                </c:pt>
                <c:pt idx="283">
                  <c:v>266.91696932217133</c:v>
                </c:pt>
                <c:pt idx="284">
                  <c:v>268.58292259151432</c:v>
                </c:pt>
                <c:pt idx="285">
                  <c:v>270.25192652489631</c:v>
                </c:pt>
                <c:pt idx="286">
                  <c:v>271.92395477032801</c:v>
                </c:pt>
                <c:pt idx="287">
                  <c:v>273.59898098688683</c:v>
                </c:pt>
                <c:pt idx="288">
                  <c:v>275.27697884497559</c:v>
                </c:pt>
                <c:pt idx="289">
                  <c:v>276.95792202657935</c:v>
                </c:pt>
                <c:pt idx="290">
                  <c:v>278.64178422552044</c:v>
                </c:pt>
                <c:pt idx="291">
                  <c:v>280.32853914771118</c:v>
                </c:pt>
                <c:pt idx="292">
                  <c:v>282.01816051140474</c:v>
                </c:pt>
                <c:pt idx="293">
                  <c:v>283.71062204744419</c:v>
                </c:pt>
                <c:pt idx="294">
                  <c:v>285.40589749950936</c:v>
                </c:pt>
                <c:pt idx="295">
                  <c:v>287.10396062436195</c:v>
                </c:pt>
                <c:pt idx="296">
                  <c:v>288.80478519208827</c:v>
                </c:pt>
                <c:pt idx="297">
                  <c:v>290.50834498634043</c:v>
                </c:pt>
                <c:pt idx="298">
                  <c:v>292.21459562740074</c:v>
                </c:pt>
                <c:pt idx="299">
                  <c:v>293.92345640434559</c:v>
                </c:pt>
                <c:pt idx="300">
                  <c:v>295.63482847891555</c:v>
                </c:pt>
                <c:pt idx="301">
                  <c:v>297.34861308113682</c:v>
                </c:pt>
                <c:pt idx="302">
                  <c:v>299.06471151124941</c:v>
                </c:pt>
                <c:pt idx="303">
                  <c:v>300.7830251416097</c:v>
                </c:pt>
                <c:pt idx="304">
                  <c:v>302.50345541856706</c:v>
                </c:pt>
                <c:pt idx="305">
                  <c:v>304.22590386431477</c:v>
                </c:pt>
                <c:pt idx="306">
                  <c:v>305.95027207871522</c:v>
                </c:pt>
                <c:pt idx="307">
                  <c:v>307.67646174109876</c:v>
                </c:pt>
                <c:pt idx="308">
                  <c:v>309.40437461203737</c:v>
                </c:pt>
                <c:pt idx="309">
                  <c:v>311.13391253509172</c:v>
                </c:pt>
                <c:pt idx="310">
                  <c:v>312.86497743853306</c:v>
                </c:pt>
                <c:pt idx="311">
                  <c:v>314.59747133703848</c:v>
                </c:pt>
                <c:pt idx="312">
                  <c:v>316.33129633336114</c:v>
                </c:pt>
                <c:pt idx="313">
                  <c:v>318.06635461997382</c:v>
                </c:pt>
                <c:pt idx="314">
                  <c:v>319.80254848068722</c:v>
                </c:pt>
                <c:pt idx="315">
                  <c:v>321.53978029224214</c:v>
                </c:pt>
                <c:pt idx="316">
                  <c:v>323.277952525876</c:v>
                </c:pt>
                <c:pt idx="317">
                  <c:v>325.01696774886341</c:v>
                </c:pt>
                <c:pt idx="318">
                  <c:v>326.75672862603125</c:v>
                </c:pt>
                <c:pt idx="319">
                  <c:v>328.49713792124788</c:v>
                </c:pt>
                <c:pt idx="320">
                  <c:v>330.23809849888659</c:v>
                </c:pt>
                <c:pt idx="321">
                  <c:v>331.97952054574768</c:v>
                </c:pt>
                <c:pt idx="322">
                  <c:v>333.72132878576565</c:v>
                </c:pt>
                <c:pt idx="323">
                  <c:v>335.46345524492074</c:v>
                </c:pt>
                <c:pt idx="324">
                  <c:v>337.20583202296518</c:v>
                </c:pt>
                <c:pt idx="325">
                  <c:v>338.94839129406768</c:v>
                </c:pt>
                <c:pt idx="326">
                  <c:v>340.6910653074454</c:v>
                </c:pt>
                <c:pt idx="327">
                  <c:v>342.43378638798373</c:v>
                </c:pt>
                <c:pt idx="328">
                  <c:v>344.17648693684345</c:v>
                </c:pt>
                <c:pt idx="329">
                  <c:v>345.91909943205548</c:v>
                </c:pt>
                <c:pt idx="330">
                  <c:v>347.66155642910371</c:v>
                </c:pt>
                <c:pt idx="331">
                  <c:v>349.40379056149516</c:v>
                </c:pt>
                <c:pt idx="332">
                  <c:v>351.14573454131818</c:v>
                </c:pt>
                <c:pt idx="333">
                  <c:v>352.88732115978831</c:v>
                </c:pt>
                <c:pt idx="334">
                  <c:v>354.62848328778222</c:v>
                </c:pt>
                <c:pt idx="335">
                  <c:v>356.36915387635946</c:v>
                </c:pt>
                <c:pt idx="336">
                  <c:v>358.1092659572721</c:v>
                </c:pt>
                <c:pt idx="337">
                  <c:v>359.84875264346272</c:v>
                </c:pt>
                <c:pt idx="338">
                  <c:v>361.58754712955016</c:v>
                </c:pt>
                <c:pt idx="339">
                  <c:v>363.32558269230356</c:v>
                </c:pt>
                <c:pt idx="340">
                  <c:v>365.06279269110468</c:v>
                </c:pt>
                <c:pt idx="341">
                  <c:v>366.79911056839825</c:v>
                </c:pt>
                <c:pt idx="342">
                  <c:v>368.53446985013079</c:v>
                </c:pt>
                <c:pt idx="343">
                  <c:v>370.26880414617773</c:v>
                </c:pt>
                <c:pt idx="344">
                  <c:v>372.0020471507591</c:v>
                </c:pt>
                <c:pt idx="345">
                  <c:v>373.73413264284341</c:v>
                </c:pt>
                <c:pt idx="346">
                  <c:v>375.46499448654032</c:v>
                </c:pt>
                <c:pt idx="347">
                  <c:v>377.19456663148173</c:v>
                </c:pt>
                <c:pt idx="348">
                  <c:v>378.92278389100528</c:v>
                </c:pt>
                <c:pt idx="349">
                  <c:v>380.64958271927298</c:v>
                </c:pt>
                <c:pt idx="350">
                  <c:v>382.37490043167992</c:v>
                </c:pt>
                <c:pt idx="351">
                  <c:v>384.09867442628308</c:v>
                </c:pt>
                <c:pt idx="352">
                  <c:v>385.82084218408227</c:v>
                </c:pt>
                <c:pt idx="353">
                  <c:v>387.5413412692908</c:v>
                </c:pt>
                <c:pt idx="354">
                  <c:v>389.26010932959645</c:v>
                </c:pt>
                <c:pt idx="355">
                  <c:v>390.97708409641268</c:v>
                </c:pt>
                <c:pt idx="356">
                  <c:v>392.69220338511985</c:v>
                </c:pt>
                <c:pt idx="357">
                  <c:v>394.40540509529683</c:v>
                </c:pt>
                <c:pt idx="358">
                  <c:v>396.11662721094297</c:v>
                </c:pt>
                <c:pt idx="359">
                  <c:v>397.82580780069031</c:v>
                </c:pt>
                <c:pt idx="360">
                  <c:v>399.53290118753068</c:v>
                </c:pt>
                <c:pt idx="361">
                  <c:v>401.23789409457908</c:v>
                </c:pt>
                <c:pt idx="362">
                  <c:v>402.94078942892975</c:v>
                </c:pt>
                <c:pt idx="363">
                  <c:v>404.64159008938776</c:v>
                </c:pt>
                <c:pt idx="364">
                  <c:v>406.34029896649952</c:v>
                </c:pt>
                <c:pt idx="365">
                  <c:v>408.03691894258321</c:v>
                </c:pt>
                <c:pt idx="366">
                  <c:v>409.73145289175909</c:v>
                </c:pt>
                <c:pt idx="367">
                  <c:v>411.42390367997967</c:v>
                </c:pt>
                <c:pt idx="368">
                  <c:v>413.11427416505956</c:v>
                </c:pt>
                <c:pt idx="369">
                  <c:v>414.80256719670552</c:v>
                </c:pt>
                <c:pt idx="370">
                  <c:v>416.48878561654618</c:v>
                </c:pt>
                <c:pt idx="371">
                  <c:v>418.17293225816144</c:v>
                </c:pt>
                <c:pt idx="372">
                  <c:v>419.85500994711202</c:v>
                </c:pt>
                <c:pt idx="373">
                  <c:v>421.53502150096887</c:v>
                </c:pt>
                <c:pt idx="374">
                  <c:v>423.21296972934221</c:v>
                </c:pt>
                <c:pt idx="375">
                  <c:v>424.88885743391057</c:v>
                </c:pt>
                <c:pt idx="376">
                  <c:v>426.56268740844979</c:v>
                </c:pt>
                <c:pt idx="377">
                  <c:v>428.23446243886167</c:v>
                </c:pt>
                <c:pt idx="378">
                  <c:v>429.90418530320267</c:v>
                </c:pt>
                <c:pt idx="379">
                  <c:v>431.57185877171247</c:v>
                </c:pt>
                <c:pt idx="380">
                  <c:v>433.23748560684214</c:v>
                </c:pt>
                <c:pt idx="381">
                  <c:v>434.90106856328259</c:v>
                </c:pt>
                <c:pt idx="382">
                  <c:v>436.56261038799261</c:v>
                </c:pt>
                <c:pt idx="383">
                  <c:v>438.22211382022675</c:v>
                </c:pt>
                <c:pt idx="384">
                  <c:v>439.87958159156329</c:v>
                </c:pt>
                <c:pt idx="385">
                  <c:v>441.53501642593193</c:v>
                </c:pt>
                <c:pt idx="386">
                  <c:v>443.18842103964136</c:v>
                </c:pt>
                <c:pt idx="387">
                  <c:v>444.83979814140667</c:v>
                </c:pt>
                <c:pt idx="388">
                  <c:v>446.48915043237685</c:v>
                </c:pt>
                <c:pt idx="389">
                  <c:v>448.1364806061618</c:v>
                </c:pt>
                <c:pt idx="390">
                  <c:v>449.7817913488596</c:v>
                </c:pt>
                <c:pt idx="391">
                  <c:v>451.42508533908335</c:v>
                </c:pt>
                <c:pt idx="392">
                  <c:v>453.06636524798802</c:v>
                </c:pt>
                <c:pt idx="393">
                  <c:v>454.70563373929724</c:v>
                </c:pt>
                <c:pt idx="394">
                  <c:v>456.34289346932991</c:v>
                </c:pt>
                <c:pt idx="395">
                  <c:v>457.97814708702646</c:v>
                </c:pt>
                <c:pt idx="396">
                  <c:v>459.61139723397554</c:v>
                </c:pt>
                <c:pt idx="397">
                  <c:v>461.24264654443994</c:v>
                </c:pt>
                <c:pt idx="398">
                  <c:v>462.87189764538289</c:v>
                </c:pt>
                <c:pt idx="399">
                  <c:v>464.49915315649395</c:v>
                </c:pt>
                <c:pt idx="400">
                  <c:v>466.12441569021502</c:v>
                </c:pt>
                <c:pt idx="401">
                  <c:v>482.26762909441067</c:v>
                </c:pt>
                <c:pt idx="402">
                  <c:v>498.21322366661008</c:v>
                </c:pt>
                <c:pt idx="403">
                  <c:v>513.96374087047525</c:v>
                </c:pt>
                <c:pt idx="404">
                  <c:v>529.5216531012386</c:v>
                </c:pt>
                <c:pt idx="405">
                  <c:v>544.88936607434357</c:v>
                </c:pt>
                <c:pt idx="406">
                  <c:v>560.06922110912296</c:v>
                </c:pt>
                <c:pt idx="407">
                  <c:v>575.06349731301066</c:v>
                </c:pt>
                <c:pt idx="408">
                  <c:v>589.87441367144777</c:v>
                </c:pt>
                <c:pt idx="409">
                  <c:v>604.5041310483316</c:v>
                </c:pt>
                <c:pt idx="410">
                  <c:v>618.95475410156632</c:v>
                </c:pt>
                <c:pt idx="411">
                  <c:v>633.2283331180048</c:v>
                </c:pt>
                <c:pt idx="412">
                  <c:v>647.32686577181698</c:v>
                </c:pt>
                <c:pt idx="413">
                  <c:v>661.25229881008613</c:v>
                </c:pt>
                <c:pt idx="414">
                  <c:v>675.00652966921575</c:v>
                </c:pt>
                <c:pt idx="415">
                  <c:v>688.59140802552099</c:v>
                </c:pt>
                <c:pt idx="416">
                  <c:v>702.00873728319118</c:v>
                </c:pt>
                <c:pt idx="417">
                  <c:v>715.26027600262648</c:v>
                </c:pt>
                <c:pt idx="418">
                  <c:v>728.34773927198694</c:v>
                </c:pt>
                <c:pt idx="419">
                  <c:v>741.27280002463226</c:v>
                </c:pt>
                <c:pt idx="420">
                  <c:v>754.0370903049851</c:v>
                </c:pt>
                <c:pt idx="421">
                  <c:v>766.64220248521178</c:v>
                </c:pt>
                <c:pt idx="422">
                  <c:v>779.08969043498473</c:v>
                </c:pt>
                <c:pt idx="423">
                  <c:v>791.38107064646954</c:v>
                </c:pt>
                <c:pt idx="424">
                  <c:v>803.51782331656466</c:v>
                </c:pt>
                <c:pt idx="425">
                  <c:v>815.50139338831616</c:v>
                </c:pt>
                <c:pt idx="426">
                  <c:v>827.3331915533272</c:v>
                </c:pt>
                <c:pt idx="427">
                  <c:v>839.01459521688798</c:v>
                </c:pt>
                <c:pt idx="428">
                  <c:v>850.54694942746346</c:v>
                </c:pt>
                <c:pt idx="429">
                  <c:v>861.93156777209072</c:v>
                </c:pt>
                <c:pt idx="430">
                  <c:v>873.16973323916022</c:v>
                </c:pt>
                <c:pt idx="431">
                  <c:v>884.26269904997946</c:v>
                </c:pt>
                <c:pt idx="432">
                  <c:v>895.21168946044918</c:v>
                </c:pt>
                <c:pt idx="433">
                  <c:v>906.01790053411366</c:v>
                </c:pt>
                <c:pt idx="434">
                  <c:v>916.68250088778677</c:v>
                </c:pt>
                <c:pt idx="435">
                  <c:v>927.20663241089471</c:v>
                </c:pt>
                <c:pt idx="436">
                  <c:v>937.59141095962218</c:v>
                </c:pt>
                <c:pt idx="437">
                  <c:v>947.83792702689436</c:v>
                </c:pt>
                <c:pt idx="438">
                  <c:v>957.94724638918046</c:v>
                </c:pt>
                <c:pt idx="439">
                  <c:v>967.92041073105418</c:v>
                </c:pt>
                <c:pt idx="440">
                  <c:v>977.7584382484049</c:v>
                </c:pt>
                <c:pt idx="441">
                  <c:v>987.46232423115055</c:v>
                </c:pt>
                <c:pt idx="442">
                  <c:v>997.03304162626307</c:v>
                </c:pt>
                <c:pt idx="443">
                  <c:v>1006.4715415818803</c:v>
                </c:pt>
                <c:pt idx="444">
                  <c:v>1015.7787539732424</c:v>
                </c:pt>
                <c:pt idx="445">
                  <c:v>1024.9555879111581</c:v>
                </c:pt>
                <c:pt idx="446">
                  <c:v>1034.0029322336723</c:v>
                </c:pt>
                <c:pt idx="447">
                  <c:v>1042.9216559815782</c:v>
                </c:pt>
                <c:pt idx="448">
                  <c:v>1051.7126088583896</c:v>
                </c:pt>
                <c:pt idx="449">
                  <c:v>1060.3766216753556</c:v>
                </c:pt>
                <c:pt idx="450">
                  <c:v>1068.9145067820843</c:v>
                </c:pt>
                <c:pt idx="451">
                  <c:v>1077.327058483309</c:v>
                </c:pt>
                <c:pt idx="452">
                  <c:v>1085.6150534423095</c:v>
                </c:pt>
                <c:pt idx="453">
                  <c:v>1093.7792510714855</c:v>
                </c:pt>
                <c:pt idx="454">
                  <c:v>1101.8203939105454</c:v>
                </c:pt>
                <c:pt idx="455">
                  <c:v>1109.7392079927683</c:v>
                </c:pt>
                <c:pt idx="456">
                  <c:v>1117.5364031997685</c:v>
                </c:pt>
                <c:pt idx="457">
                  <c:v>1125.2126736051773</c:v>
                </c:pt>
                <c:pt idx="458">
                  <c:v>1132.7686978076408</c:v>
                </c:pt>
                <c:pt idx="459">
                  <c:v>1140.2051392535166</c:v>
                </c:pt>
                <c:pt idx="460">
                  <c:v>1147.522646549633</c:v>
                </c:pt>
                <c:pt idx="461">
                  <c:v>1154.7218537664683</c:v>
                </c:pt>
                <c:pt idx="462">
                  <c:v>1161.803380732084</c:v>
                </c:pt>
                <c:pt idx="463">
                  <c:v>1168.7678333171432</c:v>
                </c:pt>
                <c:pt idx="464">
                  <c:v>1175.6158037113244</c:v>
                </c:pt>
                <c:pt idx="465">
                  <c:v>1182.3478706914366</c:v>
                </c:pt>
                <c:pt idx="466">
                  <c:v>1188.9645998815265</c:v>
                </c:pt>
                <c:pt idx="467">
                  <c:v>1195.4665440052604</c:v>
                </c:pt>
                <c:pt idx="468">
                  <c:v>1201.8542431308522</c:v>
                </c:pt>
                <c:pt idx="469">
                  <c:v>1208.1282249088044</c:v>
                </c:pt>
                <c:pt idx="470">
                  <c:v>1214.289004802715</c:v>
                </c:pt>
                <c:pt idx="471">
                  <c:v>1220.3370863133994</c:v>
                </c:pt>
                <c:pt idx="472">
                  <c:v>1226.2729611965688</c:v>
                </c:pt>
                <c:pt idx="473">
                  <c:v>1232.097109674299</c:v>
                </c:pt>
                <c:pt idx="474">
                  <c:v>1237.8100006405195</c:v>
                </c:pt>
                <c:pt idx="475">
                  <c:v>1243.4120918607452</c:v>
                </c:pt>
                <c:pt idx="476">
                  <c:v>1248.9038301662704</c:v>
                </c:pt>
                <c:pt idx="477">
                  <c:v>1254.2856516430397</c:v>
                </c:pt>
                <c:pt idx="478">
                  <c:v>1259.557981815409</c:v>
                </c:pt>
                <c:pt idx="479">
                  <c:v>1264.7212358250022</c:v>
                </c:pt>
                <c:pt idx="480">
                  <c:v>1269.7758186048732</c:v>
                </c:pt>
                <c:pt idx="481">
                  <c:v>1274.722125049178</c:v>
                </c:pt>
                <c:pt idx="482">
                  <c:v>1279.5605401785608</c:v>
                </c:pt>
                <c:pt idx="483">
                  <c:v>1284.2914393014594</c:v>
                </c:pt>
                <c:pt idx="484">
                  <c:v>1288.9151881715366</c:v>
                </c:pt>
                <c:pt idx="485">
                  <c:v>1293.4321431414439</c:v>
                </c:pt>
                <c:pt idx="486">
                  <c:v>1297.8426513131305</c:v>
                </c:pt>
                <c:pt idx="487">
                  <c:v>1302.1470506849078</c:v>
                </c:pt>
                <c:pt idx="488">
                  <c:v>1306.345670295492</c:v>
                </c:pt>
                <c:pt idx="489">
                  <c:v>1310.4388303652486</c:v>
                </c:pt>
                <c:pt idx="490">
                  <c:v>1314.4268424348691</c:v>
                </c:pt>
                <c:pt idx="491">
                  <c:v>1318.3100095017223</c:v>
                </c:pt>
                <c:pt idx="492">
                  <c:v>1322.0886261541293</c:v>
                </c:pt>
                <c:pt idx="493">
                  <c:v>1325.7629787038215</c:v>
                </c:pt>
                <c:pt idx="494">
                  <c:v>1329.3333453168586</c:v>
                </c:pt>
                <c:pt idx="495">
                  <c:v>1332.7999961432915</c:v>
                </c:pt>
                <c:pt idx="496">
                  <c:v>1336.1631934458751</c:v>
                </c:pt>
                <c:pt idx="497">
                  <c:v>1339.423191728152</c:v>
                </c:pt>
                <c:pt idx="498">
                  <c:v>1342.5802378622491</c:v>
                </c:pt>
                <c:pt idx="499">
                  <c:v>1345.6345712167463</c:v>
                </c:pt>
                <c:pt idx="500">
                  <c:v>1348.5864237850069</c:v>
                </c:pt>
                <c:pt idx="501">
                  <c:v>1351.4360203143751</c:v>
                </c:pt>
                <c:pt idx="502">
                  <c:v>1354.1835784366808</c:v>
                </c:pt>
                <c:pt idx="503">
                  <c:v>1356.8293088005134</c:v>
                </c:pt>
                <c:pt idx="504">
                  <c:v>1359.3734152057607</c:v>
                </c:pt>
                <c:pt idx="505">
                  <c:v>1361.8160947409333</c:v>
                </c:pt>
                <c:pt idx="506">
                  <c:v>1364.1575379238325</c:v>
                </c:pt>
                <c:pt idx="507">
                  <c:v>1366.3979288461414</c:v>
                </c:pt>
                <c:pt idx="508">
                  <c:v>1368.5374453225545</c:v>
                </c:pt>
                <c:pt idx="509">
                  <c:v>1370.576259045082</c:v>
                </c:pt>
                <c:pt idx="510">
                  <c:v>1372.5145357431929</c:v>
                </c:pt>
                <c:pt idx="511">
                  <c:v>1374.3524353504743</c:v>
                </c:pt>
                <c:pt idx="512">
                  <c:v>1376.0901121784964</c:v>
                </c:pt>
                <c:pt idx="513">
                  <c:v>1377.7277150985763</c:v>
                </c:pt>
                <c:pt idx="514">
                  <c:v>1379.2653877321204</c:v>
                </c:pt>
                <c:pt idx="515">
                  <c:v>1380.7032686502066</c:v>
                </c:pt>
                <c:pt idx="516">
                  <c:v>1382.0414915830236</c:v>
                </c:pt>
                <c:pt idx="517">
                  <c:v>1383.2801856397311</c:v>
                </c:pt>
                <c:pt idx="518">
                  <c:v>1384.419475539225</c:v>
                </c:pt>
                <c:pt idx="519">
                  <c:v>1385.4594818521884</c:v>
                </c:pt>
                <c:pt idx="520">
                  <c:v>1386.4003212546877</c:v>
                </c:pt>
                <c:pt idx="521">
                  <c:v>1387.2421067934235</c:v>
                </c:pt>
                <c:pt idx="522">
                  <c:v>1387.9849481625736</c:v>
                </c:pt>
                <c:pt idx="523">
                  <c:v>1388.6289519919696</c:v>
                </c:pt>
                <c:pt idx="524">
                  <c:v>1389.1742221461436</c:v>
                </c:pt>
                <c:pt idx="525">
                  <c:v>1389.6208600335501</c:v>
                </c:pt>
                <c:pt idx="526">
                  <c:v>1389.9689649250452</c:v>
                </c:pt>
                <c:pt idx="527">
                  <c:v>1390.2186342804728</c:v>
                </c:pt>
                <c:pt idx="528">
                  <c:v>1390.3699640819921</c:v>
                </c:pt>
                <c:pt idx="529">
                  <c:v>1390.4230491725832</c:v>
                </c:pt>
                <c:pt idx="530">
                  <c:v>1390.377983597999</c:v>
                </c:pt>
                <c:pt idx="531">
                  <c:v>1390.234860950301</c:v>
                </c:pt>
                <c:pt idx="532">
                  <c:v>1389.9937747110268</c:v>
                </c:pt>
                <c:pt idx="533">
                  <c:v>1389.6548185920028</c:v>
                </c:pt>
                <c:pt idx="534">
                  <c:v>1389.2180868718222</c:v>
                </c:pt>
                <c:pt idx="535">
                  <c:v>1388.6836747260729</c:v>
                </c:pt>
                <c:pt idx="536">
                  <c:v>1388.0516785495095</c:v>
                </c:pt>
                <c:pt idx="537">
                  <c:v>1387.3221962685086</c:v>
                </c:pt>
                <c:pt idx="538">
                  <c:v>1386.4953276423366</c:v>
                </c:pt>
                <c:pt idx="539">
                  <c:v>1385.5711745519613</c:v>
                </c:pt>
                <c:pt idx="540">
                  <c:v>1384.5498412753682</c:v>
                </c:pt>
                <c:pt idx="541">
                  <c:v>1383.431434748569</c:v>
                </c:pt>
                <c:pt idx="542">
                  <c:v>1382.216064811724</c:v>
                </c:pt>
                <c:pt idx="543">
                  <c:v>1380.9038444400121</c:v>
                </c:pt>
                <c:pt idx="544">
                  <c:v>1379.4948899590952</c:v>
                </c:pt>
                <c:pt idx="545">
                  <c:v>1377.9893212451982</c:v>
                </c:pt>
                <c:pt idx="546">
                  <c:v>1376.3872619099966</c:v>
                </c:pt>
                <c:pt idx="547">
                  <c:v>1374.6888394706323</c:v>
                </c:pt>
                <c:pt idx="548">
                  <c:v>1372.894185505296</c:v>
                </c:pt>
                <c:pt idx="549">
                  <c:v>1371.0034357949</c:v>
                </c:pt>
                <c:pt idx="550">
                  <c:v>1369.0167304514337</c:v>
                </c:pt>
                <c:pt idx="551">
                  <c:v>1366.9342140336373</c:v>
                </c:pt>
                <c:pt idx="552">
                  <c:v>1364.7560356506622</c:v>
                </c:pt>
                <c:pt idx="553">
                  <c:v>1362.4823490543934</c:v>
                </c:pt>
                <c:pt idx="554">
                  <c:v>1360.1133127211176</c:v>
                </c:pt>
                <c:pt idx="555">
                  <c:v>1357.6490899232031</c:v>
                </c:pt>
                <c:pt idx="556">
                  <c:v>1355.0898487914467</c:v>
                </c:pt>
                <c:pt idx="557">
                  <c:v>1352.4357623687149</c:v>
                </c:pt>
                <c:pt idx="558">
                  <c:v>1349.6870086554788</c:v>
                </c:pt>
                <c:pt idx="559">
                  <c:v>1346.8437706478139</c:v>
                </c:pt>
                <c:pt idx="560">
                  <c:v>1343.9062363683984</c:v>
                </c:pt>
                <c:pt idx="561">
                  <c:v>1340.8745988910157</c:v>
                </c:pt>
                <c:pt idx="562">
                  <c:v>1337.7490563590279</c:v>
                </c:pt>
                <c:pt idx="563">
                  <c:v>1334.5298119982567</c:v>
                </c:pt>
                <c:pt idx="564">
                  <c:v>1331.2170741246766</c:v>
                </c:pt>
                <c:pt idx="565">
                  <c:v>1327.8110561472938</c:v>
                </c:pt>
                <c:pt idx="566">
                  <c:v>1324.3119765665542</c:v>
                </c:pt>
                <c:pt idx="567">
                  <c:v>1320.7200589686001</c:v>
                </c:pt>
                <c:pt idx="568">
                  <c:v>1317.0355320156652</c:v>
                </c:pt>
                <c:pt idx="569">
                  <c:v>1313.2586294328767</c:v>
                </c:pt>
                <c:pt idx="570">
                  <c:v>1309.3895899917118</c:v>
                </c:pt>
                <c:pt idx="571">
                  <c:v>1305.4286574903344</c:v>
                </c:pt>
                <c:pt idx="572">
                  <c:v>1301.376080731018</c:v>
                </c:pt>
                <c:pt idx="573">
                  <c:v>1297.2321134948468</c:v>
                </c:pt>
                <c:pt idx="574">
                  <c:v>1292.9970145138705</c:v>
                </c:pt>
                <c:pt idx="575">
                  <c:v>1288.6710474408726</c:v>
                </c:pt>
                <c:pt idx="576">
                  <c:v>1284.2544808169002</c:v>
                </c:pt>
                <c:pt idx="577">
                  <c:v>1279.7475880366935</c:v>
                </c:pt>
                <c:pt idx="578">
                  <c:v>1275.1506473121383</c:v>
                </c:pt>
                <c:pt idx="579">
                  <c:v>1270.4639416338596</c:v>
                </c:pt>
                <c:pt idx="580">
                  <c:v>1265.6877587310619</c:v>
                </c:pt>
                <c:pt idx="581">
                  <c:v>1260.8223910297183</c:v>
                </c:pt>
                <c:pt idx="582">
                  <c:v>1255.8681356091984</c:v>
                </c:pt>
                <c:pt idx="583">
                  <c:v>1250.8252941574206</c:v>
                </c:pt>
                <c:pt idx="584">
                  <c:v>1245.6941729246118</c:v>
                </c:pt>
                <c:pt idx="585">
                  <c:v>1240.4750826757468</c:v>
                </c:pt>
                <c:pt idx="586">
                  <c:v>1235.1683386417365</c:v>
                </c:pt>
                <c:pt idx="587">
                  <c:v>1229.774260469434</c:v>
                </c:pt>
                <c:pt idx="588">
                  <c:v>1224.2931721705161</c:v>
                </c:pt>
                <c:pt idx="589">
                  <c:v>1218.7254020693015</c:v>
                </c:pt>
                <c:pt idx="590">
                  <c:v>1213.0712827495588</c:v>
                </c:pt>
                <c:pt idx="591">
                  <c:v>1207.3311510003568</c:v>
                </c:pt>
                <c:pt idx="592">
                  <c:v>1201.5053477610068</c:v>
                </c:pt>
                <c:pt idx="593">
                  <c:v>1195.5942180651418</c:v>
                </c:pt>
                <c:pt idx="594">
                  <c:v>1189.5981109839809</c:v>
                </c:pt>
                <c:pt idx="595">
                  <c:v>1183.5173795688168</c:v>
                </c:pt>
                <c:pt idx="596">
                  <c:v>1177.3523807927718</c:v>
                </c:pt>
                <c:pt idx="597">
                  <c:v>1171.1034754918589</c:v>
                </c:pt>
                <c:pt idx="598">
                  <c:v>1164.7710283053855</c:v>
                </c:pt>
                <c:pt idx="599">
                  <c:v>1158.3554076157377</c:v>
                </c:pt>
                <c:pt idx="600">
                  <c:v>1151.8569854875784</c:v>
                </c:pt>
                <c:pt idx="601">
                  <c:v>1145.2761376064941</c:v>
                </c:pt>
                <c:pt idx="602">
                  <c:v>1138.6132432171232</c:v>
                </c:pt>
                <c:pt idx="603">
                  <c:v>1131.8686850607962</c:v>
                </c:pt>
                <c:pt idx="604">
                  <c:v>1125.042849312721</c:v>
                </c:pt>
                <c:pt idx="605">
                  <c:v>1118.1361255187408</c:v>
                </c:pt>
                <c:pt idx="606">
                  <c:v>1111.148906531695</c:v>
                </c:pt>
                <c:pt idx="607">
                  <c:v>1104.0815884474132</c:v>
                </c:pt>
                <c:pt idx="608">
                  <c:v>1096.9345705403655</c:v>
                </c:pt>
                <c:pt idx="609">
                  <c:v>1089.708255199002</c:v>
                </c:pt>
                <c:pt idx="610">
                  <c:v>1082.4030478608031</c:v>
                </c:pt>
                <c:pt idx="611">
                  <c:v>1075.01935694707</c:v>
                </c:pt>
                <c:pt idx="612">
                  <c:v>1067.5575937974784</c:v>
                </c:pt>
                <c:pt idx="613">
                  <c:v>1060.018172604422</c:v>
                </c:pt>
                <c:pt idx="614">
                  <c:v>1052.4015103471704</c:v>
                </c:pt>
                <c:pt idx="615">
                  <c:v>1044.7080267258625</c:v>
                </c:pt>
                <c:pt idx="616">
                  <c:v>1036.938144095363</c:v>
                </c:pt>
                <c:pt idx="617">
                  <c:v>1029.0922873990025</c:v>
                </c:pt>
                <c:pt idx="618">
                  <c:v>1021.170884102224</c:v>
                </c:pt>
                <c:pt idx="619">
                  <c:v>1013.174364126159</c:v>
                </c:pt>
                <c:pt idx="620">
                  <c:v>1005.1031597811551</c:v>
                </c:pt>
                <c:pt idx="621">
                  <c:v>996.95770570027526</c:v>
                </c:pt>
                <c:pt idx="622">
                  <c:v>988.73843877279148</c:v>
                </c:pt>
                <c:pt idx="623">
                  <c:v>980.44579807769298</c:v>
                </c:pt>
                <c:pt idx="624">
                  <c:v>972.08022481722924</c:v>
                </c:pt>
                <c:pt idx="625">
                  <c:v>963.64216225050768</c:v>
                </c:pt>
                <c:pt idx="626">
                  <c:v>955.13205562716678</c:v>
                </c:pt>
                <c:pt idx="627">
                  <c:v>946.55035212114331</c:v>
                </c:pt>
                <c:pt idx="628">
                  <c:v>937.89750076455232</c:v>
                </c:pt>
                <c:pt idx="629">
                  <c:v>929.17395238169945</c:v>
                </c:pt>
                <c:pt idx="630">
                  <c:v>920.38015952324383</c:v>
                </c:pt>
                <c:pt idx="631">
                  <c:v>911.51657640052917</c:v>
                </c:pt>
                <c:pt idx="632">
                  <c:v>902.58365882010105</c:v>
                </c:pt>
                <c:pt idx="633">
                  <c:v>893.58186411842803</c:v>
                </c:pt>
                <c:pt idx="634">
                  <c:v>884.51165109684314</c:v>
                </c:pt>
                <c:pt idx="635">
                  <c:v>875.3734799567236</c:v>
                </c:pt>
                <c:pt idx="636">
                  <c:v>866.16781223492353</c:v>
                </c:pt>
                <c:pt idx="637">
                  <c:v>856.89511073947767</c:v>
                </c:pt>
                <c:pt idx="638">
                  <c:v>847.55583948559013</c:v>
                </c:pt>
                <c:pt idx="639">
                  <c:v>838.15046363192528</c:v>
                </c:pt>
                <c:pt idx="640">
                  <c:v>828.67944941721453</c:v>
                </c:pt>
                <c:pt idx="641">
                  <c:v>819.14326409719513</c:v>
                </c:pt>
                <c:pt idx="642">
                  <c:v>809.54237588189403</c:v>
                </c:pt>
                <c:pt idx="643">
                  <c:v>799.87725387327259</c:v>
                </c:pt>
                <c:pt idx="644">
                  <c:v>790.14836800324474</c:v>
                </c:pt>
                <c:pt idx="645">
                  <c:v>780.35618897208258</c:v>
                </c:pt>
                <c:pt idx="646">
                  <c:v>770.50118818722319</c:v>
                </c:pt>
                <c:pt idx="647">
                  <c:v>760.58383770248827</c:v>
                </c:pt>
                <c:pt idx="648">
                  <c:v>750.60461015773069</c:v>
                </c:pt>
                <c:pt idx="649">
                  <c:v>740.56397871891875</c:v>
                </c:pt>
                <c:pt idx="650">
                  <c:v>730.46241701867143</c:v>
                </c:pt>
                <c:pt idx="651">
                  <c:v>720.30039909725474</c:v>
                </c:pt>
                <c:pt idx="652">
                  <c:v>710.07839934405229</c:v>
                </c:pt>
                <c:pt idx="653">
                  <c:v>699.79689243951896</c:v>
                </c:pt>
                <c:pt idx="654">
                  <c:v>689.45635329763013</c:v>
                </c:pt>
                <c:pt idx="655">
                  <c:v>679.05725700883556</c:v>
                </c:pt>
                <c:pt idx="656">
                  <c:v>668.6000787835286</c:v>
                </c:pt>
                <c:pt idx="657">
                  <c:v>658.08529389603962</c:v>
                </c:pt>
                <c:pt idx="658">
                  <c:v>647.51337762916421</c:v>
                </c:pt>
                <c:pt idx="659">
                  <c:v>636.88480521923395</c:v>
                </c:pt>
                <c:pt idx="660">
                  <c:v>626.20005180173894</c:v>
                </c:pt>
                <c:pt idx="661">
                  <c:v>615.45959235751104</c:v>
                </c:pt>
                <c:pt idx="662">
                  <c:v>604.6639016594745</c:v>
                </c:pt>
                <c:pt idx="663">
                  <c:v>593.81345421997321</c:v>
                </c:pt>
                <c:pt idx="664">
                  <c:v>582.90872423868143</c:v>
                </c:pt>
                <c:pt idx="665">
                  <c:v>571.95018555110425</c:v>
                </c:pt>
                <c:pt idx="666">
                  <c:v>560.93831157767636</c:v>
                </c:pt>
                <c:pt idx="667">
                  <c:v>549.87357527346433</c:v>
                </c:pt>
                <c:pt idx="668">
                  <c:v>538.75644907847845</c:v>
                </c:pt>
                <c:pt idx="669">
                  <c:v>527.58740486860154</c:v>
                </c:pt>
                <c:pt idx="670">
                  <c:v>516.36691390713838</c:v>
                </c:pt>
                <c:pt idx="671">
                  <c:v>505.09544679699235</c:v>
                </c:pt>
                <c:pt idx="672">
                  <c:v>493.77347343347412</c:v>
                </c:pt>
                <c:pt idx="673">
                  <c:v>482.40146295774645</c:v>
                </c:pt>
                <c:pt idx="674">
                  <c:v>470.97988371091014</c:v>
                </c:pt>
                <c:pt idx="675">
                  <c:v>459.50920318873517</c:v>
                </c:pt>
                <c:pt idx="676">
                  <c:v>447.98988799704034</c:v>
                </c:pt>
                <c:pt idx="677">
                  <c:v>436.42240380772569</c:v>
                </c:pt>
                <c:pt idx="678">
                  <c:v>424.80721531546044</c:v>
                </c:pt>
                <c:pt idx="679">
                  <c:v>413.14478619502961</c:v>
                </c:pt>
                <c:pt idx="680">
                  <c:v>401.4355790593421</c:v>
                </c:pt>
                <c:pt idx="681">
                  <c:v>389.68005541810243</c:v>
                </c:pt>
                <c:pt idx="682">
                  <c:v>377.87867563714849</c:v>
                </c:pt>
                <c:pt idx="683">
                  <c:v>366.03189889845743</c:v>
                </c:pt>
                <c:pt idx="684">
                  <c:v>354.14018316082058</c:v>
                </c:pt>
                <c:pt idx="685">
                  <c:v>342.20398512118987</c:v>
                </c:pt>
                <c:pt idx="686">
                  <c:v>330.22376017669575</c:v>
                </c:pt>
                <c:pt idx="687">
                  <c:v>318.1999623873383</c:v>
                </c:pt>
                <c:pt idx="688">
                  <c:v>306.13304443935198</c:v>
                </c:pt>
                <c:pt idx="689">
                  <c:v>294.02345760924391</c:v>
                </c:pt>
                <c:pt idx="690">
                  <c:v>281.87165172850666</c:v>
                </c:pt>
                <c:pt idx="691">
                  <c:v>269.67807514900488</c:v>
                </c:pt>
                <c:pt idx="692">
                  <c:v>257.44317470903559</c:v>
                </c:pt>
                <c:pt idx="693">
                  <c:v>245.16739570006141</c:v>
                </c:pt>
                <c:pt idx="694">
                  <c:v>232.85118183411663</c:v>
                </c:pt>
                <c:pt idx="695">
                  <c:v>220.49497521188422</c:v>
                </c:pt>
                <c:pt idx="696">
                  <c:v>208.0992162914433</c:v>
                </c:pt>
                <c:pt idx="697">
                  <c:v>195.66434385768514</c:v>
                </c:pt>
                <c:pt idx="698">
                  <c:v>183.19079499239663</c:v>
                </c:pt>
                <c:pt idx="699">
                  <c:v>170.67900504500875</c:v>
                </c:pt>
                <c:pt idx="700">
                  <c:v>158.12940760400866</c:v>
                </c:pt>
                <c:pt idx="701">
                  <c:v>145.54243446901273</c:v>
                </c:pt>
                <c:pt idx="702">
                  <c:v>132.91851562349831</c:v>
                </c:pt>
                <c:pt idx="703">
                  <c:v>120.25807920819173</c:v>
                </c:pt>
                <c:pt idx="704">
                  <c:v>107.56155149510964</c:v>
                </c:pt>
                <c:pt idx="705">
                  <c:v>94.829356862250748</c:v>
                </c:pt>
                <c:pt idx="706">
                  <c:v>82.061917768934947</c:v>
                </c:pt>
                <c:pt idx="707">
                  <c:v>69.259654731786497</c:v>
                </c:pt>
                <c:pt idx="708">
                  <c:v>56.422986301357888</c:v>
                </c:pt>
                <c:pt idx="709">
                  <c:v>43.552329039390642</c:v>
                </c:pt>
                <c:pt idx="710">
                  <c:v>30.648097496709511</c:v>
                </c:pt>
                <c:pt idx="711">
                  <c:v>17.710704191746018</c:v>
                </c:pt>
                <c:pt idx="712">
                  <c:v>4.7405595896873951</c:v>
                </c:pt>
                <c:pt idx="713">
                  <c:v>-8.261927917753324</c:v>
                </c:pt>
                <c:pt idx="714">
                  <c:v>-8.2749464907429484</c:v>
                </c:pt>
                <c:pt idx="715">
                  <c:v>-8.2879650954663546</c:v>
                </c:pt>
                <c:pt idx="716">
                  <c:v>-8.3009837319231412</c:v>
                </c:pt>
                <c:pt idx="717">
                  <c:v>-8.3140024001129049</c:v>
                </c:pt>
                <c:pt idx="718">
                  <c:v>-8.3270211000352443</c:v>
                </c:pt>
                <c:pt idx="719">
                  <c:v>-8.3400398316897579</c:v>
                </c:pt>
                <c:pt idx="720">
                  <c:v>-8.3530585950760425</c:v>
                </c:pt>
                <c:pt idx="721">
                  <c:v>-8.3660773901936967</c:v>
                </c:pt>
                <c:pt idx="722">
                  <c:v>-8.3790962170423171</c:v>
                </c:pt>
                <c:pt idx="723">
                  <c:v>-8.3921150756215024</c:v>
                </c:pt>
                <c:pt idx="724">
                  <c:v>-8.405133965930851</c:v>
                </c:pt>
                <c:pt idx="725">
                  <c:v>-8.4181528879699599</c:v>
                </c:pt>
                <c:pt idx="726">
                  <c:v>-8.4311718417384274</c:v>
                </c:pt>
                <c:pt idx="727">
                  <c:v>-8.4441908272358521</c:v>
                </c:pt>
                <c:pt idx="728">
                  <c:v>-8.4572098444618309</c:v>
                </c:pt>
                <c:pt idx="729">
                  <c:v>-8.4702288934159622</c:v>
                </c:pt>
                <c:pt idx="730">
                  <c:v>-8.4832479740978428</c:v>
                </c:pt>
                <c:pt idx="731">
                  <c:v>-8.4962670865070713</c:v>
                </c:pt>
                <c:pt idx="732">
                  <c:v>-8.5092862306432462</c:v>
                </c:pt>
                <c:pt idx="733">
                  <c:v>-8.5223054065059642</c:v>
                </c:pt>
                <c:pt idx="734">
                  <c:v>-8.535324614094824</c:v>
                </c:pt>
                <c:pt idx="735">
                  <c:v>-8.548343853409424</c:v>
                </c:pt>
                <c:pt idx="736">
                  <c:v>-8.5613631244493611</c:v>
                </c:pt>
                <c:pt idx="737">
                  <c:v>-8.5743824272142337</c:v>
                </c:pt>
                <c:pt idx="738">
                  <c:v>-8.5874017617036387</c:v>
                </c:pt>
                <c:pt idx="739">
                  <c:v>-8.6004211279171745</c:v>
                </c:pt>
                <c:pt idx="740">
                  <c:v>-8.6134405258544398</c:v>
                </c:pt>
                <c:pt idx="741">
                  <c:v>-8.6264599555150312</c:v>
                </c:pt>
                <c:pt idx="742">
                  <c:v>-8.6394794168985491</c:v>
                </c:pt>
                <c:pt idx="743">
                  <c:v>-8.6524989100045886</c:v>
                </c:pt>
                <c:pt idx="744">
                  <c:v>-8.6655184348327499</c:v>
                </c:pt>
                <c:pt idx="745">
                  <c:v>-8.6785379913826297</c:v>
                </c:pt>
                <c:pt idx="746">
                  <c:v>-8.6915575796538249</c:v>
                </c:pt>
                <c:pt idx="747">
                  <c:v>-8.704577199645934</c:v>
                </c:pt>
                <c:pt idx="748">
                  <c:v>-8.7175968513585556</c:v>
                </c:pt>
                <c:pt idx="749">
                  <c:v>-8.7306165347912881</c:v>
                </c:pt>
                <c:pt idx="750">
                  <c:v>-8.7436362499437283</c:v>
                </c:pt>
                <c:pt idx="751">
                  <c:v>-8.7566559968154749</c:v>
                </c:pt>
                <c:pt idx="752">
                  <c:v>-8.7696757754061263</c:v>
                </c:pt>
                <c:pt idx="753">
                  <c:v>-8.7826955857152793</c:v>
                </c:pt>
                <c:pt idx="754">
                  <c:v>-8.7957154277425325</c:v>
                </c:pt>
                <c:pt idx="755">
                  <c:v>-8.8087353014874825</c:v>
                </c:pt>
                <c:pt idx="756">
                  <c:v>-8.821755206949728</c:v>
                </c:pt>
                <c:pt idx="757">
                  <c:v>-8.8347751441288676</c:v>
                </c:pt>
                <c:pt idx="758">
                  <c:v>-8.8477951130244996</c:v>
                </c:pt>
                <c:pt idx="759">
                  <c:v>-8.860815113636221</c:v>
                </c:pt>
                <c:pt idx="760">
                  <c:v>-8.8738351459636284</c:v>
                </c:pt>
                <c:pt idx="761">
                  <c:v>-8.8868552100063223</c:v>
                </c:pt>
                <c:pt idx="762">
                  <c:v>-8.8998753057638993</c:v>
                </c:pt>
                <c:pt idx="763">
                  <c:v>-8.912895433235958</c:v>
                </c:pt>
                <c:pt idx="764">
                  <c:v>-8.9259155924220952</c:v>
                </c:pt>
                <c:pt idx="765">
                  <c:v>-8.9389357833219094</c:v>
                </c:pt>
                <c:pt idx="766">
                  <c:v>-8.9519560059349992</c:v>
                </c:pt>
                <c:pt idx="767">
                  <c:v>-8.9649762602609631</c:v>
                </c:pt>
                <c:pt idx="768">
                  <c:v>-8.9779965462993978</c:v>
                </c:pt>
                <c:pt idx="769">
                  <c:v>-8.991016864049902</c:v>
                </c:pt>
                <c:pt idx="770">
                  <c:v>-9.0040372135120723</c:v>
                </c:pt>
                <c:pt idx="771">
                  <c:v>-9.0170575946855074</c:v>
                </c:pt>
                <c:pt idx="772">
                  <c:v>-9.0300780075698057</c:v>
                </c:pt>
                <c:pt idx="773">
                  <c:v>-9.0430984521645659</c:v>
                </c:pt>
                <c:pt idx="774">
                  <c:v>-9.0561189284693846</c:v>
                </c:pt>
                <c:pt idx="775">
                  <c:v>-9.0691394364838605</c:v>
                </c:pt>
                <c:pt idx="776">
                  <c:v>-9.082159976207592</c:v>
                </c:pt>
                <c:pt idx="777">
                  <c:v>-9.0951805476401759</c:v>
                </c:pt>
                <c:pt idx="778">
                  <c:v>-9.1082011507812108</c:v>
                </c:pt>
                <c:pt idx="779">
                  <c:v>-9.1212217856302935</c:v>
                </c:pt>
                <c:pt idx="780">
                  <c:v>-9.1342424521870242</c:v>
                </c:pt>
                <c:pt idx="781">
                  <c:v>-9.1472631504509998</c:v>
                </c:pt>
                <c:pt idx="782">
                  <c:v>-9.160283880421817</c:v>
                </c:pt>
                <c:pt idx="783">
                  <c:v>-9.173304642099076</c:v>
                </c:pt>
                <c:pt idx="784">
                  <c:v>-9.1863254354823738</c:v>
                </c:pt>
                <c:pt idx="785">
                  <c:v>-9.1993462605713088</c:v>
                </c:pt>
                <c:pt idx="786">
                  <c:v>-9.2123671173654778</c:v>
                </c:pt>
                <c:pt idx="787">
                  <c:v>-9.2253880058644793</c:v>
                </c:pt>
                <c:pt idx="788">
                  <c:v>-9.2384089260679119</c:v>
                </c:pt>
                <c:pt idx="789">
                  <c:v>-9.2514298779753741</c:v>
                </c:pt>
                <c:pt idx="790">
                  <c:v>-9.2644508615864627</c:v>
                </c:pt>
                <c:pt idx="791">
                  <c:v>-9.2774718769007762</c:v>
                </c:pt>
                <c:pt idx="792">
                  <c:v>-9.2904929239179133</c:v>
                </c:pt>
                <c:pt idx="793">
                  <c:v>-9.3035140026374705</c:v>
                </c:pt>
                <c:pt idx="794">
                  <c:v>-9.3165351130590466</c:v>
                </c:pt>
                <c:pt idx="795">
                  <c:v>-9.32955625518224</c:v>
                </c:pt>
                <c:pt idx="796">
                  <c:v>-9.3425774290066474</c:v>
                </c:pt>
                <c:pt idx="797">
                  <c:v>-9.3555986345318676</c:v>
                </c:pt>
                <c:pt idx="798">
                  <c:v>-9.3686198717574989</c:v>
                </c:pt>
                <c:pt idx="799">
                  <c:v>-9.3816411406831399</c:v>
                </c:pt>
                <c:pt idx="800">
                  <c:v>-9.3946624413083875</c:v>
                </c:pt>
                <c:pt idx="801">
                  <c:v>-9.40768377363284</c:v>
                </c:pt>
                <c:pt idx="802">
                  <c:v>-9.4207051376560962</c:v>
                </c:pt>
                <c:pt idx="803">
                  <c:v>-9.4337265333777527</c:v>
                </c:pt>
                <c:pt idx="804">
                  <c:v>-9.4467479607974099</c:v>
                </c:pt>
                <c:pt idx="805">
                  <c:v>-9.4597694199146627</c:v>
                </c:pt>
                <c:pt idx="806">
                  <c:v>-9.4727909107291115</c:v>
                </c:pt>
                <c:pt idx="807">
                  <c:v>-9.4858124332403531</c:v>
                </c:pt>
                <c:pt idx="808">
                  <c:v>-9.4988339874479859</c:v>
                </c:pt>
                <c:pt idx="809">
                  <c:v>-9.5118555733516086</c:v>
                </c:pt>
                <c:pt idx="810">
                  <c:v>-9.5248771909508196</c:v>
                </c:pt>
                <c:pt idx="811">
                  <c:v>-9.5378988402452158</c:v>
                </c:pt>
                <c:pt idx="812">
                  <c:v>-9.5509205212343957</c:v>
                </c:pt>
                <c:pt idx="813">
                  <c:v>-9.5639422339179561</c:v>
                </c:pt>
                <c:pt idx="814">
                  <c:v>-9.5769639782954972</c:v>
                </c:pt>
                <c:pt idx="815">
                  <c:v>-9.5899857543666158</c:v>
                </c:pt>
                <c:pt idx="816">
                  <c:v>-9.6030075621309106</c:v>
                </c:pt>
                <c:pt idx="817">
                  <c:v>-9.6160294015879781</c:v>
                </c:pt>
                <c:pt idx="818">
                  <c:v>-9.6290512727374189</c:v>
                </c:pt>
                <c:pt idx="819">
                  <c:v>-9.6420731755788296</c:v>
                </c:pt>
                <c:pt idx="820">
                  <c:v>-9.6550951101118088</c:v>
                </c:pt>
                <c:pt idx="821">
                  <c:v>-9.6681170763359532</c:v>
                </c:pt>
                <c:pt idx="822">
                  <c:v>-9.6811390742508614</c:v>
                </c:pt>
                <c:pt idx="823">
                  <c:v>-9.6941611038561319</c:v>
                </c:pt>
                <c:pt idx="824">
                  <c:v>-9.7071831651513634</c:v>
                </c:pt>
                <c:pt idx="825">
                  <c:v>-9.7202052581361524</c:v>
                </c:pt>
                <c:pt idx="826">
                  <c:v>-9.7332273828100995</c:v>
                </c:pt>
                <c:pt idx="827">
                  <c:v>-9.7462495391728012</c:v>
                </c:pt>
                <c:pt idx="828">
                  <c:v>-9.7592717272238545</c:v>
                </c:pt>
                <c:pt idx="829">
                  <c:v>-9.7722939469628596</c:v>
                </c:pt>
                <c:pt idx="830">
                  <c:v>-9.7853161983894132</c:v>
                </c:pt>
                <c:pt idx="831">
                  <c:v>-9.798338481503114</c:v>
                </c:pt>
                <c:pt idx="832">
                  <c:v>-9.8113607963035605</c:v>
                </c:pt>
                <c:pt idx="833">
                  <c:v>-9.8243831427903494</c:v>
                </c:pt>
                <c:pt idx="834">
                  <c:v>-9.8374055209630793</c:v>
                </c:pt>
                <c:pt idx="835">
                  <c:v>-9.8504279308213487</c:v>
                </c:pt>
                <c:pt idx="836">
                  <c:v>-9.8634503723647562</c:v>
                </c:pt>
                <c:pt idx="837">
                  <c:v>-9.8764728455928985</c:v>
                </c:pt>
                <c:pt idx="838">
                  <c:v>-9.8894953505053742</c:v>
                </c:pt>
                <c:pt idx="839">
                  <c:v>-9.9025178871017818</c:v>
                </c:pt>
                <c:pt idx="840">
                  <c:v>-9.9155404553817199</c:v>
                </c:pt>
                <c:pt idx="841">
                  <c:v>-9.928563055344787</c:v>
                </c:pt>
                <c:pt idx="842">
                  <c:v>-9.9415856869905799</c:v>
                </c:pt>
                <c:pt idx="843">
                  <c:v>-9.9546083503186971</c:v>
                </c:pt>
                <c:pt idx="844">
                  <c:v>-9.9676310453287371</c:v>
                </c:pt>
                <c:pt idx="845">
                  <c:v>-9.9806537720202968</c:v>
                </c:pt>
                <c:pt idx="846">
                  <c:v>-9.9936765303929747</c:v>
                </c:pt>
                <c:pt idx="847">
                  <c:v>-10.006699320446371</c:v>
                </c:pt>
                <c:pt idx="848">
                  <c:v>-10.019722142180081</c:v>
                </c:pt>
                <c:pt idx="849">
                  <c:v>-10.032744995593704</c:v>
                </c:pt>
                <c:pt idx="850">
                  <c:v>-10.045767880686839</c:v>
                </c:pt>
                <c:pt idx="851">
                  <c:v>-10.058790797459082</c:v>
                </c:pt>
                <c:pt idx="852">
                  <c:v>-10.071813745910033</c:v>
                </c:pt>
                <c:pt idx="853">
                  <c:v>-10.08483672603929</c:v>
                </c:pt>
                <c:pt idx="854">
                  <c:v>-10.09785973784645</c:v>
                </c:pt>
                <c:pt idx="855">
                  <c:v>-10.110882781331114</c:v>
                </c:pt>
                <c:pt idx="856">
                  <c:v>-10.123905856492877</c:v>
                </c:pt>
                <c:pt idx="857">
                  <c:v>-10.136928963331339</c:v>
                </c:pt>
                <c:pt idx="858">
                  <c:v>-10.149952101846097</c:v>
                </c:pt>
                <c:pt idx="859">
                  <c:v>-10.162975272036748</c:v>
                </c:pt>
                <c:pt idx="860">
                  <c:v>-10.175998473902894</c:v>
                </c:pt>
                <c:pt idx="861">
                  <c:v>-10.189021707444128</c:v>
                </c:pt>
                <c:pt idx="862">
                  <c:v>-10.202044972660053</c:v>
                </c:pt>
                <c:pt idx="863">
                  <c:v>-10.215068269550265</c:v>
                </c:pt>
                <c:pt idx="864">
                  <c:v>-10.228091598114363</c:v>
                </c:pt>
                <c:pt idx="865">
                  <c:v>-10.241114958351943</c:v>
                </c:pt>
                <c:pt idx="866">
                  <c:v>-10.254138350262606</c:v>
                </c:pt>
                <c:pt idx="867">
                  <c:v>-10.267161773845947</c:v>
                </c:pt>
                <c:pt idx="868">
                  <c:v>-10.280185229101567</c:v>
                </c:pt>
                <c:pt idx="869">
                  <c:v>-10.293208716029064</c:v>
                </c:pt>
                <c:pt idx="870">
                  <c:v>-10.306232234628034</c:v>
                </c:pt>
                <c:pt idx="871">
                  <c:v>-10.319255784898077</c:v>
                </c:pt>
                <c:pt idx="872">
                  <c:v>-10.332279366838792</c:v>
                </c:pt>
                <c:pt idx="873">
                  <c:v>-10.345302980449775</c:v>
                </c:pt>
                <c:pt idx="874">
                  <c:v>-10.358326625730625</c:v>
                </c:pt>
                <c:pt idx="875">
                  <c:v>-10.371350302680939</c:v>
                </c:pt>
                <c:pt idx="876">
                  <c:v>-10.384374011300318</c:v>
                </c:pt>
                <c:pt idx="877">
                  <c:v>-10.397397751588359</c:v>
                </c:pt>
                <c:pt idx="878">
                  <c:v>-10.41042152354466</c:v>
                </c:pt>
                <c:pt idx="879">
                  <c:v>-10.423445327168817</c:v>
                </c:pt>
                <c:pt idx="880">
                  <c:v>-10.436469162460432</c:v>
                </c:pt>
                <c:pt idx="881">
                  <c:v>-10.4494930294191</c:v>
                </c:pt>
                <c:pt idx="882">
                  <c:v>-10.462516928044423</c:v>
                </c:pt>
                <c:pt idx="883">
                  <c:v>-10.475540858335995</c:v>
                </c:pt>
                <c:pt idx="884">
                  <c:v>-10.488564820293416</c:v>
                </c:pt>
                <c:pt idx="885">
                  <c:v>-10.501588813916284</c:v>
                </c:pt>
                <c:pt idx="886">
                  <c:v>-10.514612839204197</c:v>
                </c:pt>
                <c:pt idx="887">
                  <c:v>-10.527636896156755</c:v>
                </c:pt>
                <c:pt idx="888">
                  <c:v>-10.540660984773556</c:v>
                </c:pt>
                <c:pt idx="889">
                  <c:v>-10.553685105054196</c:v>
                </c:pt>
                <c:pt idx="890">
                  <c:v>-10.566709256998275</c:v>
                </c:pt>
                <c:pt idx="891">
                  <c:v>-10.57973344060539</c:v>
                </c:pt>
                <c:pt idx="892">
                  <c:v>-10.59275765587514</c:v>
                </c:pt>
                <c:pt idx="893">
                  <c:v>-10.605781902807122</c:v>
                </c:pt>
                <c:pt idx="894">
                  <c:v>-10.618806181400936</c:v>
                </c:pt>
                <c:pt idx="895">
                  <c:v>-10.63183049165618</c:v>
                </c:pt>
                <c:pt idx="896">
                  <c:v>-10.644854833572451</c:v>
                </c:pt>
                <c:pt idx="897">
                  <c:v>-10.657879207149348</c:v>
                </c:pt>
                <c:pt idx="898">
                  <c:v>-10.67090361238647</c:v>
                </c:pt>
                <c:pt idx="899">
                  <c:v>-10.683928049283413</c:v>
                </c:pt>
                <c:pt idx="900">
                  <c:v>-10.696952517839778</c:v>
                </c:pt>
                <c:pt idx="901">
                  <c:v>-10.709977018055161</c:v>
                </c:pt>
                <c:pt idx="902">
                  <c:v>-10.723001549929162</c:v>
                </c:pt>
                <c:pt idx="903">
                  <c:v>-10.736026113461378</c:v>
                </c:pt>
                <c:pt idx="904">
                  <c:v>-10.749050708651408</c:v>
                </c:pt>
                <c:pt idx="905">
                  <c:v>-10.762075335498849</c:v>
                </c:pt>
                <c:pt idx="906">
                  <c:v>-10.775099994003302</c:v>
                </c:pt>
                <c:pt idx="907">
                  <c:v>-10.788124684164362</c:v>
                </c:pt>
                <c:pt idx="908">
                  <c:v>-10.801149405981629</c:v>
                </c:pt>
                <c:pt idx="909">
                  <c:v>-10.814174159454701</c:v>
                </c:pt>
                <c:pt idx="910">
                  <c:v>-10.827198944583175</c:v>
                </c:pt>
                <c:pt idx="911">
                  <c:v>-10.840223761366651</c:v>
                </c:pt>
                <c:pt idx="912">
                  <c:v>-10.853248609804726</c:v>
                </c:pt>
                <c:pt idx="913">
                  <c:v>-10.866273489897001</c:v>
                </c:pt>
                <c:pt idx="914">
                  <c:v>-10.879298401643071</c:v>
                </c:pt>
                <c:pt idx="915">
                  <c:v>-10.892323345042536</c:v>
                </c:pt>
                <c:pt idx="916">
                  <c:v>-10.905348320094994</c:v>
                </c:pt>
                <c:pt idx="917">
                  <c:v>-10.918373326800042</c:v>
                </c:pt>
                <c:pt idx="918">
                  <c:v>-10.93139836515728</c:v>
                </c:pt>
                <c:pt idx="919">
                  <c:v>-10.944423435166305</c:v>
                </c:pt>
                <c:pt idx="920">
                  <c:v>-10.957448536826716</c:v>
                </c:pt>
                <c:pt idx="921">
                  <c:v>-10.970473670138112</c:v>
                </c:pt>
                <c:pt idx="922">
                  <c:v>-10.98349883510009</c:v>
                </c:pt>
                <c:pt idx="923">
                  <c:v>-10.996524031712248</c:v>
                </c:pt>
                <c:pt idx="924">
                  <c:v>-11.009549259974186</c:v>
                </c:pt>
                <c:pt idx="925">
                  <c:v>-11.022574519885501</c:v>
                </c:pt>
                <c:pt idx="926">
                  <c:v>-11.035599811445792</c:v>
                </c:pt>
                <c:pt idx="927">
                  <c:v>-11.048625134654657</c:v>
                </c:pt>
                <c:pt idx="928">
                  <c:v>-11.061650489511694</c:v>
                </c:pt>
                <c:pt idx="929">
                  <c:v>-11.074675876016501</c:v>
                </c:pt>
                <c:pt idx="930">
                  <c:v>-11.087701294168678</c:v>
                </c:pt>
                <c:pt idx="931">
                  <c:v>-11.100726743967822</c:v>
                </c:pt>
                <c:pt idx="932">
                  <c:v>-11.113752225413531</c:v>
                </c:pt>
                <c:pt idx="933">
                  <c:v>-11.126777738505405</c:v>
                </c:pt>
                <c:pt idx="934">
                  <c:v>-11.13980328324304</c:v>
                </c:pt>
                <c:pt idx="935">
                  <c:v>-11.152828859626036</c:v>
                </c:pt>
                <c:pt idx="936">
                  <c:v>-11.16585446765399</c:v>
                </c:pt>
                <c:pt idx="937">
                  <c:v>-11.178880107326501</c:v>
                </c:pt>
                <c:pt idx="938">
                  <c:v>-11.191905778643168</c:v>
                </c:pt>
                <c:pt idx="939">
                  <c:v>-11.204931481603587</c:v>
                </c:pt>
                <c:pt idx="940">
                  <c:v>-11.21795721620736</c:v>
                </c:pt>
                <c:pt idx="941">
                  <c:v>-11.230982982454082</c:v>
                </c:pt>
                <c:pt idx="942">
                  <c:v>-11.244008780343353</c:v>
                </c:pt>
                <c:pt idx="943">
                  <c:v>-11.257034609874772</c:v>
                </c:pt>
                <c:pt idx="944">
                  <c:v>-11.270060471047936</c:v>
                </c:pt>
                <c:pt idx="945">
                  <c:v>-11.283086363862443</c:v>
                </c:pt>
                <c:pt idx="946">
                  <c:v>-11.296112288317893</c:v>
                </c:pt>
                <c:pt idx="947">
                  <c:v>-11.309138244413882</c:v>
                </c:pt>
                <c:pt idx="948">
                  <c:v>-11.32216423215001</c:v>
                </c:pt>
                <c:pt idx="949">
                  <c:v>-11.335190251525876</c:v>
                </c:pt>
                <c:pt idx="950">
                  <c:v>-11.348216302541077</c:v>
                </c:pt>
                <c:pt idx="951">
                  <c:v>-11.361242385195212</c:v>
                </c:pt>
                <c:pt idx="952">
                  <c:v>-11.374268499487878</c:v>
                </c:pt>
                <c:pt idx="953">
                  <c:v>-11.387294645418674</c:v>
                </c:pt>
                <c:pt idx="954">
                  <c:v>-11.400320822987199</c:v>
                </c:pt>
                <c:pt idx="955">
                  <c:v>-11.413347032193052</c:v>
                </c:pt>
                <c:pt idx="956">
                  <c:v>-11.42637327303583</c:v>
                </c:pt>
                <c:pt idx="957">
                  <c:v>-11.439399545515133</c:v>
                </c:pt>
                <c:pt idx="958">
                  <c:v>-11.452425849630558</c:v>
                </c:pt>
                <c:pt idx="959">
                  <c:v>-11.465452185381704</c:v>
                </c:pt>
                <c:pt idx="960">
                  <c:v>-11.478478552768168</c:v>
                </c:pt>
                <c:pt idx="961">
                  <c:v>-11.491504951789549</c:v>
                </c:pt>
                <c:pt idx="962">
                  <c:v>-11.504531382445446</c:v>
                </c:pt>
                <c:pt idx="963">
                  <c:v>-11.517557844735457</c:v>
                </c:pt>
                <c:pt idx="964">
                  <c:v>-11.53058433865918</c:v>
                </c:pt>
                <c:pt idx="965">
                  <c:v>-11.543610864216214</c:v>
                </c:pt>
                <c:pt idx="966">
                  <c:v>-11.556637421406158</c:v>
                </c:pt>
                <c:pt idx="967">
                  <c:v>-11.56966401022861</c:v>
                </c:pt>
                <c:pt idx="968">
                  <c:v>-11.582690630683167</c:v>
                </c:pt>
                <c:pt idx="969">
                  <c:v>-11.59571728276943</c:v>
                </c:pt>
                <c:pt idx="970">
                  <c:v>-11.608743966486994</c:v>
                </c:pt>
                <c:pt idx="971">
                  <c:v>-11.621770681835459</c:v>
                </c:pt>
                <c:pt idx="972">
                  <c:v>-11.634797428814425</c:v>
                </c:pt>
                <c:pt idx="973">
                  <c:v>-11.647824207423488</c:v>
                </c:pt>
                <c:pt idx="974">
                  <c:v>-11.660851017662248</c:v>
                </c:pt>
                <c:pt idx="975">
                  <c:v>-11.673877859530302</c:v>
                </c:pt>
                <c:pt idx="976">
                  <c:v>-11.68690473302725</c:v>
                </c:pt>
                <c:pt idx="977">
                  <c:v>-11.699931638152687</c:v>
                </c:pt>
                <c:pt idx="978">
                  <c:v>-11.712958574906216</c:v>
                </c:pt>
                <c:pt idx="979">
                  <c:v>-11.725985543287432</c:v>
                </c:pt>
                <c:pt idx="980">
                  <c:v>-11.739012543295937</c:v>
                </c:pt>
                <c:pt idx="981">
                  <c:v>-11.752039574931326</c:v>
                </c:pt>
                <c:pt idx="982">
                  <c:v>-11.765066638193197</c:v>
                </c:pt>
                <c:pt idx="983">
                  <c:v>-11.778093733081151</c:v>
                </c:pt>
                <c:pt idx="984">
                  <c:v>-11.791120859594786</c:v>
                </c:pt>
                <c:pt idx="985">
                  <c:v>-11.804148017733699</c:v>
                </c:pt>
                <c:pt idx="986">
                  <c:v>-11.81717520749749</c:v>
                </c:pt>
                <c:pt idx="987">
                  <c:v>-11.830202428885757</c:v>
                </c:pt>
                <c:pt idx="988">
                  <c:v>-11.843229681898098</c:v>
                </c:pt>
                <c:pt idx="989">
                  <c:v>-11.856256966534112</c:v>
                </c:pt>
                <c:pt idx="990">
                  <c:v>-11.869284282793396</c:v>
                </c:pt>
                <c:pt idx="991">
                  <c:v>-11.882311630675549</c:v>
                </c:pt>
                <c:pt idx="992">
                  <c:v>-11.895339010180169</c:v>
                </c:pt>
                <c:pt idx="993">
                  <c:v>-11.908366421306857</c:v>
                </c:pt>
                <c:pt idx="994">
                  <c:v>-11.92139386405521</c:v>
                </c:pt>
                <c:pt idx="995">
                  <c:v>-11.934421338424825</c:v>
                </c:pt>
                <c:pt idx="996">
                  <c:v>-11.947448844415302</c:v>
                </c:pt>
                <c:pt idx="997">
                  <c:v>-11.960476382026238</c:v>
                </c:pt>
                <c:pt idx="998">
                  <c:v>-11.973503951257234</c:v>
                </c:pt>
                <c:pt idx="999">
                  <c:v>-11.986531552107886</c:v>
                </c:pt>
                <c:pt idx="1000">
                  <c:v>-11.999559184577793</c:v>
                </c:pt>
              </c:numCache>
            </c:numRef>
          </c:yVal>
          <c:smooth val="0"/>
          <c:extLst>
            <c:ext xmlns:c16="http://schemas.microsoft.com/office/drawing/2014/chart" uri="{C3380CC4-5D6E-409C-BE32-E72D297353CC}">
              <c16:uniqueId val="{00000001-5211-46C7-9CDC-5ABB17BE7C67}"/>
            </c:ext>
          </c:extLst>
        </c:ser>
        <c:dLbls>
          <c:showLegendKey val="0"/>
          <c:showVal val="0"/>
          <c:showCatName val="0"/>
          <c:showSerName val="0"/>
          <c:showPercent val="0"/>
          <c:showBubbleSize val="0"/>
        </c:dLbls>
        <c:axId val="149619072"/>
        <c:axId val="149620992"/>
      </c:scatterChart>
      <c:valAx>
        <c:axId val="149619072"/>
        <c:scaling>
          <c:orientation val="minMax"/>
        </c:scaling>
        <c:delete val="0"/>
        <c:axPos val="b"/>
        <c:majorGridlines>
          <c:spPr>
            <a:ln w="3175">
              <a:solidFill>
                <a:srgbClr val="000000"/>
              </a:solidFill>
              <a:prstDash val="sysDash"/>
            </a:ln>
          </c:spPr>
        </c:majorGridlines>
        <c:title>
          <c:tx>
            <c:strRef>
              <c:f>Courbes!$B$146</c:f>
              <c:strCache>
                <c:ptCount val="1"/>
                <c:pt idx="0">
                  <c:v>Temps [s]</c:v>
                </c:pt>
              </c:strCache>
            </c:strRef>
          </c:tx>
          <c:overlay val="0"/>
          <c:txPr>
            <a:bodyPr/>
            <a:lstStyle/>
            <a:p>
              <a:pPr>
                <a:defRPr sz="1000" b="0" i="0" u="none" strike="noStrike" baseline="0">
                  <a:solidFill>
                    <a:srgbClr val="000000"/>
                  </a:solidFill>
                  <a:latin typeface="Arial"/>
                  <a:ea typeface="Arial"/>
                  <a:cs typeface="Arial"/>
                </a:defRPr>
              </a:pPr>
              <a:endParaRPr lang="fr-FR"/>
            </a:p>
          </c:tx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fr-FR"/>
          </a:p>
        </c:txPr>
        <c:crossAx val="149620992"/>
        <c:crosses val="autoZero"/>
        <c:crossBetween val="midCat"/>
      </c:valAx>
      <c:valAx>
        <c:axId val="149620992"/>
        <c:scaling>
          <c:orientation val="minMax"/>
          <c:min val="0"/>
        </c:scaling>
        <c:delete val="0"/>
        <c:axPos val="l"/>
        <c:majorGridlines>
          <c:spPr>
            <a:ln w="3175">
              <a:solidFill>
                <a:srgbClr val="000000"/>
              </a:solidFill>
              <a:prstDash val="sysDash"/>
            </a:ln>
          </c:spPr>
        </c:majorGridlines>
        <c:title>
          <c:tx>
            <c:rich>
              <a:bodyPr/>
              <a:lstStyle/>
              <a:p>
                <a:pPr>
                  <a:defRPr sz="1175" b="1" i="0" u="none" strike="noStrike" baseline="0">
                    <a:solidFill>
                      <a:srgbClr val="000000"/>
                    </a:solidFill>
                    <a:latin typeface="Arial"/>
                    <a:ea typeface="Arial"/>
                    <a:cs typeface="Arial"/>
                  </a:defRPr>
                </a:pPr>
                <a:r>
                  <a:rPr lang="fr-FR"/>
                  <a:t>Positions [m]</a:t>
                </a:r>
              </a:p>
            </c:rich>
          </c:tx>
          <c:layout>
            <c:manualLayout>
              <c:xMode val="edge"/>
              <c:yMode val="edge"/>
              <c:x val="2.0047169811320761E-2"/>
              <c:y val="0.300654768153980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fr-FR"/>
          </a:p>
        </c:txPr>
        <c:crossAx val="149619072"/>
        <c:crosses val="autoZero"/>
        <c:crossBetween val="midCat"/>
      </c:valAx>
      <c:spPr>
        <a:noFill/>
        <a:ln w="12700">
          <a:solidFill>
            <a:srgbClr val="808080"/>
          </a:solidFill>
          <a:prstDash val="solid"/>
        </a:ln>
      </c:spPr>
    </c:plotArea>
    <c:legend>
      <c:legendPos val="r"/>
      <c:layout>
        <c:manualLayout>
          <c:xMode val="edge"/>
          <c:yMode val="edge"/>
          <c:x val="0.8286169712276531"/>
          <c:y val="0.4888892388451444"/>
          <c:w val="0.13679257663546773"/>
          <c:h val="0.15777777777777779"/>
        </c:manualLayout>
      </c:layout>
      <c:overlay val="0"/>
      <c:spPr>
        <a:solidFill>
          <a:srgbClr val="FFFFFF"/>
        </a:solidFill>
        <a:ln w="3175">
          <a:solidFill>
            <a:srgbClr val="000000"/>
          </a:solidFill>
          <a:prstDash val="solid"/>
        </a:ln>
      </c:spPr>
      <c:txPr>
        <a:bodyPr/>
        <a:lstStyle/>
        <a:p>
          <a:pPr>
            <a:defRPr sz="970" b="0" i="0" u="none" strike="noStrike" baseline="0">
              <a:solidFill>
                <a:srgbClr val="000000"/>
              </a:solidFill>
              <a:latin typeface="Arial"/>
              <a:ea typeface="Arial"/>
              <a:cs typeface="Arial"/>
            </a:defRPr>
          </a:pPr>
          <a:endParaRPr lang="fr-FR"/>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1180555555555562" footer="0.5118055555555556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Propu!$A$2</c:f>
          <c:strCache>
            <c:ptCount val="1"/>
            <c:pt idx="0">
              <c:v>Barasinga (Pro54-5G C)</c:v>
            </c:pt>
          </c:strCache>
        </c:strRef>
      </c:tx>
      <c:layout>
        <c:manualLayout>
          <c:xMode val="edge"/>
          <c:yMode val="edge"/>
          <c:x val="0.47127077646762688"/>
          <c:y val="3.9178592393174498E-2"/>
        </c:manualLayout>
      </c:layout>
      <c:overlay val="0"/>
      <c:txPr>
        <a:bodyPr/>
        <a:lstStyle/>
        <a:p>
          <a:pPr>
            <a:defRPr sz="1200" b="0" i="0" u="none" strike="noStrike" baseline="0">
              <a:solidFill>
                <a:srgbClr val="000000"/>
              </a:solidFill>
              <a:latin typeface="Arial"/>
              <a:ea typeface="Arial"/>
              <a:cs typeface="Arial"/>
            </a:defRPr>
          </a:pPr>
          <a:endParaRPr lang="fr-FR"/>
        </a:p>
      </c:txPr>
    </c:title>
    <c:autoTitleDeleted val="0"/>
    <c:plotArea>
      <c:layout>
        <c:manualLayout>
          <c:layoutTarget val="inner"/>
          <c:xMode val="edge"/>
          <c:yMode val="edge"/>
          <c:x val="7.2496559551677733E-2"/>
          <c:y val="5.5426586068345711E-2"/>
          <c:w val="0.88973722710617964"/>
          <c:h val="0.82390179871348956"/>
        </c:manualLayout>
      </c:layout>
      <c:scatterChart>
        <c:scatterStyle val="lineMarker"/>
        <c:varyColors val="0"/>
        <c:ser>
          <c:idx val="0"/>
          <c:order val="0"/>
          <c:tx>
            <c:strRef>
              <c:f>Propu!$A$4</c:f>
              <c:strCache>
                <c:ptCount val="1"/>
                <c:pt idx="0">
                  <c:v>Poussée (en N)</c:v>
                </c:pt>
              </c:strCache>
            </c:strRef>
          </c:tx>
          <c:spPr>
            <a:ln w="25400">
              <a:solidFill>
                <a:srgbClr val="004586"/>
              </a:solidFill>
              <a:prstDash val="solid"/>
            </a:ln>
          </c:spPr>
          <c:marker>
            <c:symbol val="square"/>
            <c:size val="4"/>
            <c:spPr>
              <a:solidFill>
                <a:srgbClr val="004586"/>
              </a:solidFill>
              <a:ln>
                <a:solidFill>
                  <a:srgbClr val="004586"/>
                </a:solidFill>
                <a:prstDash val="solid"/>
              </a:ln>
            </c:spPr>
          </c:marker>
          <c:xVal>
            <c:numRef>
              <c:f>Propu!$B$3:$X$3</c:f>
              <c:numCache>
                <c:formatCode>General</c:formatCode>
                <c:ptCount val="23"/>
                <c:pt idx="0">
                  <c:v>0</c:v>
                </c:pt>
                <c:pt idx="1">
                  <c:v>0.05</c:v>
                </c:pt>
                <c:pt idx="2">
                  <c:v>0.5</c:v>
                </c:pt>
                <c:pt idx="3">
                  <c:v>1</c:v>
                </c:pt>
                <c:pt idx="4">
                  <c:v>1.5</c:v>
                </c:pt>
                <c:pt idx="5">
                  <c:v>2</c:v>
                </c:pt>
                <c:pt idx="6">
                  <c:v>2.5</c:v>
                </c:pt>
                <c:pt idx="7">
                  <c:v>2.97</c:v>
                </c:pt>
                <c:pt idx="8">
                  <c:v>3.2</c:v>
                </c:pt>
                <c:pt idx="9">
                  <c:v>3.47</c:v>
                </c:pt>
                <c:pt idx="10">
                  <c:v>3.59</c:v>
                </c:pt>
                <c:pt idx="11">
                  <c:v>3.59</c:v>
                </c:pt>
                <c:pt idx="12">
                  <c:v>3.59</c:v>
                </c:pt>
                <c:pt idx="13">
                  <c:v>3.59</c:v>
                </c:pt>
                <c:pt idx="14">
                  <c:v>3.59</c:v>
                </c:pt>
                <c:pt idx="15">
                  <c:v>3.59</c:v>
                </c:pt>
                <c:pt idx="16">
                  <c:v>3.59</c:v>
                </c:pt>
                <c:pt idx="17">
                  <c:v>3.59</c:v>
                </c:pt>
                <c:pt idx="18">
                  <c:v>3.59</c:v>
                </c:pt>
                <c:pt idx="19">
                  <c:v>3.59</c:v>
                </c:pt>
                <c:pt idx="20">
                  <c:v>3.59</c:v>
                </c:pt>
                <c:pt idx="21">
                  <c:v>3.59</c:v>
                </c:pt>
                <c:pt idx="22">
                  <c:v>3.59</c:v>
                </c:pt>
              </c:numCache>
            </c:numRef>
          </c:xVal>
          <c:yVal>
            <c:numRef>
              <c:f>Propu!$B$4:$X$4</c:f>
              <c:numCache>
                <c:formatCode>General</c:formatCode>
                <c:ptCount val="23"/>
                <c:pt idx="0">
                  <c:v>0</c:v>
                </c:pt>
                <c:pt idx="1">
                  <c:v>893</c:v>
                </c:pt>
                <c:pt idx="2">
                  <c:v>798</c:v>
                </c:pt>
                <c:pt idx="3">
                  <c:v>739</c:v>
                </c:pt>
                <c:pt idx="4">
                  <c:v>659</c:v>
                </c:pt>
                <c:pt idx="5">
                  <c:v>586</c:v>
                </c:pt>
                <c:pt idx="6">
                  <c:v>513</c:v>
                </c:pt>
                <c:pt idx="7">
                  <c:v>417</c:v>
                </c:pt>
                <c:pt idx="8">
                  <c:v>225</c:v>
                </c:pt>
                <c:pt idx="9">
                  <c:v>67</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0"/>
          <c:extLst>
            <c:ext xmlns:c16="http://schemas.microsoft.com/office/drawing/2014/chart" uri="{C3380CC4-5D6E-409C-BE32-E72D297353CC}">
              <c16:uniqueId val="{00000000-C43E-4261-967D-58C468C3177D}"/>
            </c:ext>
          </c:extLst>
        </c:ser>
        <c:dLbls>
          <c:showLegendKey val="0"/>
          <c:showVal val="0"/>
          <c:showCatName val="0"/>
          <c:showSerName val="0"/>
          <c:showPercent val="0"/>
          <c:showBubbleSize val="0"/>
        </c:dLbls>
        <c:axId val="193428480"/>
        <c:axId val="193451520"/>
      </c:scatterChart>
      <c:valAx>
        <c:axId val="193428480"/>
        <c:scaling>
          <c:orientation val="minMax"/>
        </c:scaling>
        <c:delete val="0"/>
        <c:axPos val="b"/>
        <c:majorGridlines>
          <c:spPr>
            <a:ln w="3175">
              <a:solidFill>
                <a:srgbClr val="B3B3B3"/>
              </a:solidFill>
              <a:prstDash val="sysDash"/>
            </a:ln>
          </c:spPr>
        </c:majorGridlines>
        <c:title>
          <c:tx>
            <c:rich>
              <a:bodyPr/>
              <a:lstStyle/>
              <a:p>
                <a:pPr>
                  <a:defRPr sz="1000" b="0" i="0" u="none" strike="noStrike" baseline="0">
                    <a:solidFill>
                      <a:srgbClr val="000000"/>
                    </a:solidFill>
                    <a:latin typeface="Arial"/>
                    <a:ea typeface="Arial"/>
                    <a:cs typeface="Arial"/>
                  </a:defRPr>
                </a:pPr>
                <a:r>
                  <a:rPr lang="fr-FR"/>
                  <a:t>Temps / Time [s]</a:t>
                </a:r>
              </a:p>
            </c:rich>
          </c:tx>
          <c:layout>
            <c:manualLayout>
              <c:xMode val="edge"/>
              <c:yMode val="edge"/>
              <c:x val="0.78665554917523417"/>
              <c:y val="0.68868125417484782"/>
            </c:manualLayout>
          </c:layout>
          <c:overlay val="0"/>
          <c:spPr>
            <a:noFill/>
            <a:ln w="25400">
              <a:noFill/>
            </a:ln>
          </c:spPr>
        </c:title>
        <c:numFmt formatCode="General" sourceLinked="1"/>
        <c:majorTickMark val="out"/>
        <c:minorTickMark val="none"/>
        <c:tickLblPos val="nextTo"/>
        <c:spPr>
          <a:ln w="3175">
            <a:solidFill>
              <a:srgbClr val="B3B3B3"/>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3451520"/>
        <c:crosses val="autoZero"/>
        <c:crossBetween val="midCat"/>
      </c:valAx>
      <c:valAx>
        <c:axId val="193451520"/>
        <c:scaling>
          <c:orientation val="minMax"/>
        </c:scaling>
        <c:delete val="0"/>
        <c:axPos val="l"/>
        <c:majorGridlines>
          <c:spPr>
            <a:ln w="3175">
              <a:solidFill>
                <a:srgbClr val="B3B3B3"/>
              </a:solidFill>
              <a:prstDash val="sysDash"/>
            </a:ln>
          </c:spPr>
        </c:majorGridlines>
        <c:title>
          <c:tx>
            <c:rich>
              <a:bodyPr/>
              <a:lstStyle/>
              <a:p>
                <a:pPr>
                  <a:defRPr sz="1000" b="0" i="0" u="none" strike="noStrike" baseline="0">
                    <a:solidFill>
                      <a:srgbClr val="000000"/>
                    </a:solidFill>
                    <a:latin typeface="Arial"/>
                    <a:ea typeface="Arial"/>
                    <a:cs typeface="Arial"/>
                  </a:defRPr>
                </a:pPr>
                <a:r>
                  <a:rPr lang="fr-FR"/>
                  <a:t>Poussée / Thrust [N]</a:t>
                </a:r>
              </a:p>
            </c:rich>
          </c:tx>
          <c:layout>
            <c:manualLayout>
              <c:xMode val="edge"/>
              <c:yMode val="edge"/>
              <c:x val="8.5144147191391295E-2"/>
              <c:y val="0.35327652166872459"/>
            </c:manualLayout>
          </c:layout>
          <c:overlay val="0"/>
          <c:spPr>
            <a:noFill/>
            <a:ln w="25400">
              <a:noFill/>
            </a:ln>
          </c:spPr>
        </c:title>
        <c:numFmt formatCode="General" sourceLinked="1"/>
        <c:majorTickMark val="out"/>
        <c:minorTickMark val="none"/>
        <c:tickLblPos val="nextTo"/>
        <c:spPr>
          <a:ln w="3175">
            <a:solidFill>
              <a:srgbClr val="B3B3B3"/>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3428480"/>
        <c:crosses val="autoZero"/>
        <c:crossBetween val="midCat"/>
      </c:valAx>
      <c:spPr>
        <a:noFill/>
        <a:ln w="3175">
          <a:solidFill>
            <a:srgbClr val="B3B3B3"/>
          </a:solidFill>
          <a:prstDash val="solid"/>
        </a:ln>
      </c:spPr>
    </c:plotArea>
    <c:plotVisOnly val="0"/>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1180555555555562" footer="0.51180555555555562"/>
    <c:pageSetup firstPageNumber="0" orientation="landscape" horizontalDpi="1200" verticalDpi="12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Abaco!$B$75</c:f>
          <c:strCache>
            <c:ptCount val="1"/>
            <c:pt idx="0">
              <c:v>Vitesse max / Masse totale</c:v>
            </c:pt>
          </c:strCache>
        </c:strRef>
      </c:tx>
      <c:layout>
        <c:manualLayout>
          <c:xMode val="edge"/>
          <c:yMode val="edge"/>
          <c:x val="0.32580555555555563"/>
          <c:y val="3.2407484861159096E-2"/>
        </c:manualLayout>
      </c:layout>
      <c:overlay val="1"/>
      <c:txPr>
        <a:bodyPr/>
        <a:lstStyle/>
        <a:p>
          <a:pPr>
            <a:defRPr sz="1800" b="1" i="0" u="none" strike="noStrike" baseline="0">
              <a:solidFill>
                <a:srgbClr val="000000"/>
              </a:solidFill>
              <a:latin typeface="Calibri"/>
              <a:ea typeface="Calibri"/>
              <a:cs typeface="Calibri"/>
            </a:defRPr>
          </a:pPr>
          <a:endParaRPr lang="fr-FR"/>
        </a:p>
      </c:txPr>
    </c:title>
    <c:autoTitleDeleted val="0"/>
    <c:plotArea>
      <c:layout>
        <c:manualLayout>
          <c:layoutTarget val="inner"/>
          <c:xMode val="edge"/>
          <c:yMode val="edge"/>
          <c:x val="0.13612729658792738"/>
          <c:y val="5.1400554097404488E-2"/>
          <c:w val="0.81367125984251965"/>
          <c:h val="0.8326195683872849"/>
        </c:manualLayout>
      </c:layout>
      <c:scatterChart>
        <c:scatterStyle val="lineMarker"/>
        <c:varyColors val="0"/>
        <c:ser>
          <c:idx val="0"/>
          <c:order val="0"/>
          <c:tx>
            <c:strRef>
              <c:f>Abaco!$B$41</c:f>
              <c:strCache>
                <c:ptCount val="1"/>
                <c:pt idx="0">
                  <c:v>Ø = 54 mm</c:v>
                </c:pt>
              </c:strCache>
            </c:strRef>
          </c:tx>
          <c:xVal>
            <c:numRef>
              <c:f>Abaco!$D$41:$D$49</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Abaco!$K$41:$K$49</c:f>
              <c:numCache>
                <c:formatCode>General" m/s"</c:formatCode>
                <c:ptCount val="9"/>
                <c:pt idx="0">
                  <c:v>793.5341125462329</c:v>
                </c:pt>
                <c:pt idx="1">
                  <c:v>525.4301626954491</c:v>
                </c:pt>
                <c:pt idx="2">
                  <c:v>348.06910948881563</c:v>
                </c:pt>
                <c:pt idx="3">
                  <c:v>250.89884713626304</c:v>
                </c:pt>
                <c:pt idx="4">
                  <c:v>191.85898527245055</c:v>
                </c:pt>
                <c:pt idx="5">
                  <c:v>152.63516766603738</c:v>
                </c:pt>
                <c:pt idx="6">
                  <c:v>124.81308568976426</c:v>
                </c:pt>
                <c:pt idx="7">
                  <c:v>104.09845392703114</c:v>
                </c:pt>
                <c:pt idx="8">
                  <c:v>88.095684713799457</c:v>
                </c:pt>
              </c:numCache>
            </c:numRef>
          </c:yVal>
          <c:smooth val="0"/>
          <c:extLst>
            <c:ext xmlns:c16="http://schemas.microsoft.com/office/drawing/2014/chart" uri="{C3380CC4-5D6E-409C-BE32-E72D297353CC}">
              <c16:uniqueId val="{00000000-8382-4354-92F7-57EAD12E4A14}"/>
            </c:ext>
          </c:extLst>
        </c:ser>
        <c:ser>
          <c:idx val="1"/>
          <c:order val="1"/>
          <c:tx>
            <c:strRef>
              <c:f>Abaco!$B$50</c:f>
              <c:strCache>
                <c:ptCount val="1"/>
                <c:pt idx="0">
                  <c:v>Ø = 100 mm</c:v>
                </c:pt>
              </c:strCache>
            </c:strRef>
          </c:tx>
          <c:xVal>
            <c:numRef>
              <c:f>Abaco!$D$50:$D$58</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Abaco!$K$50:$K$58</c:f>
              <c:numCache>
                <c:formatCode>General" m/s"</c:formatCode>
                <c:ptCount val="9"/>
                <c:pt idx="0">
                  <c:v>440.8679750600275</c:v>
                </c:pt>
                <c:pt idx="1">
                  <c:v>388.40946489416342</c:v>
                </c:pt>
                <c:pt idx="2">
                  <c:v>300.37005628556784</c:v>
                </c:pt>
                <c:pt idx="3">
                  <c:v>231.17898983141211</c:v>
                </c:pt>
                <c:pt idx="4">
                  <c:v>182.4203225443969</c:v>
                </c:pt>
                <c:pt idx="5">
                  <c:v>147.60934403440621</c:v>
                </c:pt>
                <c:pt idx="6">
                  <c:v>121.92130875274152</c:v>
                </c:pt>
                <c:pt idx="7">
                  <c:v>102.33599130067779</c:v>
                </c:pt>
                <c:pt idx="8">
                  <c:v>86.973587039544029</c:v>
                </c:pt>
              </c:numCache>
            </c:numRef>
          </c:yVal>
          <c:smooth val="0"/>
          <c:extLst>
            <c:ext xmlns:c16="http://schemas.microsoft.com/office/drawing/2014/chart" uri="{C3380CC4-5D6E-409C-BE32-E72D297353CC}">
              <c16:uniqueId val="{00000001-8382-4354-92F7-57EAD12E4A14}"/>
            </c:ext>
          </c:extLst>
        </c:ser>
        <c:ser>
          <c:idx val="2"/>
          <c:order val="2"/>
          <c:tx>
            <c:strRef>
              <c:f>Abaco!$B$59</c:f>
              <c:strCache>
                <c:ptCount val="1"/>
                <c:pt idx="0">
                  <c:v>Ø = 150 mm</c:v>
                </c:pt>
              </c:strCache>
            </c:strRef>
          </c:tx>
          <c:xVal>
            <c:numRef>
              <c:f>Abaco!$D$59:$D$67</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Abaco!$K$59:$K$67</c:f>
              <c:numCache>
                <c:formatCode>General" m/s"</c:formatCode>
                <c:ptCount val="9"/>
                <c:pt idx="0">
                  <c:v>294.14222484926927</c:v>
                </c:pt>
                <c:pt idx="1">
                  <c:v>281.75712807794514</c:v>
                </c:pt>
                <c:pt idx="2">
                  <c:v>245.90269773134759</c:v>
                </c:pt>
                <c:pt idx="3">
                  <c:v>204.16721390756734</c:v>
                </c:pt>
                <c:pt idx="4">
                  <c:v>168.22842085540515</c:v>
                </c:pt>
                <c:pt idx="5">
                  <c:v>139.64697105901661</c:v>
                </c:pt>
                <c:pt idx="6">
                  <c:v>117.19260267055883</c:v>
                </c:pt>
                <c:pt idx="7">
                  <c:v>99.394716324971341</c:v>
                </c:pt>
                <c:pt idx="8">
                  <c:v>85.075079703239751</c:v>
                </c:pt>
              </c:numCache>
            </c:numRef>
          </c:yVal>
          <c:smooth val="0"/>
          <c:extLst>
            <c:ext xmlns:c16="http://schemas.microsoft.com/office/drawing/2014/chart" uri="{C3380CC4-5D6E-409C-BE32-E72D297353CC}">
              <c16:uniqueId val="{00000002-8382-4354-92F7-57EAD12E4A14}"/>
            </c:ext>
          </c:extLst>
        </c:ser>
        <c:dLbls>
          <c:showLegendKey val="0"/>
          <c:showVal val="0"/>
          <c:showCatName val="0"/>
          <c:showSerName val="0"/>
          <c:showPercent val="0"/>
          <c:showBubbleSize val="0"/>
        </c:dLbls>
        <c:axId val="193467904"/>
        <c:axId val="193469824"/>
      </c:scatterChart>
      <c:valAx>
        <c:axId val="193467904"/>
        <c:scaling>
          <c:orientation val="minMax"/>
        </c:scaling>
        <c:delete val="0"/>
        <c:axPos val="b"/>
        <c:majorGridlines/>
        <c:title>
          <c:tx>
            <c:strRef>
              <c:f>Abaco!$B$73</c:f>
              <c:strCache>
                <c:ptCount val="1"/>
                <c:pt idx="0">
                  <c:v>Masse totale</c:v>
                </c:pt>
              </c:strCache>
            </c:strRef>
          </c:tx>
          <c:layout>
            <c:manualLayout>
              <c:xMode val="edge"/>
              <c:yMode val="edge"/>
              <c:x val="0.25133792650918629"/>
              <c:y val="0.80923605680929611"/>
            </c:manualLayout>
          </c:layout>
          <c:overlay val="0"/>
          <c:txPr>
            <a:bodyPr/>
            <a:lstStyle/>
            <a:p>
              <a:pPr>
                <a:defRPr sz="1000" b="1" i="0" u="none" strike="noStrike" baseline="0">
                  <a:solidFill>
                    <a:srgbClr val="000000"/>
                  </a:solidFill>
                  <a:latin typeface="Calibri"/>
                  <a:ea typeface="Calibri"/>
                  <a:cs typeface="Calibri"/>
                </a:defRPr>
              </a:pPr>
              <a:endParaRPr lang="fr-FR"/>
            </a:p>
          </c:txPr>
        </c:title>
        <c:numFmt formatCode="General\ &quot;kg&quot;"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93469824"/>
        <c:crosses val="autoZero"/>
        <c:crossBetween val="midCat"/>
      </c:valAx>
      <c:valAx>
        <c:axId val="193469824"/>
        <c:scaling>
          <c:orientation val="minMax"/>
        </c:scaling>
        <c:delete val="0"/>
        <c:axPos val="l"/>
        <c:majorGridlines/>
        <c:title>
          <c:tx>
            <c:strRef>
              <c:f>Abaco!$B$74</c:f>
              <c:strCache>
                <c:ptCount val="1"/>
                <c:pt idx="0">
                  <c:v>Vitesse max</c:v>
                </c:pt>
              </c:strCache>
            </c:strRef>
          </c:tx>
          <c:layout>
            <c:manualLayout>
              <c:xMode val="edge"/>
              <c:yMode val="edge"/>
              <c:x val="0.14166666666666666"/>
              <c:y val="5.803422378207343E-2"/>
            </c:manualLayout>
          </c:layout>
          <c:overlay val="0"/>
          <c:txPr>
            <a:bodyPr/>
            <a:lstStyle/>
            <a:p>
              <a:pPr>
                <a:defRPr sz="1000" b="1" i="0" u="none" strike="noStrike" baseline="0">
                  <a:solidFill>
                    <a:srgbClr val="000000"/>
                  </a:solidFill>
                  <a:latin typeface="Calibri"/>
                  <a:ea typeface="Calibri"/>
                  <a:cs typeface="Calibri"/>
                </a:defRPr>
              </a:pPr>
              <a:endParaRPr lang="fr-FR"/>
            </a:p>
          </c:txPr>
        </c:title>
        <c:numFmt formatCode="General&quot; m/s&quot;"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93467904"/>
        <c:crosses val="autoZero"/>
        <c:crossBetween val="midCat"/>
      </c:valAx>
    </c:plotArea>
    <c:legend>
      <c:legendPos val="r"/>
      <c:layout>
        <c:manualLayout>
          <c:xMode val="edge"/>
          <c:yMode val="edge"/>
          <c:x val="0.71944466316710431"/>
          <c:y val="0.18706733829172051"/>
          <c:w val="0.20833333333333343"/>
          <c:h val="0.24711352766816386"/>
        </c:manualLayout>
      </c:layout>
      <c:overlay val="0"/>
      <c:spPr>
        <a:solidFill>
          <a:schemeClr val="bg1"/>
        </a:solidFill>
      </c:spPr>
      <c:txPr>
        <a:bodyPr/>
        <a:lstStyle/>
        <a:p>
          <a:pPr>
            <a:defRPr sz="920" b="0" i="0" u="none" strike="noStrike" baseline="0">
              <a:solidFill>
                <a:srgbClr val="000000"/>
              </a:solidFill>
              <a:latin typeface="Calibri"/>
              <a:ea typeface="Calibri"/>
              <a:cs typeface="Calibri"/>
            </a:defRPr>
          </a:pPr>
          <a:endParaRPr lang="fr-F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2" l="0.70000000000000062" r="0.70000000000000062" t="0.750000000000002"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Abaco!$B$77</c:f>
          <c:strCache>
            <c:ptCount val="1"/>
            <c:pt idx="0">
              <c:v>Altitude max / Masse totale</c:v>
            </c:pt>
          </c:strCache>
        </c:strRef>
      </c:tx>
      <c:layout>
        <c:manualLayout>
          <c:xMode val="edge"/>
          <c:yMode val="edge"/>
          <c:x val="0.32580555555555563"/>
          <c:y val="3.2407517456544362E-2"/>
        </c:manualLayout>
      </c:layout>
      <c:overlay val="1"/>
      <c:txPr>
        <a:bodyPr/>
        <a:lstStyle/>
        <a:p>
          <a:pPr>
            <a:defRPr sz="1800" b="1" i="0" u="none" strike="noStrike" baseline="0">
              <a:solidFill>
                <a:srgbClr val="000000"/>
              </a:solidFill>
              <a:latin typeface="Calibri"/>
              <a:ea typeface="Calibri"/>
              <a:cs typeface="Calibri"/>
            </a:defRPr>
          </a:pPr>
          <a:endParaRPr lang="fr-FR"/>
        </a:p>
      </c:txPr>
    </c:title>
    <c:autoTitleDeleted val="0"/>
    <c:plotArea>
      <c:layout>
        <c:manualLayout>
          <c:layoutTarget val="inner"/>
          <c:xMode val="edge"/>
          <c:yMode val="edge"/>
          <c:x val="0.13612729658792738"/>
          <c:y val="5.1400554097404488E-2"/>
          <c:w val="0.81367125984251965"/>
          <c:h val="0.8326195683872849"/>
        </c:manualLayout>
      </c:layout>
      <c:scatterChart>
        <c:scatterStyle val="lineMarker"/>
        <c:varyColors val="0"/>
        <c:ser>
          <c:idx val="0"/>
          <c:order val="0"/>
          <c:tx>
            <c:strRef>
              <c:f>Abaco!$B$41</c:f>
              <c:strCache>
                <c:ptCount val="1"/>
                <c:pt idx="0">
                  <c:v>Ø = 54 mm</c:v>
                </c:pt>
              </c:strCache>
            </c:strRef>
          </c:tx>
          <c:xVal>
            <c:numRef>
              <c:f>Abaco!$D$41:$D$49</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Abaco!$L$41:$L$49</c:f>
              <c:numCache>
                <c:formatCode>General" m"</c:formatCode>
                <c:ptCount val="9"/>
                <c:pt idx="0">
                  <c:v>3706.6765556662222</c:v>
                </c:pt>
                <c:pt idx="1">
                  <c:v>4589.3766168444445</c:v>
                </c:pt>
                <c:pt idx="2">
                  <c:v>3851.8574605718813</c:v>
                </c:pt>
                <c:pt idx="3">
                  <c:v>2789.5253358110513</c:v>
                </c:pt>
                <c:pt idx="4">
                  <c:v>1940.3134776786428</c:v>
                </c:pt>
                <c:pt idx="5">
                  <c:v>1361.3085286926996</c:v>
                </c:pt>
                <c:pt idx="6">
                  <c:v>978.73742105421877</c:v>
                </c:pt>
                <c:pt idx="7">
                  <c:v>722.49088308379805</c:v>
                </c:pt>
                <c:pt idx="8">
                  <c:v>546.15760167035467</c:v>
                </c:pt>
              </c:numCache>
            </c:numRef>
          </c:yVal>
          <c:smooth val="0"/>
          <c:extLst>
            <c:ext xmlns:c16="http://schemas.microsoft.com/office/drawing/2014/chart" uri="{C3380CC4-5D6E-409C-BE32-E72D297353CC}">
              <c16:uniqueId val="{00000000-6F49-4F4F-B3BF-9BCBBF61FF1E}"/>
            </c:ext>
          </c:extLst>
        </c:ser>
        <c:ser>
          <c:idx val="1"/>
          <c:order val="1"/>
          <c:tx>
            <c:strRef>
              <c:f>Abaco!$B$50</c:f>
              <c:strCache>
                <c:ptCount val="1"/>
                <c:pt idx="0">
                  <c:v>Ø = 100 mm</c:v>
                </c:pt>
              </c:strCache>
            </c:strRef>
          </c:tx>
          <c:xVal>
            <c:numRef>
              <c:f>Abaco!$D$50:$D$58</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Abaco!$L$50:$L$58</c:f>
              <c:numCache>
                <c:formatCode>General" m"</c:formatCode>
                <c:ptCount val="9"/>
                <c:pt idx="0">
                  <c:v>1810.1344051594069</c:v>
                </c:pt>
                <c:pt idx="1">
                  <c:v>2168.3365694395015</c:v>
                </c:pt>
                <c:pt idx="2">
                  <c:v>2107.8895510174425</c:v>
                </c:pt>
                <c:pt idx="3">
                  <c:v>1819.5302888067586</c:v>
                </c:pt>
                <c:pt idx="4">
                  <c:v>1463.0001168805479</c:v>
                </c:pt>
                <c:pt idx="5">
                  <c:v>1134.980956177792</c:v>
                </c:pt>
                <c:pt idx="6">
                  <c:v>870.34389122679318</c:v>
                </c:pt>
                <c:pt idx="7">
                  <c:v>668.93574353600479</c:v>
                </c:pt>
                <c:pt idx="8">
                  <c:v>518.67826965542929</c:v>
                </c:pt>
              </c:numCache>
            </c:numRef>
          </c:yVal>
          <c:smooth val="0"/>
          <c:extLst>
            <c:ext xmlns:c16="http://schemas.microsoft.com/office/drawing/2014/chart" uri="{C3380CC4-5D6E-409C-BE32-E72D297353CC}">
              <c16:uniqueId val="{00000001-6F49-4F4F-B3BF-9BCBBF61FF1E}"/>
            </c:ext>
          </c:extLst>
        </c:ser>
        <c:ser>
          <c:idx val="2"/>
          <c:order val="2"/>
          <c:tx>
            <c:strRef>
              <c:f>Abaco!$B$59</c:f>
              <c:strCache>
                <c:ptCount val="1"/>
                <c:pt idx="0">
                  <c:v>Ø = 150 mm</c:v>
                </c:pt>
              </c:strCache>
            </c:strRef>
          </c:tx>
          <c:xVal>
            <c:numRef>
              <c:f>Abaco!$D$59:$D$67</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Abaco!$L$59:$L$67</c:f>
              <c:numCache>
                <c:formatCode>General" m"</c:formatCode>
                <c:ptCount val="9"/>
                <c:pt idx="0">
                  <c:v>1156.507295434059</c:v>
                </c:pt>
                <c:pt idx="1">
                  <c:v>1322.1353837723036</c:v>
                </c:pt>
                <c:pt idx="2">
                  <c:v>1332.3127997871693</c:v>
                </c:pt>
                <c:pt idx="3">
                  <c:v>1237.959513394351</c:v>
                </c:pt>
                <c:pt idx="4">
                  <c:v>1083.1141287517462</c:v>
                </c:pt>
                <c:pt idx="5">
                  <c:v>908.27720215666113</c:v>
                </c:pt>
                <c:pt idx="6">
                  <c:v>741.63617084723955</c:v>
                </c:pt>
                <c:pt idx="7">
                  <c:v>597.26398323291392</c:v>
                </c:pt>
                <c:pt idx="8">
                  <c:v>478.75165394263968</c:v>
                </c:pt>
              </c:numCache>
            </c:numRef>
          </c:yVal>
          <c:smooth val="0"/>
          <c:extLst>
            <c:ext xmlns:c16="http://schemas.microsoft.com/office/drawing/2014/chart" uri="{C3380CC4-5D6E-409C-BE32-E72D297353CC}">
              <c16:uniqueId val="{00000002-6F49-4F4F-B3BF-9BCBBF61FF1E}"/>
            </c:ext>
          </c:extLst>
        </c:ser>
        <c:dLbls>
          <c:showLegendKey val="0"/>
          <c:showVal val="0"/>
          <c:showCatName val="0"/>
          <c:showSerName val="0"/>
          <c:showPercent val="0"/>
          <c:showBubbleSize val="0"/>
        </c:dLbls>
        <c:axId val="193512576"/>
        <c:axId val="193514496"/>
      </c:scatterChart>
      <c:valAx>
        <c:axId val="193512576"/>
        <c:scaling>
          <c:orientation val="minMax"/>
        </c:scaling>
        <c:delete val="0"/>
        <c:axPos val="b"/>
        <c:majorGridlines/>
        <c:title>
          <c:tx>
            <c:strRef>
              <c:f>Abaco!$B$73</c:f>
              <c:strCache>
                <c:ptCount val="1"/>
                <c:pt idx="0">
                  <c:v>Masse totale</c:v>
                </c:pt>
              </c:strCache>
            </c:strRef>
          </c:tx>
          <c:layout>
            <c:manualLayout>
              <c:xMode val="edge"/>
              <c:yMode val="edge"/>
              <c:x val="0.25133792650918629"/>
              <c:y val="0.80923599762293852"/>
            </c:manualLayout>
          </c:layout>
          <c:overlay val="0"/>
          <c:txPr>
            <a:bodyPr/>
            <a:lstStyle/>
            <a:p>
              <a:pPr>
                <a:defRPr sz="1000" b="1" i="0" u="none" strike="noStrike" baseline="0">
                  <a:solidFill>
                    <a:srgbClr val="000000"/>
                  </a:solidFill>
                  <a:latin typeface="Calibri"/>
                  <a:ea typeface="Calibri"/>
                  <a:cs typeface="Calibri"/>
                </a:defRPr>
              </a:pPr>
              <a:endParaRPr lang="fr-FR"/>
            </a:p>
          </c:txPr>
        </c:title>
        <c:numFmt formatCode="General\ &quot;kg&quot;"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93514496"/>
        <c:crosses val="autoZero"/>
        <c:crossBetween val="midCat"/>
      </c:valAx>
      <c:valAx>
        <c:axId val="193514496"/>
        <c:scaling>
          <c:orientation val="minMax"/>
        </c:scaling>
        <c:delete val="0"/>
        <c:axPos val="l"/>
        <c:majorGridlines/>
        <c:title>
          <c:tx>
            <c:strRef>
              <c:f>Abaco!$B$76</c:f>
              <c:strCache>
                <c:ptCount val="1"/>
                <c:pt idx="0">
                  <c:v>Altitude max</c:v>
                </c:pt>
              </c:strCache>
            </c:strRef>
          </c:tx>
          <c:layout>
            <c:manualLayout>
              <c:xMode val="edge"/>
              <c:yMode val="edge"/>
              <c:x val="0.14166666666666666"/>
              <c:y val="5.8034467389689502E-2"/>
            </c:manualLayout>
          </c:layout>
          <c:overlay val="0"/>
          <c:txPr>
            <a:bodyPr/>
            <a:lstStyle/>
            <a:p>
              <a:pPr>
                <a:defRPr sz="1000" b="1" i="0" u="none" strike="noStrike" baseline="0">
                  <a:solidFill>
                    <a:srgbClr val="000000"/>
                  </a:solidFill>
                  <a:latin typeface="Calibri"/>
                  <a:ea typeface="Calibri"/>
                  <a:cs typeface="Calibri"/>
                </a:defRPr>
              </a:pPr>
              <a:endParaRPr lang="fr-FR"/>
            </a:p>
          </c:txPr>
        </c:title>
        <c:numFmt formatCode="General&quot; m&quot;"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93512576"/>
        <c:crosses val="autoZero"/>
        <c:crossBetween val="midCat"/>
      </c:valAx>
    </c:plotArea>
    <c:legend>
      <c:legendPos val="r"/>
      <c:layout>
        <c:manualLayout>
          <c:xMode val="edge"/>
          <c:yMode val="edge"/>
          <c:x val="0.71944466316710431"/>
          <c:y val="0.18396263556678061"/>
          <c:w val="0.20833333333333343"/>
          <c:h val="0.25235886198187502"/>
        </c:manualLayout>
      </c:layout>
      <c:overlay val="0"/>
      <c:spPr>
        <a:solidFill>
          <a:schemeClr val="bg1"/>
        </a:solidFill>
      </c:spPr>
      <c:txPr>
        <a:bodyPr/>
        <a:lstStyle/>
        <a:p>
          <a:pPr>
            <a:defRPr sz="920" b="0" i="0" u="none" strike="noStrike" baseline="0">
              <a:solidFill>
                <a:srgbClr val="000000"/>
              </a:solidFill>
              <a:latin typeface="Calibri"/>
              <a:ea typeface="Calibri"/>
              <a:cs typeface="Calibri"/>
            </a:defRPr>
          </a:pPr>
          <a:endParaRPr lang="fr-F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2" l="0.70000000000000062" r="0.70000000000000062" t="0.750000000000002"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Abaco!$B$79</c:f>
          <c:strCache>
            <c:ptCount val="1"/>
            <c:pt idx="0">
              <c:v>Temps de culmination / Masse totale</c:v>
            </c:pt>
          </c:strCache>
        </c:strRef>
      </c:tx>
      <c:layout>
        <c:manualLayout>
          <c:xMode val="edge"/>
          <c:yMode val="edge"/>
          <c:x val="0.18369438576275529"/>
          <c:y val="3.2407517456544362E-2"/>
        </c:manualLayout>
      </c:layout>
      <c:overlay val="1"/>
      <c:txPr>
        <a:bodyPr/>
        <a:lstStyle/>
        <a:p>
          <a:pPr>
            <a:defRPr sz="1800" b="1" i="0" u="none" strike="noStrike" baseline="0">
              <a:solidFill>
                <a:srgbClr val="000000"/>
              </a:solidFill>
              <a:latin typeface="Calibri"/>
              <a:ea typeface="Calibri"/>
              <a:cs typeface="Calibri"/>
            </a:defRPr>
          </a:pPr>
          <a:endParaRPr lang="fr-FR"/>
        </a:p>
      </c:txPr>
    </c:title>
    <c:autoTitleDeleted val="0"/>
    <c:plotArea>
      <c:layout>
        <c:manualLayout>
          <c:layoutTarget val="inner"/>
          <c:xMode val="edge"/>
          <c:yMode val="edge"/>
          <c:x val="0.13612729658792738"/>
          <c:y val="5.1400554097404488E-2"/>
          <c:w val="0.81367125984251965"/>
          <c:h val="0.8326195683872849"/>
        </c:manualLayout>
      </c:layout>
      <c:scatterChart>
        <c:scatterStyle val="lineMarker"/>
        <c:varyColors val="0"/>
        <c:ser>
          <c:idx val="0"/>
          <c:order val="0"/>
          <c:tx>
            <c:strRef>
              <c:f>Abaco!$B$41</c:f>
              <c:strCache>
                <c:ptCount val="1"/>
                <c:pt idx="0">
                  <c:v>Ø = 54 mm</c:v>
                </c:pt>
              </c:strCache>
            </c:strRef>
          </c:tx>
          <c:xVal>
            <c:numRef>
              <c:f>Abaco!$D$41:$D$49</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Abaco!$M$41:$M$49</c:f>
              <c:numCache>
                <c:formatCode>General" s"</c:formatCode>
                <c:ptCount val="9"/>
                <c:pt idx="0">
                  <c:v>16.576277929342474</c:v>
                </c:pt>
                <c:pt idx="1">
                  <c:v>25.736557200465661</c:v>
                </c:pt>
                <c:pt idx="2">
                  <c:v>26.698260250532879</c:v>
                </c:pt>
                <c:pt idx="3">
                  <c:v>24.302626147780835</c:v>
                </c:pt>
                <c:pt idx="4">
                  <c:v>21.130608417521142</c:v>
                </c:pt>
                <c:pt idx="5">
                  <c:v>18.246873263929302</c:v>
                </c:pt>
                <c:pt idx="6">
                  <c:v>15.878339568825421</c:v>
                </c:pt>
                <c:pt idx="7">
                  <c:v>13.978255786104395</c:v>
                </c:pt>
                <c:pt idx="8">
                  <c:v>12.449466004237792</c:v>
                </c:pt>
              </c:numCache>
            </c:numRef>
          </c:yVal>
          <c:smooth val="0"/>
          <c:extLst>
            <c:ext xmlns:c16="http://schemas.microsoft.com/office/drawing/2014/chart" uri="{C3380CC4-5D6E-409C-BE32-E72D297353CC}">
              <c16:uniqueId val="{00000000-EEC9-497F-8A5A-F89AAA328FE4}"/>
            </c:ext>
          </c:extLst>
        </c:ser>
        <c:ser>
          <c:idx val="1"/>
          <c:order val="1"/>
          <c:tx>
            <c:strRef>
              <c:f>Abaco!$B$50</c:f>
              <c:strCache>
                <c:ptCount val="1"/>
                <c:pt idx="0">
                  <c:v>Ø = 100 mm</c:v>
                </c:pt>
              </c:strCache>
            </c:strRef>
          </c:tx>
          <c:xVal>
            <c:numRef>
              <c:f>Abaco!$D$50:$D$58</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Abaco!$M$50:$M$58</c:f>
              <c:numCache>
                <c:formatCode>General" s"</c:formatCode>
                <c:ptCount val="9"/>
                <c:pt idx="0">
                  <c:v>10.617197358594709</c:v>
                </c:pt>
                <c:pt idx="1">
                  <c:v>16.335091648912972</c:v>
                </c:pt>
                <c:pt idx="2">
                  <c:v>18.488263220234025</c:v>
                </c:pt>
                <c:pt idx="3">
                  <c:v>18.700001422613056</c:v>
                </c:pt>
                <c:pt idx="4">
                  <c:v>17.770756343041676</c:v>
                </c:pt>
                <c:pt idx="5">
                  <c:v>16.331992884643896</c:v>
                </c:pt>
                <c:pt idx="6">
                  <c:v>14.792379210859584</c:v>
                </c:pt>
                <c:pt idx="7">
                  <c:v>13.351594706016535</c:v>
                </c:pt>
                <c:pt idx="8">
                  <c:v>12.078401270466379</c:v>
                </c:pt>
              </c:numCache>
            </c:numRef>
          </c:yVal>
          <c:smooth val="0"/>
          <c:extLst>
            <c:ext xmlns:c16="http://schemas.microsoft.com/office/drawing/2014/chart" uri="{C3380CC4-5D6E-409C-BE32-E72D297353CC}">
              <c16:uniqueId val="{00000001-EEC9-497F-8A5A-F89AAA328FE4}"/>
            </c:ext>
          </c:extLst>
        </c:ser>
        <c:ser>
          <c:idx val="2"/>
          <c:order val="2"/>
          <c:tx>
            <c:strRef>
              <c:f>Abaco!$B$59</c:f>
              <c:strCache>
                <c:ptCount val="1"/>
                <c:pt idx="0">
                  <c:v>Ø = 150 mm</c:v>
                </c:pt>
              </c:strCache>
            </c:strRef>
          </c:tx>
          <c:xVal>
            <c:numRef>
              <c:f>Abaco!$D$59:$D$67</c:f>
              <c:numCache>
                <c:formatCode>General\ "kg"</c:formatCode>
                <c:ptCount val="9"/>
                <c:pt idx="0">
                  <c:v>1.6850000000000001</c:v>
                </c:pt>
                <c:pt idx="1">
                  <c:v>3.6175000000000002</c:v>
                </c:pt>
                <c:pt idx="2">
                  <c:v>5.5500000000000007</c:v>
                </c:pt>
                <c:pt idx="3">
                  <c:v>7.4824999999999999</c:v>
                </c:pt>
                <c:pt idx="4">
                  <c:v>9.4150000000000009</c:v>
                </c:pt>
                <c:pt idx="5">
                  <c:v>11.347500000000002</c:v>
                </c:pt>
                <c:pt idx="6">
                  <c:v>13.280000000000001</c:v>
                </c:pt>
                <c:pt idx="7">
                  <c:v>15.2125</c:v>
                </c:pt>
                <c:pt idx="8">
                  <c:v>17.145</c:v>
                </c:pt>
              </c:numCache>
            </c:numRef>
          </c:xVal>
          <c:yVal>
            <c:numRef>
              <c:f>Abaco!$M$59:$M$67</c:f>
              <c:numCache>
                <c:formatCode>General" s"</c:formatCode>
                <c:ptCount val="9"/>
                <c:pt idx="0">
                  <c:v>8.2750626059727068</c:v>
                </c:pt>
                <c:pt idx="1">
                  <c:v>12.204855607681422</c:v>
                </c:pt>
                <c:pt idx="2">
                  <c:v>14.087733298055859</c:v>
                </c:pt>
                <c:pt idx="3">
                  <c:v>14.863739286110606</c:v>
                </c:pt>
                <c:pt idx="4">
                  <c:v>14.845422639650662</c:v>
                </c:pt>
                <c:pt idx="5">
                  <c:v>14.295900584357728</c:v>
                </c:pt>
                <c:pt idx="6">
                  <c:v>13.4507082694426</c:v>
                </c:pt>
                <c:pt idx="7">
                  <c:v>12.49038692281947</c:v>
                </c:pt>
                <c:pt idx="8">
                  <c:v>11.529495266328132</c:v>
                </c:pt>
              </c:numCache>
            </c:numRef>
          </c:yVal>
          <c:smooth val="0"/>
          <c:extLst>
            <c:ext xmlns:c16="http://schemas.microsoft.com/office/drawing/2014/chart" uri="{C3380CC4-5D6E-409C-BE32-E72D297353CC}">
              <c16:uniqueId val="{00000002-EEC9-497F-8A5A-F89AAA328FE4}"/>
            </c:ext>
          </c:extLst>
        </c:ser>
        <c:dLbls>
          <c:showLegendKey val="0"/>
          <c:showVal val="0"/>
          <c:showCatName val="0"/>
          <c:showSerName val="0"/>
          <c:showPercent val="0"/>
          <c:showBubbleSize val="0"/>
        </c:dLbls>
        <c:axId val="195678976"/>
        <c:axId val="195680896"/>
      </c:scatterChart>
      <c:valAx>
        <c:axId val="195678976"/>
        <c:scaling>
          <c:orientation val="minMax"/>
        </c:scaling>
        <c:delete val="0"/>
        <c:axPos val="b"/>
        <c:majorGridlines/>
        <c:title>
          <c:tx>
            <c:strRef>
              <c:f>Abaco!$B$73</c:f>
              <c:strCache>
                <c:ptCount val="1"/>
                <c:pt idx="0">
                  <c:v>Masse totale</c:v>
                </c:pt>
              </c:strCache>
            </c:strRef>
          </c:tx>
          <c:layout>
            <c:manualLayout>
              <c:xMode val="edge"/>
              <c:yMode val="edge"/>
              <c:x val="0.25133794251328334"/>
              <c:y val="0.80923599762293852"/>
            </c:manualLayout>
          </c:layout>
          <c:overlay val="0"/>
          <c:txPr>
            <a:bodyPr/>
            <a:lstStyle/>
            <a:p>
              <a:pPr>
                <a:defRPr sz="1000" b="1" i="0" u="none" strike="noStrike" baseline="0">
                  <a:solidFill>
                    <a:srgbClr val="000000"/>
                  </a:solidFill>
                  <a:latin typeface="Calibri"/>
                  <a:ea typeface="Calibri"/>
                  <a:cs typeface="Calibri"/>
                </a:defRPr>
              </a:pPr>
              <a:endParaRPr lang="fr-FR"/>
            </a:p>
          </c:txPr>
        </c:title>
        <c:numFmt formatCode="General\ &quot;kg&quot;"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95680896"/>
        <c:crosses val="autoZero"/>
        <c:crossBetween val="midCat"/>
      </c:valAx>
      <c:valAx>
        <c:axId val="195680896"/>
        <c:scaling>
          <c:orientation val="minMax"/>
        </c:scaling>
        <c:delete val="0"/>
        <c:axPos val="l"/>
        <c:majorGridlines/>
        <c:title>
          <c:tx>
            <c:strRef>
              <c:f>Abaco!$B$78</c:f>
              <c:strCache>
                <c:ptCount val="1"/>
                <c:pt idx="0">
                  <c:v>Temps de culmination</c:v>
                </c:pt>
              </c:strCache>
            </c:strRef>
          </c:tx>
          <c:layout>
            <c:manualLayout>
              <c:xMode val="edge"/>
              <c:yMode val="edge"/>
              <c:x val="0.14166677336064695"/>
              <c:y val="5.8034467389689502E-2"/>
            </c:manualLayout>
          </c:layout>
          <c:overlay val="0"/>
          <c:txPr>
            <a:bodyPr/>
            <a:lstStyle/>
            <a:p>
              <a:pPr>
                <a:defRPr sz="1000" b="1" i="0" u="none" strike="noStrike" baseline="0">
                  <a:solidFill>
                    <a:srgbClr val="000000"/>
                  </a:solidFill>
                  <a:latin typeface="Calibri"/>
                  <a:ea typeface="Calibri"/>
                  <a:cs typeface="Calibri"/>
                </a:defRPr>
              </a:pPr>
              <a:endParaRPr lang="fr-FR"/>
            </a:p>
          </c:txPr>
        </c:title>
        <c:numFmt formatCode="General&quot; s&quot;"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95678976"/>
        <c:crosses val="autoZero"/>
        <c:crossBetween val="midCat"/>
      </c:valAx>
    </c:plotArea>
    <c:legend>
      <c:legendPos val="r"/>
      <c:layout>
        <c:manualLayout>
          <c:xMode val="edge"/>
          <c:yMode val="edge"/>
          <c:x val="0.72357744916031841"/>
          <c:y val="0.18396263556678061"/>
          <c:w val="0.20325203252032525"/>
          <c:h val="0.25235886198187502"/>
        </c:manualLayout>
      </c:layout>
      <c:overlay val="0"/>
      <c:spPr>
        <a:solidFill>
          <a:schemeClr val="bg1"/>
        </a:solidFill>
      </c:spPr>
      <c:txPr>
        <a:bodyPr/>
        <a:lstStyle/>
        <a:p>
          <a:pPr>
            <a:defRPr sz="920" b="0" i="0" u="none" strike="noStrike" baseline="0">
              <a:solidFill>
                <a:srgbClr val="000000"/>
              </a:solidFill>
              <a:latin typeface="Calibri"/>
              <a:ea typeface="Calibri"/>
              <a:cs typeface="Calibri"/>
            </a:defRPr>
          </a:pPr>
          <a:endParaRPr lang="fr-F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2" l="0.70000000000000062" r="0.70000000000000062" t="0.750000000000002"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Stabilito!$B$117</c:f>
          <c:strCache>
            <c:ptCount val="1"/>
            <c:pt idx="0">
              <c:v>Diagramme des critères de stabilité</c:v>
            </c:pt>
          </c:strCache>
        </c:strRef>
      </c:tx>
      <c:layout>
        <c:manualLayout>
          <c:xMode val="edge"/>
          <c:yMode val="edge"/>
          <c:x val="0.19620910443519407"/>
          <c:y val="8.0214173228346466E-2"/>
        </c:manualLayout>
      </c:layout>
      <c:overlay val="0"/>
      <c:spPr>
        <a:solidFill>
          <a:srgbClr val="FFFFFF"/>
        </a:solidFill>
        <a:ln w="25400">
          <a:noFill/>
        </a:ln>
      </c:spPr>
      <c:txPr>
        <a:bodyPr/>
        <a:lstStyle/>
        <a:p>
          <a:pPr>
            <a:defRPr sz="1000" b="0" i="0" u="none" strike="noStrike" baseline="0">
              <a:solidFill>
                <a:srgbClr val="000000"/>
              </a:solidFill>
              <a:latin typeface="Calibri"/>
              <a:ea typeface="Calibri"/>
              <a:cs typeface="Calibri"/>
            </a:defRPr>
          </a:pPr>
          <a:endParaRPr lang="fr-FR"/>
        </a:p>
      </c:txPr>
    </c:title>
    <c:autoTitleDeleted val="0"/>
    <c:plotArea>
      <c:layout>
        <c:manualLayout>
          <c:layoutTarget val="inner"/>
          <c:xMode val="edge"/>
          <c:yMode val="edge"/>
          <c:x val="4.5092838196286504E-2"/>
          <c:y val="5.8823683008029475E-2"/>
          <c:w val="0.93899204244031864"/>
          <c:h val="0.82887916965859743"/>
        </c:manualLayout>
      </c:layout>
      <c:scatterChart>
        <c:scatterStyle val="smoothMarker"/>
        <c:varyColors val="0"/>
        <c:ser>
          <c:idx val="0"/>
          <c:order val="0"/>
          <c:tx>
            <c:v>Cna min</c:v>
          </c:tx>
          <c:spPr>
            <a:ln w="12700">
              <a:solidFill>
                <a:srgbClr val="FF0000"/>
              </a:solidFill>
              <a:prstDash val="solid"/>
            </a:ln>
          </c:spPr>
          <c:marker>
            <c:symbol val="none"/>
          </c:marker>
          <c:xVal>
            <c:numRef>
              <c:f>Stabilito!$B$182:$B$183</c:f>
              <c:numCache>
                <c:formatCode>General</c:formatCode>
                <c:ptCount val="2"/>
                <c:pt idx="0">
                  <c:v>0</c:v>
                </c:pt>
                <c:pt idx="1">
                  <c:v>7</c:v>
                </c:pt>
              </c:numCache>
            </c:numRef>
          </c:xVal>
          <c:yVal>
            <c:numRef>
              <c:f>Stabilito!$C$182:$C$183</c:f>
              <c:numCache>
                <c:formatCode>General</c:formatCode>
                <c:ptCount val="2"/>
                <c:pt idx="0">
                  <c:v>15</c:v>
                </c:pt>
                <c:pt idx="1">
                  <c:v>15</c:v>
                </c:pt>
              </c:numCache>
            </c:numRef>
          </c:yVal>
          <c:smooth val="1"/>
          <c:extLst>
            <c:ext xmlns:c16="http://schemas.microsoft.com/office/drawing/2014/chart" uri="{C3380CC4-5D6E-409C-BE32-E72D297353CC}">
              <c16:uniqueId val="{00000000-A2C6-41F2-A686-8525FCD25021}"/>
            </c:ext>
          </c:extLst>
        </c:ser>
        <c:ser>
          <c:idx val="1"/>
          <c:order val="1"/>
          <c:tx>
            <c:v>Cna max</c:v>
          </c:tx>
          <c:spPr>
            <a:ln w="12700">
              <a:solidFill>
                <a:srgbClr val="FF0000"/>
              </a:solidFill>
              <a:prstDash val="solid"/>
            </a:ln>
          </c:spPr>
          <c:marker>
            <c:symbol val="none"/>
          </c:marker>
          <c:xVal>
            <c:numRef>
              <c:f>Stabilito!$B$184:$B$185</c:f>
              <c:numCache>
                <c:formatCode>General</c:formatCode>
                <c:ptCount val="2"/>
                <c:pt idx="0">
                  <c:v>0</c:v>
                </c:pt>
                <c:pt idx="1">
                  <c:v>7</c:v>
                </c:pt>
              </c:numCache>
            </c:numRef>
          </c:xVal>
          <c:yVal>
            <c:numRef>
              <c:f>Stabilito!$C$184:$C$185</c:f>
              <c:numCache>
                <c:formatCode>General</c:formatCode>
                <c:ptCount val="2"/>
                <c:pt idx="0">
                  <c:v>40</c:v>
                </c:pt>
                <c:pt idx="1">
                  <c:v>40</c:v>
                </c:pt>
              </c:numCache>
            </c:numRef>
          </c:yVal>
          <c:smooth val="1"/>
          <c:extLst>
            <c:ext xmlns:c16="http://schemas.microsoft.com/office/drawing/2014/chart" uri="{C3380CC4-5D6E-409C-BE32-E72D297353CC}">
              <c16:uniqueId val="{00000001-A2C6-41F2-A686-8525FCD25021}"/>
            </c:ext>
          </c:extLst>
        </c:ser>
        <c:ser>
          <c:idx val="2"/>
          <c:order val="2"/>
          <c:tx>
            <c:v>MS min</c:v>
          </c:tx>
          <c:spPr>
            <a:ln w="12700">
              <a:solidFill>
                <a:srgbClr val="FF0000"/>
              </a:solidFill>
              <a:prstDash val="solid"/>
            </a:ln>
          </c:spPr>
          <c:marker>
            <c:symbol val="none"/>
          </c:marker>
          <c:xVal>
            <c:numRef>
              <c:f>Stabilito!$B$186:$B$187</c:f>
              <c:numCache>
                <c:formatCode>General</c:formatCode>
                <c:ptCount val="2"/>
                <c:pt idx="0">
                  <c:v>2</c:v>
                </c:pt>
                <c:pt idx="1">
                  <c:v>2</c:v>
                </c:pt>
              </c:numCache>
            </c:numRef>
          </c:xVal>
          <c:yVal>
            <c:numRef>
              <c:f>Stabilito!$C$186:$C$187</c:f>
              <c:numCache>
                <c:formatCode>General</c:formatCode>
                <c:ptCount val="2"/>
                <c:pt idx="0">
                  <c:v>0</c:v>
                </c:pt>
                <c:pt idx="1">
                  <c:v>55</c:v>
                </c:pt>
              </c:numCache>
            </c:numRef>
          </c:yVal>
          <c:smooth val="1"/>
          <c:extLst>
            <c:ext xmlns:c16="http://schemas.microsoft.com/office/drawing/2014/chart" uri="{C3380CC4-5D6E-409C-BE32-E72D297353CC}">
              <c16:uniqueId val="{00000002-A2C6-41F2-A686-8525FCD25021}"/>
            </c:ext>
          </c:extLst>
        </c:ser>
        <c:ser>
          <c:idx val="3"/>
          <c:order val="3"/>
          <c:tx>
            <c:v>MS max</c:v>
          </c:tx>
          <c:spPr>
            <a:ln w="12700">
              <a:solidFill>
                <a:srgbClr val="FF0000"/>
              </a:solidFill>
              <a:prstDash val="solid"/>
            </a:ln>
          </c:spPr>
          <c:marker>
            <c:symbol val="none"/>
          </c:marker>
          <c:xVal>
            <c:numRef>
              <c:f>Stabilito!$B$188:$B$189</c:f>
              <c:numCache>
                <c:formatCode>General</c:formatCode>
                <c:ptCount val="2"/>
                <c:pt idx="0">
                  <c:v>6</c:v>
                </c:pt>
                <c:pt idx="1">
                  <c:v>6</c:v>
                </c:pt>
              </c:numCache>
            </c:numRef>
          </c:xVal>
          <c:yVal>
            <c:numRef>
              <c:f>Stabilito!$C$188:$C$189</c:f>
              <c:numCache>
                <c:formatCode>General</c:formatCode>
                <c:ptCount val="2"/>
                <c:pt idx="0">
                  <c:v>0</c:v>
                </c:pt>
                <c:pt idx="1">
                  <c:v>55</c:v>
                </c:pt>
              </c:numCache>
            </c:numRef>
          </c:yVal>
          <c:smooth val="1"/>
          <c:extLst>
            <c:ext xmlns:c16="http://schemas.microsoft.com/office/drawing/2014/chart" uri="{C3380CC4-5D6E-409C-BE32-E72D297353CC}">
              <c16:uniqueId val="{00000003-A2C6-41F2-A686-8525FCD25021}"/>
            </c:ext>
          </c:extLst>
        </c:ser>
        <c:ser>
          <c:idx val="5"/>
          <c:order val="6"/>
          <c:tx>
            <c:v>MS*Cna min</c:v>
          </c:tx>
          <c:spPr>
            <a:ln w="12700">
              <a:solidFill>
                <a:srgbClr val="FF0000"/>
              </a:solidFill>
              <a:prstDash val="solid"/>
            </a:ln>
          </c:spPr>
          <c:marker>
            <c:symbol val="none"/>
          </c:marker>
          <c:xVal>
            <c:numRef>
              <c:f>Stabilito!$D$182:$D$187</c:f>
              <c:numCache>
                <c:formatCode>General</c:formatCode>
                <c:ptCount val="6"/>
                <c:pt idx="0">
                  <c:v>0.5</c:v>
                </c:pt>
                <c:pt idx="1">
                  <c:v>1</c:v>
                </c:pt>
                <c:pt idx="2">
                  <c:v>2</c:v>
                </c:pt>
                <c:pt idx="3">
                  <c:v>3</c:v>
                </c:pt>
                <c:pt idx="4">
                  <c:v>5</c:v>
                </c:pt>
                <c:pt idx="5">
                  <c:v>7</c:v>
                </c:pt>
              </c:numCache>
            </c:numRef>
          </c:xVal>
          <c:yVal>
            <c:numRef>
              <c:f>Stabilito!$E$182:$E$187</c:f>
              <c:numCache>
                <c:formatCode>General</c:formatCode>
                <c:ptCount val="6"/>
                <c:pt idx="0">
                  <c:v>80</c:v>
                </c:pt>
                <c:pt idx="1">
                  <c:v>40</c:v>
                </c:pt>
                <c:pt idx="2">
                  <c:v>20</c:v>
                </c:pt>
                <c:pt idx="3">
                  <c:v>13.333333333333334</c:v>
                </c:pt>
                <c:pt idx="4">
                  <c:v>8</c:v>
                </c:pt>
                <c:pt idx="5">
                  <c:v>5.7142857142857144</c:v>
                </c:pt>
              </c:numCache>
            </c:numRef>
          </c:yVal>
          <c:smooth val="1"/>
          <c:extLst>
            <c:ext xmlns:c16="http://schemas.microsoft.com/office/drawing/2014/chart" uri="{C3380CC4-5D6E-409C-BE32-E72D297353CC}">
              <c16:uniqueId val="{00000004-A2C6-41F2-A686-8525FCD25021}"/>
            </c:ext>
          </c:extLst>
        </c:ser>
        <c:ser>
          <c:idx val="6"/>
          <c:order val="7"/>
          <c:tx>
            <c:v>MS*Cna max</c:v>
          </c:tx>
          <c:spPr>
            <a:ln w="12700">
              <a:solidFill>
                <a:srgbClr val="FF0000"/>
              </a:solidFill>
              <a:prstDash val="solid"/>
            </a:ln>
          </c:spPr>
          <c:marker>
            <c:symbol val="none"/>
          </c:marker>
          <c:xVal>
            <c:numRef>
              <c:f>Stabilito!$D$188:$D$193</c:f>
              <c:numCache>
                <c:formatCode>General</c:formatCode>
                <c:ptCount val="6"/>
                <c:pt idx="0">
                  <c:v>1</c:v>
                </c:pt>
                <c:pt idx="1">
                  <c:v>2</c:v>
                </c:pt>
                <c:pt idx="2">
                  <c:v>3</c:v>
                </c:pt>
                <c:pt idx="3">
                  <c:v>4</c:v>
                </c:pt>
                <c:pt idx="4">
                  <c:v>6</c:v>
                </c:pt>
                <c:pt idx="5">
                  <c:v>7</c:v>
                </c:pt>
              </c:numCache>
            </c:numRef>
          </c:xVal>
          <c:yVal>
            <c:numRef>
              <c:f>Stabilito!$E$188:$E$193</c:f>
              <c:numCache>
                <c:formatCode>General</c:formatCode>
                <c:ptCount val="6"/>
                <c:pt idx="0">
                  <c:v>100</c:v>
                </c:pt>
                <c:pt idx="1">
                  <c:v>50</c:v>
                </c:pt>
                <c:pt idx="2">
                  <c:v>33.333333333333336</c:v>
                </c:pt>
                <c:pt idx="3">
                  <c:v>25</c:v>
                </c:pt>
                <c:pt idx="4">
                  <c:v>16.666666666666668</c:v>
                </c:pt>
                <c:pt idx="5">
                  <c:v>14.285714285714286</c:v>
                </c:pt>
              </c:numCache>
            </c:numRef>
          </c:yVal>
          <c:smooth val="1"/>
          <c:extLst>
            <c:ext xmlns:c16="http://schemas.microsoft.com/office/drawing/2014/chart" uri="{C3380CC4-5D6E-409C-BE32-E72D297353CC}">
              <c16:uniqueId val="{00000005-A2C6-41F2-A686-8525FCD25021}"/>
            </c:ext>
          </c:extLst>
        </c:ser>
        <c:ser>
          <c:idx val="7"/>
          <c:order val="8"/>
          <c:tx>
            <c:v>Cna moy</c:v>
          </c:tx>
          <c:spPr>
            <a:ln w="12700">
              <a:solidFill>
                <a:srgbClr val="FF0000"/>
              </a:solidFill>
              <a:prstDash val="solid"/>
            </a:ln>
          </c:spPr>
          <c:marker>
            <c:symbol val="none"/>
          </c:marker>
          <c:xVal>
            <c:numRef>
              <c:f>Stabilito!$B$195:$B$196</c:f>
              <c:numCache>
                <c:formatCode>General</c:formatCode>
                <c:ptCount val="2"/>
                <c:pt idx="0">
                  <c:v>0</c:v>
                </c:pt>
                <c:pt idx="1">
                  <c:v>2</c:v>
                </c:pt>
              </c:numCache>
            </c:numRef>
          </c:xVal>
          <c:yVal>
            <c:numRef>
              <c:f>Stabilito!$C$195:$C$196</c:f>
              <c:numCache>
                <c:formatCode>General</c:formatCode>
                <c:ptCount val="2"/>
                <c:pt idx="0">
                  <c:v>27.5</c:v>
                </c:pt>
                <c:pt idx="1">
                  <c:v>27.5</c:v>
                </c:pt>
              </c:numCache>
            </c:numRef>
          </c:yVal>
          <c:smooth val="1"/>
          <c:extLst>
            <c:ext xmlns:c16="http://schemas.microsoft.com/office/drawing/2014/chart" uri="{C3380CC4-5D6E-409C-BE32-E72D297353CC}">
              <c16:uniqueId val="{00000006-A2C6-41F2-A686-8525FCD25021}"/>
            </c:ext>
          </c:extLst>
        </c:ser>
        <c:ser>
          <c:idx val="8"/>
          <c:order val="9"/>
          <c:tx>
            <c:v>Cna moy2</c:v>
          </c:tx>
          <c:spPr>
            <a:ln w="12700">
              <a:solidFill>
                <a:srgbClr val="FF0000"/>
              </a:solidFill>
              <a:prstDash val="solid"/>
            </a:ln>
          </c:spPr>
          <c:marker>
            <c:symbol val="none"/>
          </c:marker>
          <c:xVal>
            <c:numRef>
              <c:f>Stabilito!$B$197:$B$198</c:f>
              <c:numCache>
                <c:formatCode>General</c:formatCode>
                <c:ptCount val="2"/>
                <c:pt idx="0">
                  <c:v>3.6363636363636362</c:v>
                </c:pt>
                <c:pt idx="1">
                  <c:v>7</c:v>
                </c:pt>
              </c:numCache>
            </c:numRef>
          </c:xVal>
          <c:yVal>
            <c:numRef>
              <c:f>Stabilito!$C$197:$C$198</c:f>
              <c:numCache>
                <c:formatCode>General</c:formatCode>
                <c:ptCount val="2"/>
                <c:pt idx="0">
                  <c:v>27.5</c:v>
                </c:pt>
                <c:pt idx="1">
                  <c:v>27.5</c:v>
                </c:pt>
              </c:numCache>
            </c:numRef>
          </c:yVal>
          <c:smooth val="1"/>
          <c:extLst>
            <c:ext xmlns:c16="http://schemas.microsoft.com/office/drawing/2014/chart" uri="{C3380CC4-5D6E-409C-BE32-E72D297353CC}">
              <c16:uniqueId val="{00000007-A2C6-41F2-A686-8525FCD25021}"/>
            </c:ext>
          </c:extLst>
        </c:ser>
        <c:ser>
          <c:idx val="9"/>
          <c:order val="10"/>
          <c:tx>
            <c:v>MS moy</c:v>
          </c:tx>
          <c:spPr>
            <a:ln w="12700">
              <a:solidFill>
                <a:srgbClr val="FF0000"/>
              </a:solidFill>
              <a:prstDash val="solid"/>
            </a:ln>
          </c:spPr>
          <c:marker>
            <c:symbol val="none"/>
          </c:marker>
          <c:xVal>
            <c:numRef>
              <c:f>Stabilito!$B$199:$B$200</c:f>
              <c:numCache>
                <c:formatCode>General</c:formatCode>
                <c:ptCount val="2"/>
                <c:pt idx="0">
                  <c:v>4</c:v>
                </c:pt>
                <c:pt idx="1">
                  <c:v>4</c:v>
                </c:pt>
              </c:numCache>
            </c:numRef>
          </c:xVal>
          <c:yVal>
            <c:numRef>
              <c:f>Stabilito!$C$199:$C$200</c:f>
              <c:numCache>
                <c:formatCode>General</c:formatCode>
                <c:ptCount val="2"/>
                <c:pt idx="0">
                  <c:v>0</c:v>
                </c:pt>
                <c:pt idx="1">
                  <c:v>15</c:v>
                </c:pt>
              </c:numCache>
            </c:numRef>
          </c:yVal>
          <c:smooth val="1"/>
          <c:extLst>
            <c:ext xmlns:c16="http://schemas.microsoft.com/office/drawing/2014/chart" uri="{C3380CC4-5D6E-409C-BE32-E72D297353CC}">
              <c16:uniqueId val="{00000008-A2C6-41F2-A686-8525FCD25021}"/>
            </c:ext>
          </c:extLst>
        </c:ser>
        <c:ser>
          <c:idx val="10"/>
          <c:order val="11"/>
          <c:tx>
            <c:v>MS moy2</c:v>
          </c:tx>
          <c:spPr>
            <a:ln w="12700">
              <a:solidFill>
                <a:srgbClr val="FF0000"/>
              </a:solidFill>
              <a:prstDash val="solid"/>
            </a:ln>
          </c:spPr>
          <c:marker>
            <c:symbol val="none"/>
          </c:marker>
          <c:xVal>
            <c:numRef>
              <c:f>Stabilito!$B$201:$B$202</c:f>
              <c:numCache>
                <c:formatCode>General</c:formatCode>
                <c:ptCount val="2"/>
                <c:pt idx="0">
                  <c:v>4</c:v>
                </c:pt>
                <c:pt idx="1">
                  <c:v>4</c:v>
                </c:pt>
              </c:numCache>
            </c:numRef>
          </c:xVal>
          <c:yVal>
            <c:numRef>
              <c:f>Stabilito!$C$201:$C$202</c:f>
              <c:numCache>
                <c:formatCode>General</c:formatCode>
                <c:ptCount val="2"/>
                <c:pt idx="0">
                  <c:v>25</c:v>
                </c:pt>
                <c:pt idx="1">
                  <c:v>55</c:v>
                </c:pt>
              </c:numCache>
            </c:numRef>
          </c:yVal>
          <c:smooth val="1"/>
          <c:extLst>
            <c:ext xmlns:c16="http://schemas.microsoft.com/office/drawing/2014/chart" uri="{C3380CC4-5D6E-409C-BE32-E72D297353CC}">
              <c16:uniqueId val="{00000009-A2C6-41F2-A686-8525FCD25021}"/>
            </c:ext>
          </c:extLst>
        </c:ser>
        <c:dLbls>
          <c:showLegendKey val="0"/>
          <c:showVal val="0"/>
          <c:showCatName val="0"/>
          <c:showSerName val="0"/>
          <c:showPercent val="0"/>
          <c:showBubbleSize val="0"/>
        </c:dLbls>
        <c:axId val="148471168"/>
        <c:axId val="148481536"/>
      </c:scatterChart>
      <c:scatterChart>
        <c:scatterStyle val="lineMarker"/>
        <c:varyColors val="0"/>
        <c:ser>
          <c:idx val="4"/>
          <c:order val="4"/>
          <c:tx>
            <c:v>Fusée en cours</c:v>
          </c:tx>
          <c:spPr>
            <a:ln w="25400">
              <a:solidFill>
                <a:schemeClr val="tx1"/>
              </a:solidFill>
            </a:ln>
          </c:spPr>
          <c:marker>
            <c:symbol val="diamond"/>
            <c:size val="7"/>
            <c:spPr>
              <a:solidFill>
                <a:schemeClr val="tx1"/>
              </a:solidFill>
              <a:ln>
                <a:noFill/>
              </a:ln>
            </c:spPr>
          </c:marker>
          <c:xVal>
            <c:numRef>
              <c:f>Stabilito!$B$190:$B$193</c:f>
              <c:numCache>
                <c:formatCode>0.00</c:formatCode>
                <c:ptCount val="4"/>
                <c:pt idx="0">
                  <c:v>2.2973047813562699</c:v>
                </c:pt>
                <c:pt idx="1">
                  <c:v>2.5950487863167631</c:v>
                </c:pt>
                <c:pt idx="2">
                  <c:v>3.3981335823664631</c:v>
                </c:pt>
                <c:pt idx="3">
                  <c:v>3.1003895774059695</c:v>
                </c:pt>
              </c:numCache>
            </c:numRef>
          </c:xVal>
          <c:yVal>
            <c:numRef>
              <c:f>Stabilito!$C$190:$C$193</c:f>
              <c:numCache>
                <c:formatCode>0.00</c:formatCode>
                <c:ptCount val="4"/>
                <c:pt idx="0">
                  <c:v>18.283976369656074</c:v>
                </c:pt>
                <c:pt idx="1">
                  <c:v>19.6643831789955</c:v>
                </c:pt>
                <c:pt idx="2">
                  <c:v>19.6643831789955</c:v>
                </c:pt>
                <c:pt idx="3">
                  <c:v>18.283976369656074</c:v>
                </c:pt>
              </c:numCache>
            </c:numRef>
          </c:yVal>
          <c:smooth val="0"/>
          <c:extLst>
            <c:ext xmlns:c16="http://schemas.microsoft.com/office/drawing/2014/chart" uri="{C3380CC4-5D6E-409C-BE32-E72D297353CC}">
              <c16:uniqueId val="{0000000A-A2C6-41F2-A686-8525FCD25021}"/>
            </c:ext>
          </c:extLst>
        </c:ser>
        <c:ser>
          <c:idx val="11"/>
          <c:order val="5"/>
          <c:tx>
            <c:v>Fusée en cours0</c:v>
          </c:tx>
          <c:spPr>
            <a:ln w="25400">
              <a:solidFill>
                <a:schemeClr val="tx1"/>
              </a:solidFill>
            </a:ln>
          </c:spPr>
          <c:marker>
            <c:symbol val="none"/>
          </c:marker>
          <c:xVal>
            <c:numRef>
              <c:f>Stabilito!$B$193:$B$194</c:f>
              <c:numCache>
                <c:formatCode>0.00</c:formatCode>
                <c:ptCount val="2"/>
                <c:pt idx="0">
                  <c:v>3.1003895774059695</c:v>
                </c:pt>
                <c:pt idx="1">
                  <c:v>2.2973047813562699</c:v>
                </c:pt>
              </c:numCache>
            </c:numRef>
          </c:xVal>
          <c:yVal>
            <c:numRef>
              <c:f>Stabilito!$C$193:$C$194</c:f>
              <c:numCache>
                <c:formatCode>0.00</c:formatCode>
                <c:ptCount val="2"/>
                <c:pt idx="0">
                  <c:v>18.283976369656074</c:v>
                </c:pt>
                <c:pt idx="1">
                  <c:v>18.283976369656074</c:v>
                </c:pt>
              </c:numCache>
            </c:numRef>
          </c:yVal>
          <c:smooth val="0"/>
          <c:extLst>
            <c:ext xmlns:c16="http://schemas.microsoft.com/office/drawing/2014/chart" uri="{C3380CC4-5D6E-409C-BE32-E72D297353CC}">
              <c16:uniqueId val="{0000000B-A2C6-41F2-A686-8525FCD25021}"/>
            </c:ext>
          </c:extLst>
        </c:ser>
        <c:dLbls>
          <c:showLegendKey val="0"/>
          <c:showVal val="0"/>
          <c:showCatName val="0"/>
          <c:showSerName val="0"/>
          <c:showPercent val="0"/>
          <c:showBubbleSize val="0"/>
        </c:dLbls>
        <c:axId val="148471168"/>
        <c:axId val="148481536"/>
      </c:scatterChart>
      <c:valAx>
        <c:axId val="148471168"/>
        <c:scaling>
          <c:orientation val="minMax"/>
          <c:max val="7"/>
          <c:min val="0"/>
        </c:scaling>
        <c:delete val="0"/>
        <c:axPos val="b"/>
        <c:title>
          <c:tx>
            <c:strRef>
              <c:f>Stabilito!$B$118</c:f>
              <c:strCache>
                <c:ptCount val="1"/>
                <c:pt idx="0">
                  <c:v>Marge Statique (MS)</c:v>
                </c:pt>
              </c:strCache>
            </c:strRef>
          </c:tx>
          <c:layout>
            <c:manualLayout>
              <c:xMode val="edge"/>
              <c:yMode val="edge"/>
              <c:x val="0.51717271009913568"/>
              <c:y val="0.73094047244094495"/>
            </c:manualLayout>
          </c:layout>
          <c:overlay val="0"/>
          <c:spPr>
            <a:solidFill>
              <a:srgbClr val="FFFFFF"/>
            </a:solidFill>
            <a:ln w="25400">
              <a:noFill/>
            </a:ln>
          </c:spPr>
          <c:txPr>
            <a:bodyPr/>
            <a:lstStyle/>
            <a:p>
              <a:pPr>
                <a:defRPr sz="1000" b="0"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8481536"/>
        <c:crosses val="autoZero"/>
        <c:crossBetween val="midCat"/>
      </c:valAx>
      <c:valAx>
        <c:axId val="148481536"/>
        <c:scaling>
          <c:orientation val="minMax"/>
          <c:max val="55"/>
          <c:min val="0"/>
        </c:scaling>
        <c:delete val="0"/>
        <c:axPos val="l"/>
        <c:title>
          <c:tx>
            <c:strRef>
              <c:f>Stabilito!$B$119</c:f>
              <c:strCache>
                <c:ptCount val="1"/>
                <c:pt idx="0">
                  <c:v>Portance Cnα</c:v>
                </c:pt>
              </c:strCache>
            </c:strRef>
          </c:tx>
          <c:layout>
            <c:manualLayout>
              <c:xMode val="edge"/>
              <c:yMode val="edge"/>
              <c:x val="6.9119481083972797E-2"/>
              <c:y val="0.24099905511811029"/>
            </c:manualLayout>
          </c:layout>
          <c:overlay val="0"/>
          <c:spPr>
            <a:solidFill>
              <a:srgbClr val="FFFFFF"/>
            </a:solidFill>
            <a:ln w="25400">
              <a:noFill/>
            </a:ln>
          </c:spPr>
          <c:txPr>
            <a:bodyPr/>
            <a:lstStyle/>
            <a:p>
              <a:pPr>
                <a:defRPr sz="1000" b="0"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14847116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95" footer="0.4921259845000009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970566137003713E-2"/>
          <c:y val="6.4690026954178192E-2"/>
          <c:w val="0.84871001627006748"/>
          <c:h val="0.90566037735849303"/>
        </c:manualLayout>
      </c:layout>
      <c:scatterChart>
        <c:scatterStyle val="lineMarker"/>
        <c:varyColors val="0"/>
        <c:ser>
          <c:idx val="0"/>
          <c:order val="0"/>
          <c:tx>
            <c:v>fuselage</c:v>
          </c:tx>
          <c:spPr>
            <a:ln w="25400">
              <a:solidFill>
                <a:srgbClr val="000080"/>
              </a:solidFill>
              <a:prstDash val="solid"/>
            </a:ln>
          </c:spPr>
          <c:marker>
            <c:symbol val="none"/>
          </c:marker>
          <c:xVal>
            <c:numRef>
              <c:f>Stabilito!$D$124:$D$131</c:f>
              <c:numCache>
                <c:formatCode>0</c:formatCode>
                <c:ptCount val="8"/>
                <c:pt idx="0">
                  <c:v>0</c:v>
                </c:pt>
                <c:pt idx="1">
                  <c:v>45</c:v>
                </c:pt>
                <c:pt idx="2">
                  <c:v>45</c:v>
                </c:pt>
                <c:pt idx="3">
                  <c:v>50</c:v>
                </c:pt>
                <c:pt idx="4">
                  <c:v>50</c:v>
                </c:pt>
                <c:pt idx="5">
                  <c:v>50</c:v>
                </c:pt>
                <c:pt idx="6">
                  <c:v>50</c:v>
                </c:pt>
                <c:pt idx="7">
                  <c:v>0</c:v>
                </c:pt>
              </c:numCache>
            </c:numRef>
          </c:xVal>
          <c:yVal>
            <c:numRef>
              <c:f>Stabilito!$C$124:$C$131</c:f>
              <c:numCache>
                <c:formatCode>0</c:formatCode>
                <c:ptCount val="8"/>
                <c:pt idx="0">
                  <c:v>-40</c:v>
                </c:pt>
                <c:pt idx="1">
                  <c:v>-40</c:v>
                </c:pt>
                <c:pt idx="2">
                  <c:v>-40</c:v>
                </c:pt>
                <c:pt idx="3">
                  <c:v>-228</c:v>
                </c:pt>
                <c:pt idx="4">
                  <c:v>-500</c:v>
                </c:pt>
                <c:pt idx="5">
                  <c:v>-550</c:v>
                </c:pt>
                <c:pt idx="6">
                  <c:v>-2195</c:v>
                </c:pt>
                <c:pt idx="7">
                  <c:v>-2195</c:v>
                </c:pt>
              </c:numCache>
            </c:numRef>
          </c:yVal>
          <c:smooth val="0"/>
          <c:extLst>
            <c:ext xmlns:c16="http://schemas.microsoft.com/office/drawing/2014/chart" uri="{C3380CC4-5D6E-409C-BE32-E72D297353CC}">
              <c16:uniqueId val="{00000000-9E9B-44D3-AF00-2F50F3AA2C7D}"/>
            </c:ext>
          </c:extLst>
        </c:ser>
        <c:ser>
          <c:idx val="1"/>
          <c:order val="1"/>
          <c:tx>
            <c:v>aileron</c:v>
          </c:tx>
          <c:spPr>
            <a:ln w="25400">
              <a:solidFill>
                <a:srgbClr val="00FF00"/>
              </a:solidFill>
              <a:prstDash val="solid"/>
            </a:ln>
          </c:spPr>
          <c:marker>
            <c:symbol val="none"/>
          </c:marker>
          <c:xVal>
            <c:numRef>
              <c:f>Stabilito!$D$132:$D$136</c:f>
              <c:numCache>
                <c:formatCode>0</c:formatCode>
                <c:ptCount val="5"/>
                <c:pt idx="0">
                  <c:v>50</c:v>
                </c:pt>
                <c:pt idx="1">
                  <c:v>175</c:v>
                </c:pt>
                <c:pt idx="2">
                  <c:v>175</c:v>
                </c:pt>
                <c:pt idx="3">
                  <c:v>50</c:v>
                </c:pt>
                <c:pt idx="4">
                  <c:v>50</c:v>
                </c:pt>
              </c:numCache>
            </c:numRef>
          </c:xVal>
          <c:yVal>
            <c:numRef>
              <c:f>Stabilito!$C$132:$C$136</c:f>
              <c:numCache>
                <c:formatCode>0</c:formatCode>
                <c:ptCount val="5"/>
                <c:pt idx="0">
                  <c:v>-1895</c:v>
                </c:pt>
                <c:pt idx="1">
                  <c:v>-1968</c:v>
                </c:pt>
                <c:pt idx="2">
                  <c:v>-2118</c:v>
                </c:pt>
                <c:pt idx="3">
                  <c:v>-2185</c:v>
                </c:pt>
                <c:pt idx="4">
                  <c:v>-1895</c:v>
                </c:pt>
              </c:numCache>
            </c:numRef>
          </c:yVal>
          <c:smooth val="0"/>
          <c:extLst>
            <c:ext xmlns:c16="http://schemas.microsoft.com/office/drawing/2014/chart" uri="{C3380CC4-5D6E-409C-BE32-E72D297353CC}">
              <c16:uniqueId val="{00000001-9E9B-44D3-AF00-2F50F3AA2C7D}"/>
            </c:ext>
          </c:extLst>
        </c:ser>
        <c:ser>
          <c:idx val="2"/>
          <c:order val="2"/>
          <c:tx>
            <c:v>fuselage2</c:v>
          </c:tx>
          <c:spPr>
            <a:ln w="25400">
              <a:solidFill>
                <a:srgbClr val="000080"/>
              </a:solidFill>
              <a:prstDash val="solid"/>
            </a:ln>
          </c:spPr>
          <c:marker>
            <c:symbol val="none"/>
          </c:marker>
          <c:xVal>
            <c:numRef>
              <c:f>Stabilito!$E$124:$E$131</c:f>
              <c:numCache>
                <c:formatCode>0</c:formatCode>
                <c:ptCount val="8"/>
                <c:pt idx="0">
                  <c:v>0</c:v>
                </c:pt>
                <c:pt idx="1">
                  <c:v>-45</c:v>
                </c:pt>
                <c:pt idx="2">
                  <c:v>-45</c:v>
                </c:pt>
                <c:pt idx="3">
                  <c:v>-50</c:v>
                </c:pt>
                <c:pt idx="4">
                  <c:v>-50</c:v>
                </c:pt>
                <c:pt idx="5">
                  <c:v>-50</c:v>
                </c:pt>
                <c:pt idx="6">
                  <c:v>-50</c:v>
                </c:pt>
                <c:pt idx="7">
                  <c:v>0</c:v>
                </c:pt>
              </c:numCache>
            </c:numRef>
          </c:xVal>
          <c:yVal>
            <c:numRef>
              <c:f>Stabilito!$C$124:$C$131</c:f>
              <c:numCache>
                <c:formatCode>0</c:formatCode>
                <c:ptCount val="8"/>
                <c:pt idx="0">
                  <c:v>-40</c:v>
                </c:pt>
                <c:pt idx="1">
                  <c:v>-40</c:v>
                </c:pt>
                <c:pt idx="2">
                  <c:v>-40</c:v>
                </c:pt>
                <c:pt idx="3">
                  <c:v>-228</c:v>
                </c:pt>
                <c:pt idx="4">
                  <c:v>-500</c:v>
                </c:pt>
                <c:pt idx="5">
                  <c:v>-550</c:v>
                </c:pt>
                <c:pt idx="6">
                  <c:v>-2195</c:v>
                </c:pt>
                <c:pt idx="7">
                  <c:v>-2195</c:v>
                </c:pt>
              </c:numCache>
            </c:numRef>
          </c:yVal>
          <c:smooth val="0"/>
          <c:extLst>
            <c:ext xmlns:c16="http://schemas.microsoft.com/office/drawing/2014/chart" uri="{C3380CC4-5D6E-409C-BE32-E72D297353CC}">
              <c16:uniqueId val="{00000002-9E9B-44D3-AF00-2F50F3AA2C7D}"/>
            </c:ext>
          </c:extLst>
        </c:ser>
        <c:ser>
          <c:idx val="3"/>
          <c:order val="3"/>
          <c:tx>
            <c:v>aileron2</c:v>
          </c:tx>
          <c:spPr>
            <a:ln w="25400">
              <a:solidFill>
                <a:srgbClr val="00FF00"/>
              </a:solidFill>
              <a:prstDash val="solid"/>
            </a:ln>
          </c:spPr>
          <c:marker>
            <c:symbol val="none"/>
          </c:marker>
          <c:xVal>
            <c:numRef>
              <c:f>Stabilito!$E$132:$E$136</c:f>
              <c:numCache>
                <c:formatCode>0</c:formatCode>
                <c:ptCount val="5"/>
                <c:pt idx="0">
                  <c:v>-50</c:v>
                </c:pt>
                <c:pt idx="1">
                  <c:v>-175</c:v>
                </c:pt>
                <c:pt idx="2">
                  <c:v>-175</c:v>
                </c:pt>
                <c:pt idx="3">
                  <c:v>-50</c:v>
                </c:pt>
                <c:pt idx="4">
                  <c:v>-50</c:v>
                </c:pt>
              </c:numCache>
            </c:numRef>
          </c:xVal>
          <c:yVal>
            <c:numRef>
              <c:f>Stabilito!$C$132:$C$136</c:f>
              <c:numCache>
                <c:formatCode>0</c:formatCode>
                <c:ptCount val="5"/>
                <c:pt idx="0">
                  <c:v>-1895</c:v>
                </c:pt>
                <c:pt idx="1">
                  <c:v>-1968</c:v>
                </c:pt>
                <c:pt idx="2">
                  <c:v>-2118</c:v>
                </c:pt>
                <c:pt idx="3">
                  <c:v>-2185</c:v>
                </c:pt>
                <c:pt idx="4">
                  <c:v>-1895</c:v>
                </c:pt>
              </c:numCache>
            </c:numRef>
          </c:yVal>
          <c:smooth val="0"/>
          <c:extLst>
            <c:ext xmlns:c16="http://schemas.microsoft.com/office/drawing/2014/chart" uri="{C3380CC4-5D6E-409C-BE32-E72D297353CC}">
              <c16:uniqueId val="{00000003-9E9B-44D3-AF00-2F50F3AA2C7D}"/>
            </c:ext>
          </c:extLst>
        </c:ser>
        <c:ser>
          <c:idx val="4"/>
          <c:order val="4"/>
          <c:tx>
            <c:strRef>
              <c:f>Stabilito!$B$12</c:f>
              <c:strCache>
                <c:ptCount val="1"/>
                <c:pt idx="0">
                  <c:v>Centre de Masse</c:v>
                </c:pt>
              </c:strCache>
            </c:strRef>
          </c:tx>
          <c:spPr>
            <a:ln w="25400">
              <a:solidFill>
                <a:srgbClr val="0000FF"/>
              </a:solidFill>
              <a:prstDash val="solid"/>
            </a:ln>
          </c:spPr>
          <c:marker>
            <c:symbol val="circle"/>
            <c:size val="5"/>
            <c:spPr>
              <a:solidFill>
                <a:srgbClr val="0000FF"/>
              </a:solidFill>
              <a:ln w="9525">
                <a:noFill/>
              </a:ln>
            </c:spPr>
          </c:marker>
          <c:dLbls>
            <c:dLbl>
              <c:idx val="1"/>
              <c:layout/>
              <c:spPr>
                <a:noFill/>
                <a:ln w="25400">
                  <a:noFill/>
                </a:ln>
              </c:spPr>
              <c:txPr>
                <a:bodyPr/>
                <a:lstStyle/>
                <a:p>
                  <a:pPr>
                    <a:defRPr sz="800" b="0" i="0" u="none" strike="noStrike" baseline="0">
                      <a:solidFill>
                        <a:srgbClr val="0000FF"/>
                      </a:solidFill>
                      <a:latin typeface="Arial"/>
                      <a:ea typeface="Arial"/>
                      <a:cs typeface="Arial"/>
                    </a:defRPr>
                  </a:pPr>
                  <a:endParaRPr lang="fr-FR"/>
                </a:p>
              </c:txPr>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4-9E9B-44D3-AF00-2F50F3AA2C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Stabilito!$D$149:$D$150</c:f>
              <c:numCache>
                <c:formatCode>0</c:formatCode>
                <c:ptCount val="2"/>
                <c:pt idx="0">
                  <c:v>0</c:v>
                </c:pt>
                <c:pt idx="1">
                  <c:v>0</c:v>
                </c:pt>
              </c:numCache>
            </c:numRef>
          </c:xVal>
          <c:yVal>
            <c:numRef>
              <c:f>Stabilito!$C$149:$C$150</c:f>
              <c:numCache>
                <c:formatCode>0</c:formatCode>
                <c:ptCount val="2"/>
                <c:pt idx="0">
                  <c:v>-1320.6702071163038</c:v>
                </c:pt>
                <c:pt idx="1">
                  <c:v>-1240.3617275113338</c:v>
                </c:pt>
              </c:numCache>
            </c:numRef>
          </c:yVal>
          <c:smooth val="0"/>
          <c:extLst>
            <c:ext xmlns:c16="http://schemas.microsoft.com/office/drawing/2014/chart" uri="{C3380CC4-5D6E-409C-BE32-E72D297353CC}">
              <c16:uniqueId val="{00000005-9E9B-44D3-AF00-2F50F3AA2C7D}"/>
            </c:ext>
          </c:extLst>
        </c:ser>
        <c:ser>
          <c:idx val="5"/>
          <c:order val="5"/>
          <c:tx>
            <c:strRef>
              <c:f>Stabilito!$F$28</c:f>
              <c:strCache>
                <c:ptCount val="1"/>
                <c:pt idx="0">
                  <c:v>Portance</c:v>
                </c:pt>
              </c:strCache>
            </c:strRef>
          </c:tx>
          <c:spPr>
            <a:ln w="25400">
              <a:solidFill>
                <a:srgbClr val="800000"/>
              </a:solidFill>
              <a:prstDash val="solid"/>
            </a:ln>
          </c:spPr>
          <c:marker>
            <c:symbol val="diamond"/>
            <c:size val="5"/>
            <c:spPr>
              <a:solidFill>
                <a:srgbClr val="800000"/>
              </a:solidFill>
              <a:ln>
                <a:solidFill>
                  <a:srgbClr val="800000"/>
                </a:solidFill>
                <a:prstDash val="solid"/>
              </a:ln>
            </c:spPr>
          </c:marker>
          <c:dLbls>
            <c:dLbl>
              <c:idx val="1"/>
              <c:layout/>
              <c:spPr>
                <a:noFill/>
                <a:ln w="25400">
                  <a:noFill/>
                </a:ln>
              </c:spPr>
              <c:txPr>
                <a:bodyPr/>
                <a:lstStyle/>
                <a:p>
                  <a:pPr>
                    <a:defRPr sz="800" b="0" i="0" u="none" strike="noStrike" baseline="0">
                      <a:solidFill>
                        <a:srgbClr val="800000"/>
                      </a:solidFill>
                      <a:latin typeface="Arial"/>
                      <a:ea typeface="Arial"/>
                      <a:cs typeface="Arial"/>
                    </a:defRPr>
                  </a:pPr>
                  <a:endParaRPr lang="fr-FR"/>
                </a:p>
              </c:txPr>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6-9E9B-44D3-AF00-2F50F3AA2C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Stabilito!$D$151:$D$154</c:f>
              <c:numCache>
                <c:formatCode>0</c:formatCode>
                <c:ptCount val="4"/>
                <c:pt idx="0">
                  <c:v>0</c:v>
                </c:pt>
                <c:pt idx="1">
                  <c:v>121.89317579770717</c:v>
                </c:pt>
                <c:pt idx="2">
                  <c:v>131.09588785996999</c:v>
                </c:pt>
                <c:pt idx="3">
                  <c:v>0</c:v>
                </c:pt>
              </c:numCache>
            </c:numRef>
          </c:xVal>
          <c:yVal>
            <c:numRef>
              <c:f>Stabilito!$C$151:$C$154</c:f>
              <c:numCache>
                <c:formatCode>0</c:formatCode>
                <c:ptCount val="4"/>
                <c:pt idx="0">
                  <c:v>-1550.4006852519308</c:v>
                </c:pt>
                <c:pt idx="1">
                  <c:v>-1550.4006852519308</c:v>
                </c:pt>
                <c:pt idx="2">
                  <c:v>-1580.1750857479801</c:v>
                </c:pt>
                <c:pt idx="3">
                  <c:v>-1580.1750857479801</c:v>
                </c:pt>
              </c:numCache>
            </c:numRef>
          </c:yVal>
          <c:smooth val="0"/>
          <c:extLst>
            <c:ext xmlns:c16="http://schemas.microsoft.com/office/drawing/2014/chart" uri="{C3380CC4-5D6E-409C-BE32-E72D297353CC}">
              <c16:uniqueId val="{00000007-9E9B-44D3-AF00-2F50F3AA2C7D}"/>
            </c:ext>
          </c:extLst>
        </c:ser>
        <c:ser>
          <c:idx val="6"/>
          <c:order val="6"/>
          <c:tx>
            <c:v>canard</c:v>
          </c:tx>
          <c:spPr>
            <a:ln w="25400">
              <a:solidFill>
                <a:srgbClr val="008000"/>
              </a:solidFill>
              <a:prstDash val="solid"/>
            </a:ln>
          </c:spPr>
          <c:marker>
            <c:symbol val="none"/>
          </c:marker>
          <c:xVal>
            <c:numRef>
              <c:f>Stabilito!$D$158:$D$162</c:f>
              <c:numCache>
                <c:formatCode>0</c:formatCode>
                <c:ptCount val="5"/>
                <c:pt idx="0">
                  <c:v>50</c:v>
                </c:pt>
                <c:pt idx="1">
                  <c:v>98</c:v>
                </c:pt>
                <c:pt idx="2">
                  <c:v>98</c:v>
                </c:pt>
                <c:pt idx="3">
                  <c:v>50</c:v>
                </c:pt>
                <c:pt idx="4">
                  <c:v>50</c:v>
                </c:pt>
              </c:numCache>
            </c:numRef>
          </c:xVal>
          <c:yVal>
            <c:numRef>
              <c:f>Stabilito!$C$158:$C$162</c:f>
              <c:numCache>
                <c:formatCode>0</c:formatCode>
                <c:ptCount val="5"/>
                <c:pt idx="0">
                  <c:v>-450</c:v>
                </c:pt>
                <c:pt idx="1">
                  <c:v>-450</c:v>
                </c:pt>
                <c:pt idx="2">
                  <c:v>-600</c:v>
                </c:pt>
                <c:pt idx="3">
                  <c:v>-600</c:v>
                </c:pt>
                <c:pt idx="4">
                  <c:v>-450</c:v>
                </c:pt>
              </c:numCache>
            </c:numRef>
          </c:yVal>
          <c:smooth val="0"/>
          <c:extLst>
            <c:ext xmlns:c16="http://schemas.microsoft.com/office/drawing/2014/chart" uri="{C3380CC4-5D6E-409C-BE32-E72D297353CC}">
              <c16:uniqueId val="{00000008-9E9B-44D3-AF00-2F50F3AA2C7D}"/>
            </c:ext>
          </c:extLst>
        </c:ser>
        <c:ser>
          <c:idx val="7"/>
          <c:order val="7"/>
          <c:tx>
            <c:v>canard2</c:v>
          </c:tx>
          <c:spPr>
            <a:ln w="25400">
              <a:solidFill>
                <a:srgbClr val="008000"/>
              </a:solidFill>
              <a:prstDash val="solid"/>
            </a:ln>
          </c:spPr>
          <c:marker>
            <c:symbol val="none"/>
          </c:marker>
          <c:xVal>
            <c:numRef>
              <c:f>Stabilito!$E$158:$E$162</c:f>
              <c:numCache>
                <c:formatCode>0</c:formatCode>
                <c:ptCount val="5"/>
                <c:pt idx="0">
                  <c:v>-50</c:v>
                </c:pt>
                <c:pt idx="1">
                  <c:v>-98</c:v>
                </c:pt>
                <c:pt idx="2">
                  <c:v>-98</c:v>
                </c:pt>
                <c:pt idx="3">
                  <c:v>-50</c:v>
                </c:pt>
                <c:pt idx="4">
                  <c:v>-50</c:v>
                </c:pt>
              </c:numCache>
            </c:numRef>
          </c:xVal>
          <c:yVal>
            <c:numRef>
              <c:f>Stabilito!$C$158:$C$162</c:f>
              <c:numCache>
                <c:formatCode>0</c:formatCode>
                <c:ptCount val="5"/>
                <c:pt idx="0">
                  <c:v>-450</c:v>
                </c:pt>
                <c:pt idx="1">
                  <c:v>-450</c:v>
                </c:pt>
                <c:pt idx="2">
                  <c:v>-600</c:v>
                </c:pt>
                <c:pt idx="3">
                  <c:v>-600</c:v>
                </c:pt>
                <c:pt idx="4">
                  <c:v>-450</c:v>
                </c:pt>
              </c:numCache>
            </c:numRef>
          </c:yVal>
          <c:smooth val="0"/>
          <c:extLst>
            <c:ext xmlns:c16="http://schemas.microsoft.com/office/drawing/2014/chart" uri="{C3380CC4-5D6E-409C-BE32-E72D297353CC}">
              <c16:uniqueId val="{00000009-9E9B-44D3-AF00-2F50F3AA2C7D}"/>
            </c:ext>
          </c:extLst>
        </c:ser>
        <c:ser>
          <c:idx val="8"/>
          <c:order val="8"/>
          <c:tx>
            <c:v>masquage</c:v>
          </c:tx>
          <c:spPr>
            <a:ln w="25400">
              <a:solidFill>
                <a:srgbClr val="FF0000"/>
              </a:solidFill>
              <a:prstDash val="sysDash"/>
            </a:ln>
          </c:spPr>
          <c:marker>
            <c:symbol val="none"/>
          </c:marker>
          <c:xVal>
            <c:numRef>
              <c:f>Stabilito!$D$163:$D$167</c:f>
              <c:numCache>
                <c:formatCode>0</c:formatCode>
                <c:ptCount val="5"/>
                <c:pt idx="0">
                  <c:v>50</c:v>
                </c:pt>
                <c:pt idx="1">
                  <c:v>98</c:v>
                </c:pt>
                <c:pt idx="2">
                  <c:v>98</c:v>
                </c:pt>
                <c:pt idx="3">
                  <c:v>50</c:v>
                </c:pt>
                <c:pt idx="4">
                  <c:v>50</c:v>
                </c:pt>
              </c:numCache>
            </c:numRef>
          </c:xVal>
          <c:yVal>
            <c:numRef>
              <c:f>Stabilito!$C$163:$C$167</c:f>
              <c:numCache>
                <c:formatCode>0</c:formatCode>
                <c:ptCount val="5"/>
                <c:pt idx="0">
                  <c:v>-1895</c:v>
                </c:pt>
                <c:pt idx="1">
                  <c:v>-1923.0319999999999</c:v>
                </c:pt>
                <c:pt idx="2">
                  <c:v>-2159.2719999999999</c:v>
                </c:pt>
                <c:pt idx="3">
                  <c:v>-2185</c:v>
                </c:pt>
                <c:pt idx="4">
                  <c:v>-1895</c:v>
                </c:pt>
              </c:numCache>
            </c:numRef>
          </c:yVal>
          <c:smooth val="0"/>
          <c:extLst>
            <c:ext xmlns:c16="http://schemas.microsoft.com/office/drawing/2014/chart" uri="{C3380CC4-5D6E-409C-BE32-E72D297353CC}">
              <c16:uniqueId val="{0000000A-9E9B-44D3-AF00-2F50F3AA2C7D}"/>
            </c:ext>
          </c:extLst>
        </c:ser>
        <c:ser>
          <c:idx val="9"/>
          <c:order val="9"/>
          <c:tx>
            <c:v>masquage2</c:v>
          </c:tx>
          <c:spPr>
            <a:ln w="25400">
              <a:solidFill>
                <a:srgbClr val="FF0000"/>
              </a:solidFill>
              <a:prstDash val="sysDash"/>
            </a:ln>
          </c:spPr>
          <c:marker>
            <c:symbol val="none"/>
          </c:marker>
          <c:xVal>
            <c:numRef>
              <c:f>Stabilito!$E$163:$E$167</c:f>
              <c:numCache>
                <c:formatCode>0</c:formatCode>
                <c:ptCount val="5"/>
                <c:pt idx="0">
                  <c:v>-50</c:v>
                </c:pt>
                <c:pt idx="1">
                  <c:v>-98</c:v>
                </c:pt>
                <c:pt idx="2">
                  <c:v>-98</c:v>
                </c:pt>
                <c:pt idx="3">
                  <c:v>-50</c:v>
                </c:pt>
                <c:pt idx="4">
                  <c:v>-50</c:v>
                </c:pt>
              </c:numCache>
            </c:numRef>
          </c:xVal>
          <c:yVal>
            <c:numRef>
              <c:f>Stabilito!$C$163:$C$167</c:f>
              <c:numCache>
                <c:formatCode>0</c:formatCode>
                <c:ptCount val="5"/>
                <c:pt idx="0">
                  <c:v>-1895</c:v>
                </c:pt>
                <c:pt idx="1">
                  <c:v>-1923.0319999999999</c:v>
                </c:pt>
                <c:pt idx="2">
                  <c:v>-2159.2719999999999</c:v>
                </c:pt>
                <c:pt idx="3">
                  <c:v>-2185</c:v>
                </c:pt>
                <c:pt idx="4">
                  <c:v>-1895</c:v>
                </c:pt>
              </c:numCache>
            </c:numRef>
          </c:yVal>
          <c:smooth val="0"/>
          <c:extLst>
            <c:ext xmlns:c16="http://schemas.microsoft.com/office/drawing/2014/chart" uri="{C3380CC4-5D6E-409C-BE32-E72D297353CC}">
              <c16:uniqueId val="{0000000B-9E9B-44D3-AF00-2F50F3AA2C7D}"/>
            </c:ext>
          </c:extLst>
        </c:ser>
        <c:ser>
          <c:idx val="10"/>
          <c:order val="10"/>
          <c:tx>
            <c:v>cadre</c:v>
          </c:tx>
          <c:spPr>
            <a:ln w="12700">
              <a:solidFill>
                <a:srgbClr val="FFFFFF"/>
              </a:solidFill>
              <a:prstDash val="solid"/>
            </a:ln>
          </c:spPr>
          <c:marker>
            <c:symbol val="none"/>
          </c:marker>
          <c:xVal>
            <c:numRef>
              <c:f>Stabilito!$D$168:$D$169</c:f>
              <c:numCache>
                <c:formatCode>0</c:formatCode>
                <c:ptCount val="2"/>
                <c:pt idx="0">
                  <c:v>731.66666666666663</c:v>
                </c:pt>
                <c:pt idx="1">
                  <c:v>-731.66666666666663</c:v>
                </c:pt>
              </c:numCache>
            </c:numRef>
          </c:xVal>
          <c:yVal>
            <c:numRef>
              <c:f>Stabilito!$C$168:$C$169</c:f>
              <c:numCache>
                <c:formatCode>0</c:formatCode>
                <c:ptCount val="2"/>
                <c:pt idx="0">
                  <c:v>-2216.9499999999998</c:v>
                </c:pt>
                <c:pt idx="1">
                  <c:v>-2216.9499999999998</c:v>
                </c:pt>
              </c:numCache>
            </c:numRef>
          </c:yVal>
          <c:smooth val="0"/>
          <c:extLst>
            <c:ext xmlns:c16="http://schemas.microsoft.com/office/drawing/2014/chart" uri="{C3380CC4-5D6E-409C-BE32-E72D297353CC}">
              <c16:uniqueId val="{0000000C-9E9B-44D3-AF00-2F50F3AA2C7D}"/>
            </c:ext>
          </c:extLst>
        </c:ser>
        <c:ser>
          <c:idx val="11"/>
          <c:order val="11"/>
          <c:tx>
            <c:v>Propu</c:v>
          </c:tx>
          <c:spPr>
            <a:ln w="25400">
              <a:solidFill>
                <a:srgbClr val="FF00FF"/>
              </a:solidFill>
              <a:prstDash val="solid"/>
            </a:ln>
          </c:spPr>
          <c:marker>
            <c:symbol val="none"/>
          </c:marker>
          <c:xVal>
            <c:numRef>
              <c:f>Stabilito!$D$170:$D$174</c:f>
              <c:numCache>
                <c:formatCode>0</c:formatCode>
                <c:ptCount val="5"/>
                <c:pt idx="0">
                  <c:v>-27</c:v>
                </c:pt>
                <c:pt idx="1">
                  <c:v>27</c:v>
                </c:pt>
                <c:pt idx="2">
                  <c:v>27</c:v>
                </c:pt>
                <c:pt idx="3">
                  <c:v>-27</c:v>
                </c:pt>
                <c:pt idx="4">
                  <c:v>-27</c:v>
                </c:pt>
              </c:numCache>
            </c:numRef>
          </c:xVal>
          <c:yVal>
            <c:numRef>
              <c:f>Stabilito!$C$170:$C$174</c:f>
              <c:numCache>
                <c:formatCode>0</c:formatCode>
                <c:ptCount val="5"/>
                <c:pt idx="0">
                  <c:v>-1716</c:v>
                </c:pt>
                <c:pt idx="1">
                  <c:v>-1716</c:v>
                </c:pt>
                <c:pt idx="2">
                  <c:v>-2204</c:v>
                </c:pt>
                <c:pt idx="3">
                  <c:v>-2204</c:v>
                </c:pt>
                <c:pt idx="4">
                  <c:v>-1716</c:v>
                </c:pt>
              </c:numCache>
            </c:numRef>
          </c:yVal>
          <c:smooth val="0"/>
          <c:extLst>
            <c:ext xmlns:c16="http://schemas.microsoft.com/office/drawing/2014/chart" uri="{C3380CC4-5D6E-409C-BE32-E72D297353CC}">
              <c16:uniqueId val="{0000000D-9E9B-44D3-AF00-2F50F3AA2C7D}"/>
            </c:ext>
          </c:extLst>
        </c:ser>
        <c:ser>
          <c:idx val="12"/>
          <c:order val="12"/>
          <c:tx>
            <c:v>Cone</c:v>
          </c:tx>
          <c:spPr>
            <a:ln w="25400">
              <a:solidFill>
                <a:srgbClr val="800080"/>
              </a:solidFill>
              <a:prstDash val="solid"/>
            </a:ln>
          </c:spPr>
          <c:marker>
            <c:symbol val="none"/>
          </c:marker>
          <c:xVal>
            <c:numRef>
              <c:f>Stabilito!$D$175:$D$180</c:f>
              <c:numCache>
                <c:formatCode>0</c:formatCode>
                <c:ptCount val="6"/>
                <c:pt idx="0">
                  <c:v>0</c:v>
                </c:pt>
                <c:pt idx="1">
                  <c:v>22.5</c:v>
                </c:pt>
                <c:pt idx="2">
                  <c:v>31.499999999999996</c:v>
                </c:pt>
                <c:pt idx="3">
                  <c:v>39.6</c:v>
                </c:pt>
                <c:pt idx="4">
                  <c:v>42.75</c:v>
                </c:pt>
                <c:pt idx="5">
                  <c:v>45</c:v>
                </c:pt>
              </c:numCache>
            </c:numRef>
          </c:xVal>
          <c:yVal>
            <c:numRef>
              <c:f>Stabilito!$C$175:$C$180</c:f>
              <c:numCache>
                <c:formatCode>0</c:formatCode>
                <c:ptCount val="6"/>
                <c:pt idx="0">
                  <c:v>0</c:v>
                </c:pt>
                <c:pt idx="1">
                  <c:v>-4</c:v>
                </c:pt>
                <c:pt idx="2">
                  <c:v>-10</c:v>
                </c:pt>
                <c:pt idx="3">
                  <c:v>-20</c:v>
                </c:pt>
                <c:pt idx="4">
                  <c:v>-30</c:v>
                </c:pt>
                <c:pt idx="5">
                  <c:v>-40</c:v>
                </c:pt>
              </c:numCache>
            </c:numRef>
          </c:yVal>
          <c:smooth val="0"/>
          <c:extLst>
            <c:ext xmlns:c16="http://schemas.microsoft.com/office/drawing/2014/chart" uri="{C3380CC4-5D6E-409C-BE32-E72D297353CC}">
              <c16:uniqueId val="{0000000E-9E9B-44D3-AF00-2F50F3AA2C7D}"/>
            </c:ext>
          </c:extLst>
        </c:ser>
        <c:ser>
          <c:idx val="13"/>
          <c:order val="13"/>
          <c:tx>
            <c:v>Cone1</c:v>
          </c:tx>
          <c:spPr>
            <a:ln w="25400">
              <a:solidFill>
                <a:srgbClr val="800080"/>
              </a:solidFill>
              <a:prstDash val="solid"/>
            </a:ln>
          </c:spPr>
          <c:marker>
            <c:symbol val="none"/>
          </c:marker>
          <c:xVal>
            <c:numRef>
              <c:f>Stabilito!$E$175:$E$180</c:f>
              <c:numCache>
                <c:formatCode>0</c:formatCode>
                <c:ptCount val="6"/>
                <c:pt idx="0">
                  <c:v>0</c:v>
                </c:pt>
                <c:pt idx="1">
                  <c:v>-22.5</c:v>
                </c:pt>
                <c:pt idx="2">
                  <c:v>-31.499999999999996</c:v>
                </c:pt>
                <c:pt idx="3">
                  <c:v>-39.6</c:v>
                </c:pt>
                <c:pt idx="4">
                  <c:v>-42.75</c:v>
                </c:pt>
                <c:pt idx="5">
                  <c:v>-45</c:v>
                </c:pt>
              </c:numCache>
            </c:numRef>
          </c:xVal>
          <c:yVal>
            <c:numRef>
              <c:f>Stabilito!$C$175:$C$180</c:f>
              <c:numCache>
                <c:formatCode>0</c:formatCode>
                <c:ptCount val="6"/>
                <c:pt idx="0">
                  <c:v>0</c:v>
                </c:pt>
                <c:pt idx="1">
                  <c:v>-4</c:v>
                </c:pt>
                <c:pt idx="2">
                  <c:v>-10</c:v>
                </c:pt>
                <c:pt idx="3">
                  <c:v>-20</c:v>
                </c:pt>
                <c:pt idx="4">
                  <c:v>-30</c:v>
                </c:pt>
                <c:pt idx="5">
                  <c:v>-40</c:v>
                </c:pt>
              </c:numCache>
            </c:numRef>
          </c:yVal>
          <c:smooth val="0"/>
          <c:extLst>
            <c:ext xmlns:c16="http://schemas.microsoft.com/office/drawing/2014/chart" uri="{C3380CC4-5D6E-409C-BE32-E72D297353CC}">
              <c16:uniqueId val="{0000000F-9E9B-44D3-AF00-2F50F3AA2C7D}"/>
            </c:ext>
          </c:extLst>
        </c:ser>
        <c:ser>
          <c:idx val="14"/>
          <c:order val="14"/>
          <c:tx>
            <c:strRef>
              <c:f>Stabilito!$B$137</c:f>
              <c:strCache>
                <c:ptCount val="1"/>
                <c:pt idx="0">
                  <c:v>Envergure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b"/>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0-9E9B-44D3-AF00-2F50F3AA2C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Stabilito!$D$137:$D$139</c:f>
              <c:numCache>
                <c:formatCode>0</c:formatCode>
                <c:ptCount val="3"/>
                <c:pt idx="0">
                  <c:v>-175</c:v>
                </c:pt>
                <c:pt idx="1">
                  <c:v>-112.5</c:v>
                </c:pt>
                <c:pt idx="2">
                  <c:v>-50</c:v>
                </c:pt>
              </c:numCache>
            </c:numRef>
          </c:xVal>
          <c:yVal>
            <c:numRef>
              <c:f>Stabilito!$C$137:$C$139</c:f>
              <c:numCache>
                <c:formatCode>0</c:formatCode>
                <c:ptCount val="3"/>
                <c:pt idx="0">
                  <c:v>-2258.1666666666665</c:v>
                </c:pt>
                <c:pt idx="1">
                  <c:v>-2258.1666666666665</c:v>
                </c:pt>
                <c:pt idx="2">
                  <c:v>-2258.1666666666665</c:v>
                </c:pt>
              </c:numCache>
            </c:numRef>
          </c:yVal>
          <c:smooth val="0"/>
          <c:extLst>
            <c:ext xmlns:c16="http://schemas.microsoft.com/office/drawing/2014/chart" uri="{C3380CC4-5D6E-409C-BE32-E72D297353CC}">
              <c16:uniqueId val="{00000011-9E9B-44D3-AF00-2F50F3AA2C7D}"/>
            </c:ext>
          </c:extLst>
        </c:ser>
        <c:ser>
          <c:idx val="15"/>
          <c:order val="15"/>
          <c:tx>
            <c:strRef>
              <c:f>Stabilito!$B$143</c:f>
              <c:strCache>
                <c:ptCount val="1"/>
                <c:pt idx="0">
                  <c:v>Flèche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2-9E9B-44D3-AF00-2F50F3AA2C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Stabilito!$D$143:$D$145</c:f>
              <c:numCache>
                <c:formatCode>0</c:formatCode>
                <c:ptCount val="3"/>
                <c:pt idx="0">
                  <c:v>-248.16666666666669</c:v>
                </c:pt>
                <c:pt idx="1">
                  <c:v>-248.16666666666669</c:v>
                </c:pt>
                <c:pt idx="2">
                  <c:v>-248.16666666666669</c:v>
                </c:pt>
              </c:numCache>
            </c:numRef>
          </c:xVal>
          <c:yVal>
            <c:numRef>
              <c:f>Stabilito!$C$143:$C$145</c:f>
              <c:numCache>
                <c:formatCode>0</c:formatCode>
                <c:ptCount val="3"/>
                <c:pt idx="0">
                  <c:v>-1895</c:v>
                </c:pt>
                <c:pt idx="1">
                  <c:v>-1931.5</c:v>
                </c:pt>
                <c:pt idx="2">
                  <c:v>-1968</c:v>
                </c:pt>
              </c:numCache>
            </c:numRef>
          </c:yVal>
          <c:smooth val="0"/>
          <c:extLst>
            <c:ext xmlns:c16="http://schemas.microsoft.com/office/drawing/2014/chart" uri="{C3380CC4-5D6E-409C-BE32-E72D297353CC}">
              <c16:uniqueId val="{00000013-9E9B-44D3-AF00-2F50F3AA2C7D}"/>
            </c:ext>
          </c:extLst>
        </c:ser>
        <c:ser>
          <c:idx val="16"/>
          <c:order val="16"/>
          <c:tx>
            <c:strRef>
              <c:f>Stabilito!$B$146</c:f>
              <c:strCache>
                <c:ptCount val="1"/>
                <c:pt idx="0">
                  <c:v>Saumon</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4-9E9B-44D3-AF00-2F50F3AA2C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Stabilito!$D$146:$D$148</c:f>
              <c:numCache>
                <c:formatCode>0</c:formatCode>
                <c:ptCount val="3"/>
                <c:pt idx="0">
                  <c:v>-284.75</c:v>
                </c:pt>
                <c:pt idx="1">
                  <c:v>-284.75</c:v>
                </c:pt>
                <c:pt idx="2">
                  <c:v>-284.75</c:v>
                </c:pt>
              </c:numCache>
            </c:numRef>
          </c:xVal>
          <c:yVal>
            <c:numRef>
              <c:f>Stabilito!$C$146:$C$148</c:f>
              <c:numCache>
                <c:formatCode>0</c:formatCode>
                <c:ptCount val="3"/>
                <c:pt idx="0">
                  <c:v>-1968</c:v>
                </c:pt>
                <c:pt idx="1">
                  <c:v>-2043</c:v>
                </c:pt>
                <c:pt idx="2">
                  <c:v>-2118</c:v>
                </c:pt>
              </c:numCache>
            </c:numRef>
          </c:yVal>
          <c:smooth val="0"/>
          <c:extLst>
            <c:ext xmlns:c16="http://schemas.microsoft.com/office/drawing/2014/chart" uri="{C3380CC4-5D6E-409C-BE32-E72D297353CC}">
              <c16:uniqueId val="{00000015-9E9B-44D3-AF00-2F50F3AA2C7D}"/>
            </c:ext>
          </c:extLst>
        </c:ser>
        <c:ser>
          <c:idx val="17"/>
          <c:order val="17"/>
          <c:tx>
            <c:strRef>
              <c:f>Stabilito!$B$140</c:f>
              <c:strCache>
                <c:ptCount val="1"/>
                <c:pt idx="0">
                  <c:v>Emplanture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r"/>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6-9E9B-44D3-AF00-2F50F3AA2C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Stabilito!$D$140:$D$142</c:f>
              <c:numCache>
                <c:formatCode>0</c:formatCode>
                <c:ptCount val="3"/>
                <c:pt idx="0">
                  <c:v>284.75</c:v>
                </c:pt>
                <c:pt idx="1">
                  <c:v>284.75</c:v>
                </c:pt>
                <c:pt idx="2">
                  <c:v>284.75</c:v>
                </c:pt>
              </c:numCache>
            </c:numRef>
          </c:xVal>
          <c:yVal>
            <c:numRef>
              <c:f>Stabilito!$C$140:$C$142</c:f>
              <c:numCache>
                <c:formatCode>0</c:formatCode>
                <c:ptCount val="3"/>
                <c:pt idx="0">
                  <c:v>-1895</c:v>
                </c:pt>
                <c:pt idx="1">
                  <c:v>-2040</c:v>
                </c:pt>
                <c:pt idx="2">
                  <c:v>-2185</c:v>
                </c:pt>
              </c:numCache>
            </c:numRef>
          </c:yVal>
          <c:smooth val="0"/>
          <c:extLst>
            <c:ext xmlns:c16="http://schemas.microsoft.com/office/drawing/2014/chart" uri="{C3380CC4-5D6E-409C-BE32-E72D297353CC}">
              <c16:uniqueId val="{00000017-9E9B-44D3-AF00-2F50F3AA2C7D}"/>
            </c:ext>
          </c:extLst>
        </c:ser>
        <c:ser>
          <c:idx val="18"/>
          <c:order val="18"/>
          <c:tx>
            <c:strRef>
              <c:f>Stabilito!$B$155</c:f>
              <c:strCache>
                <c:ptCount val="1"/>
                <c:pt idx="0">
                  <c:v>Marge Statique</c:v>
                </c:pt>
              </c:strCache>
            </c:strRef>
          </c:tx>
          <c:spPr>
            <a:ln w="12700">
              <a:solidFill>
                <a:schemeClr val="tx1"/>
              </a:solidFill>
            </a:ln>
          </c:spPr>
          <c:marker>
            <c:symbol val="none"/>
          </c:marker>
          <c:dLbls>
            <c:dLbl>
              <c:idx val="1"/>
              <c:layout/>
              <c:spPr>
                <a:noFill/>
                <a:ln w="25400">
                  <a:noFill/>
                </a:ln>
              </c:spPr>
              <c:txPr>
                <a:bodyPr/>
                <a:lstStyle/>
                <a:p>
                  <a:pPr>
                    <a:defRPr sz="600" b="0" i="0" u="none" strike="noStrike" baseline="0">
                      <a:solidFill>
                        <a:srgbClr val="000000"/>
                      </a:solidFill>
                      <a:latin typeface="Arial"/>
                      <a:ea typeface="Arial"/>
                      <a:cs typeface="Arial"/>
                    </a:defRPr>
                  </a:pPr>
                  <a:endParaRPr lang="fr-FR"/>
                </a:p>
              </c:txPr>
              <c:dLblPos val="l"/>
              <c:showLegendKey val="0"/>
              <c:showVal val="0"/>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8-9E9B-44D3-AF00-2F50F3AA2C7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Stabilito!$D$155:$D$157</c:f>
              <c:numCache>
                <c:formatCode>0</c:formatCode>
                <c:ptCount val="3"/>
                <c:pt idx="0">
                  <c:v>-284.75</c:v>
                </c:pt>
                <c:pt idx="1">
                  <c:v>-284.75</c:v>
                </c:pt>
                <c:pt idx="2">
                  <c:v>-284.75</c:v>
                </c:pt>
              </c:numCache>
            </c:numRef>
          </c:xVal>
          <c:yVal>
            <c:numRef>
              <c:f>Stabilito!$C$155:$C$157</c:f>
              <c:numCache>
                <c:formatCode>0</c:formatCode>
                <c:ptCount val="3"/>
                <c:pt idx="0">
                  <c:v>-1280.5159673138187</c:v>
                </c:pt>
                <c:pt idx="1">
                  <c:v>-1415.4583262828746</c:v>
                </c:pt>
                <c:pt idx="2">
                  <c:v>-1550.4006852519308</c:v>
                </c:pt>
              </c:numCache>
            </c:numRef>
          </c:yVal>
          <c:smooth val="0"/>
          <c:extLst>
            <c:ext xmlns:c16="http://schemas.microsoft.com/office/drawing/2014/chart" uri="{C3380CC4-5D6E-409C-BE32-E72D297353CC}">
              <c16:uniqueId val="{00000019-9E9B-44D3-AF00-2F50F3AA2C7D}"/>
            </c:ext>
          </c:extLst>
        </c:ser>
        <c:dLbls>
          <c:showLegendKey val="0"/>
          <c:showVal val="0"/>
          <c:showCatName val="0"/>
          <c:showSerName val="0"/>
          <c:showPercent val="0"/>
          <c:showBubbleSize val="0"/>
        </c:dLbls>
        <c:axId val="148707200"/>
        <c:axId val="148708736"/>
      </c:scatterChart>
      <c:valAx>
        <c:axId val="148707200"/>
        <c:scaling>
          <c:orientation val="minMax"/>
        </c:scaling>
        <c:delete val="0"/>
        <c:axPos val="t"/>
        <c:numFmt formatCode="0"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fr-FR"/>
          </a:p>
        </c:txPr>
        <c:crossAx val="148708736"/>
        <c:crosses val="max"/>
        <c:crossBetween val="midCat"/>
      </c:valAx>
      <c:valAx>
        <c:axId val="148708736"/>
        <c:scaling>
          <c:orientation val="minMax"/>
        </c:scaling>
        <c:delete val="0"/>
        <c:axPos val="r"/>
        <c:numFmt formatCode="0"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fr-FR"/>
          </a:p>
        </c:txPr>
        <c:crossAx val="148707200"/>
        <c:crosses val="max"/>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95" footer="0.49212598450000095"/>
    <c:pageSetup paperSize="9" orientation="landscape"/>
  </c:printSettings>
</c:chartSpace>
</file>

<file path=xl/ctrlProps/ctrlProp1.xml><?xml version="1.0" encoding="utf-8"?>
<formControlPr xmlns="http://schemas.microsoft.com/office/spreadsheetml/2009/9/main" objectType="Spin" dx="15" fmlaLink="$C$22" inc="25" max="30000" noThreeD="1" page="10" val="40"/>
</file>

<file path=xl/ctrlProps/ctrlProp2.xml><?xml version="1.0" encoding="utf-8"?>
<formControlPr xmlns="http://schemas.microsoft.com/office/spreadsheetml/2009/9/main" objectType="Spin" dx="15" fmlaLink="$C$11" inc="100" max="30000" noThreeD="1" page="10" val="7730"/>
</file>

<file path=xl/ctrlProps/ctrlProp3.xml><?xml version="1.0" encoding="utf-8"?>
<formControlPr xmlns="http://schemas.microsoft.com/office/spreadsheetml/2009/9/main" objectType="Spin" dx="15" fmlaLink="$C$12" inc="50" max="30000" noThreeD="1" page="10" val="1180"/>
</file>

<file path=xl/ctrlProps/ctrlProp4.xml><?xml version="1.0" encoding="utf-8"?>
<formControlPr xmlns="http://schemas.microsoft.com/office/spreadsheetml/2009/9/main" objectType="Spin" dx="15" fmlaLink="$C$23" inc="20" max="30000" noThreeD="1" page="10" val="90"/>
</file>

<file path=xl/ctrlProps/ctrlProp5.xml><?xml version="1.0" encoding="utf-8"?>
<formControlPr xmlns="http://schemas.microsoft.com/office/spreadsheetml/2009/9/main" objectType="Spin" dx="15" fmlaLink="$C$27" inc="10" max="30000" noThreeD="1" page="10" val="290"/>
</file>

<file path=xl/ctrlProps/ctrlProp6.xml><?xml version="1.0" encoding="utf-8"?>
<formControlPr xmlns="http://schemas.microsoft.com/office/spreadsheetml/2009/9/main" objectType="Spin" dx="15" fmlaLink="$C$28" inc="10" max="30000" noThreeD="1" page="10" val="150"/>
</file>

<file path=xl/ctrlProps/ctrlProp7.xml><?xml version="1.0" encoding="utf-8"?>
<formControlPr xmlns="http://schemas.microsoft.com/office/spreadsheetml/2009/9/main" objectType="Spin" dx="15" fmlaLink="$C$29" inc="10" max="30000" noThreeD="1" page="10" val="73"/>
</file>

<file path=xl/ctrlProps/ctrlProp8.xml><?xml version="1.0" encoding="utf-8"?>
<formControlPr xmlns="http://schemas.microsoft.com/office/spreadsheetml/2009/9/main" objectType="Spin" dx="15" fmlaLink="$C$30" inc="10" max="30000" noThreeD="1" page="10" val="125"/>
</file>

<file path=xl/ctrlProps/ctrlProp9.xml><?xml version="1.0" encoding="utf-8"?>
<formControlPr xmlns="http://schemas.microsoft.com/office/spreadsheetml/2009/9/main" objectType="Spin" dx="15" fmlaLink="$C$31" max="30000" noThreeD="1" page="10" val="2"/>
</file>

<file path=xl/ctrlProps/ctrlProp10.xml><?xml version="1.0" encoding="utf-8"?>
<formControlPr xmlns="http://schemas.microsoft.com/office/spreadsheetml/2009/9/main" objectType="Spin" dx="15" fmlaLink="$C$32" max="6" min="3" noThreeD="1" page="10" val="4"/>
</file>

<file path=xl/ctrlProps/ctrlProp11.xml><?xml version="1.0" encoding="utf-8"?>
<formControlPr xmlns="http://schemas.microsoft.com/office/spreadsheetml/2009/9/main" objectType="Spin" dx="15" fmlaLink="$C$13" inc="50" max="30000" noThreeD="1" page="10" val="2195"/>
</file>

<file path=xl/ctrlProps/ctrlProp12.xml><?xml version="1.0" encoding="utf-8"?>
<formControlPr xmlns="http://schemas.microsoft.com/office/spreadsheetml/2009/9/main" objectType="Spin" dx="15" fmlaLink="$C$11" inc="100" max="30000" noThreeD="1" page="10" val="7730"/>
</file>

<file path=xl/ctrlProps/ctrlProp13.xml><?xml version="1.0" encoding="utf-8"?>
<formControlPr xmlns="http://schemas.microsoft.com/office/spreadsheetml/2009/9/main" objectType="Spin" dx="15" fmlaLink="$C$11" inc="100" max="30000" noThreeD="1" page="10" val="7730"/>
</file>

<file path=xl/ctrlProps/ctrlProp14.xml><?xml version="1.0" encoding="utf-8"?>
<formControlPr xmlns="http://schemas.microsoft.com/office/spreadsheetml/2009/9/main" objectType="Spin" dx="15" fmlaLink="Stabilito!C11" inc="100" max="30000" noThreeD="1" page="10" val="7730"/>
</file>

<file path=xl/ctrlProps/ctrlProp15.xml><?xml version="1.0" encoding="utf-8"?>
<formControlPr xmlns="http://schemas.microsoft.com/office/spreadsheetml/2009/9/main" objectType="Spin" dx="15" fmlaLink="$B$43" inc="50" max="30000" noThreeD="1" page="10" val="500"/>
</file>

<file path=xl/ctrlProps/ctrlProp16.xml><?xml version="1.0" encoding="utf-8"?>
<formControlPr xmlns="http://schemas.microsoft.com/office/spreadsheetml/2009/9/main" objectType="Spin" dx="15" fmlaLink="$B$45" inc="50" max="30000" noThreeD="1" page="10" val="500"/>
</file>

<file path=xl/ctrlProps/ctrlProp17.xml><?xml version="1.0" encoding="utf-8"?>
<formControlPr xmlns="http://schemas.microsoft.com/office/spreadsheetml/2009/9/main" objectType="Spin" dx="15" fmlaLink="$B$51" inc="50" max="30000" noThreeD="1" page="10" val="800"/>
</file>

<file path=xl/ctrlProps/ctrlProp18.xml><?xml version="1.0" encoding="utf-8"?>
<formControlPr xmlns="http://schemas.microsoft.com/office/spreadsheetml/2009/9/main" objectType="Spin" dx="15" fmlaLink="$B$53" inc="5" max="30000" noThreeD="1" page="10" val="75"/>
</file>

<file path=xl/ctrlProps/ctrlProp19.xml><?xml version="1.0" encoding="utf-8"?>
<formControlPr xmlns="http://schemas.microsoft.com/office/spreadsheetml/2009/9/main" objectType="Spin" dx="15" fmlaLink="Stabilito!C11" inc="100" max="30000" noThreeD="1" page="10" val="7730"/>
</file>

<file path=xl/ctrlProps/ctrlProp20.xml><?xml version="1.0" encoding="utf-8"?>
<formControlPr xmlns="http://schemas.microsoft.com/office/spreadsheetml/2009/9/main" objectType="Spin" dx="15" fmlaLink="Stabilito!C11" inc="100" max="30000" noThreeD="1" page="10" val="7730"/>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image" Target="../media/image3.png"/><Relationship Id="rId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5.png"/><Relationship Id="rId1" Type="http://schemas.openxmlformats.org/officeDocument/2006/relationships/image" Target="../media/image44.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3" Type="http://schemas.openxmlformats.org/officeDocument/2006/relationships/image" Target="../media/image19.emf"/><Relationship Id="rId18" Type="http://schemas.openxmlformats.org/officeDocument/2006/relationships/image" Target="../media/image24.emf"/><Relationship Id="rId26" Type="http://schemas.openxmlformats.org/officeDocument/2006/relationships/image" Target="../media/image32.emf"/><Relationship Id="rId3" Type="http://schemas.openxmlformats.org/officeDocument/2006/relationships/image" Target="../media/image9.emf"/><Relationship Id="rId21" Type="http://schemas.openxmlformats.org/officeDocument/2006/relationships/image" Target="../media/image27.emf"/><Relationship Id="rId34" Type="http://schemas.openxmlformats.org/officeDocument/2006/relationships/image" Target="../media/image40.emf"/><Relationship Id="rId7" Type="http://schemas.openxmlformats.org/officeDocument/2006/relationships/image" Target="../media/image13.emf"/><Relationship Id="rId12" Type="http://schemas.openxmlformats.org/officeDocument/2006/relationships/image" Target="../media/image18.emf"/><Relationship Id="rId17" Type="http://schemas.openxmlformats.org/officeDocument/2006/relationships/image" Target="../media/image23.emf"/><Relationship Id="rId25" Type="http://schemas.openxmlformats.org/officeDocument/2006/relationships/image" Target="../media/image31.emf"/><Relationship Id="rId33" Type="http://schemas.openxmlformats.org/officeDocument/2006/relationships/image" Target="../media/image39.emf"/><Relationship Id="rId2" Type="http://schemas.openxmlformats.org/officeDocument/2006/relationships/image" Target="../media/image8.emf"/><Relationship Id="rId16" Type="http://schemas.openxmlformats.org/officeDocument/2006/relationships/image" Target="../media/image22.emf"/><Relationship Id="rId20" Type="http://schemas.openxmlformats.org/officeDocument/2006/relationships/image" Target="../media/image26.emf"/><Relationship Id="rId29" Type="http://schemas.openxmlformats.org/officeDocument/2006/relationships/image" Target="../media/image35.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24" Type="http://schemas.openxmlformats.org/officeDocument/2006/relationships/image" Target="../media/image30.emf"/><Relationship Id="rId32" Type="http://schemas.openxmlformats.org/officeDocument/2006/relationships/image" Target="../media/image38.emf"/><Relationship Id="rId5" Type="http://schemas.openxmlformats.org/officeDocument/2006/relationships/image" Target="../media/image11.emf"/><Relationship Id="rId15" Type="http://schemas.openxmlformats.org/officeDocument/2006/relationships/image" Target="../media/image21.emf"/><Relationship Id="rId23" Type="http://schemas.openxmlformats.org/officeDocument/2006/relationships/image" Target="../media/image29.emf"/><Relationship Id="rId28" Type="http://schemas.openxmlformats.org/officeDocument/2006/relationships/image" Target="../media/image34.emf"/><Relationship Id="rId36" Type="http://schemas.openxmlformats.org/officeDocument/2006/relationships/image" Target="../media/image42.emf"/><Relationship Id="rId10" Type="http://schemas.openxmlformats.org/officeDocument/2006/relationships/image" Target="../media/image16.emf"/><Relationship Id="rId19" Type="http://schemas.openxmlformats.org/officeDocument/2006/relationships/image" Target="../media/image25.emf"/><Relationship Id="rId31" Type="http://schemas.openxmlformats.org/officeDocument/2006/relationships/image" Target="../media/image37.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 Id="rId22" Type="http://schemas.openxmlformats.org/officeDocument/2006/relationships/image" Target="../media/image28.emf"/><Relationship Id="rId27" Type="http://schemas.openxmlformats.org/officeDocument/2006/relationships/image" Target="../media/image33.emf"/><Relationship Id="rId30" Type="http://schemas.openxmlformats.org/officeDocument/2006/relationships/image" Target="../media/image36.emf"/><Relationship Id="rId35" Type="http://schemas.openxmlformats.org/officeDocument/2006/relationships/image" Target="../media/image41.emf"/><Relationship Id="rId8" Type="http://schemas.openxmlformats.org/officeDocument/2006/relationships/image" Target="../media/image1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3.emf"/></Relationships>
</file>

<file path=xl/drawings/drawing1.xml><?xml version="1.0" encoding="utf-8"?>
<xdr:wsDr xmlns:xdr="http://schemas.openxmlformats.org/drawingml/2006/spreadsheetDrawing" xmlns:a="http://schemas.openxmlformats.org/drawingml/2006/main">
  <xdr:twoCellAnchor>
    <xdr:from>
      <xdr:col>12</xdr:col>
      <xdr:colOff>25400</xdr:colOff>
      <xdr:row>1</xdr:row>
      <xdr:rowOff>25400</xdr:rowOff>
    </xdr:from>
    <xdr:to>
      <xdr:col>12</xdr:col>
      <xdr:colOff>488950</xdr:colOff>
      <xdr:row>1</xdr:row>
      <xdr:rowOff>139700</xdr:rowOff>
    </xdr:to>
    <xdr:grpSp>
      <xdr:nvGrpSpPr>
        <xdr:cNvPr id="5096993" name="Groupe 1"/>
        <xdr:cNvGrpSpPr>
          <a:grpSpLocks/>
        </xdr:cNvGrpSpPr>
      </xdr:nvGrpSpPr>
      <xdr:grpSpPr bwMode="auto">
        <a:xfrm>
          <a:off x="7369175" y="187325"/>
          <a:ext cx="463550" cy="114300"/>
          <a:chOff x="7067550" y="190500"/>
          <a:chExt cx="438150" cy="114300"/>
        </a:xfrm>
      </xdr:grpSpPr>
      <xdr:pic>
        <xdr:nvPicPr>
          <xdr:cNvPr id="5096999" name="Image 1"/>
          <xdr:cNvPicPr>
            <a:picLocks noChangeAspect="1"/>
          </xdr:cNvPicPr>
        </xdr:nvPicPr>
        <xdr:blipFill>
          <a:blip xmlns:r="http://schemas.openxmlformats.org/officeDocument/2006/relationships" r:embed="rId1" cstate="print"/>
          <a:srcRect/>
          <a:stretch>
            <a:fillRect/>
          </a:stretch>
        </xdr:blipFill>
        <xdr:spPr bwMode="auto">
          <a:xfrm>
            <a:off x="7067550" y="190500"/>
            <a:ext cx="171450" cy="114300"/>
          </a:xfrm>
          <a:prstGeom prst="rect">
            <a:avLst/>
          </a:prstGeom>
          <a:noFill/>
          <a:ln w="9525">
            <a:noFill/>
            <a:miter lim="800000"/>
            <a:headEnd/>
            <a:tailEnd/>
          </a:ln>
        </xdr:spPr>
      </xdr:pic>
      <xdr:pic>
        <xdr:nvPicPr>
          <xdr:cNvPr id="5097000" name="Image 2"/>
          <xdr:cNvPicPr>
            <a:picLocks noChangeAspect="1"/>
          </xdr:cNvPicPr>
        </xdr:nvPicPr>
        <xdr:blipFill>
          <a:blip xmlns:r="http://schemas.openxmlformats.org/officeDocument/2006/relationships" r:embed="rId2" cstate="print"/>
          <a:srcRect/>
          <a:stretch>
            <a:fillRect/>
          </a:stretch>
        </xdr:blipFill>
        <xdr:spPr bwMode="auto">
          <a:xfrm>
            <a:off x="7277100" y="190500"/>
            <a:ext cx="228600" cy="114300"/>
          </a:xfrm>
          <a:prstGeom prst="rect">
            <a:avLst/>
          </a:prstGeom>
          <a:noFill/>
          <a:ln w="9525">
            <a:noFill/>
            <a:miter lim="800000"/>
            <a:headEnd/>
            <a:tailEnd/>
          </a:ln>
        </xdr:spPr>
      </xdr:pic>
    </xdr:grpSp>
    <xdr:clientData/>
  </xdr:twoCellAnchor>
  <xdr:twoCellAnchor>
    <xdr:from>
      <xdr:col>4</xdr:col>
      <xdr:colOff>279400</xdr:colOff>
      <xdr:row>1</xdr:row>
      <xdr:rowOff>0</xdr:rowOff>
    </xdr:from>
    <xdr:to>
      <xdr:col>10</xdr:col>
      <xdr:colOff>0</xdr:colOff>
      <xdr:row>24</xdr:row>
      <xdr:rowOff>0</xdr:rowOff>
    </xdr:to>
    <xdr:graphicFrame macro="">
      <xdr:nvGraphicFramePr>
        <xdr:cNvPr id="5096994"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25</xdr:row>
      <xdr:rowOff>0</xdr:rowOff>
    </xdr:from>
    <xdr:to>
      <xdr:col>16</xdr:col>
      <xdr:colOff>0</xdr:colOff>
      <xdr:row>35</xdr:row>
      <xdr:rowOff>0</xdr:rowOff>
    </xdr:to>
    <xdr:graphicFrame macro="">
      <xdr:nvGraphicFramePr>
        <xdr:cNvPr id="5096995" name="Graphique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1</xdr:row>
      <xdr:rowOff>0</xdr:rowOff>
    </xdr:from>
    <xdr:to>
      <xdr:col>1</xdr:col>
      <xdr:colOff>984250</xdr:colOff>
      <xdr:row>4</xdr:row>
      <xdr:rowOff>152400</xdr:rowOff>
    </xdr:to>
    <xdr:pic>
      <xdr:nvPicPr>
        <xdr:cNvPr id="5096996" name="Picture 8" descr="logoplasci"/>
        <xdr:cNvPicPr>
          <a:picLocks noChangeAspect="1" noChangeArrowheads="1"/>
        </xdr:cNvPicPr>
      </xdr:nvPicPr>
      <xdr:blipFill>
        <a:blip xmlns:r="http://schemas.openxmlformats.org/officeDocument/2006/relationships" r:embed="rId5" cstate="print"/>
        <a:srcRect/>
        <a:stretch>
          <a:fillRect/>
        </a:stretch>
      </xdr:blipFill>
      <xdr:spPr bwMode="auto">
        <a:xfrm>
          <a:off x="152400" y="158750"/>
          <a:ext cx="984250" cy="628650"/>
        </a:xfrm>
        <a:prstGeom prst="rect">
          <a:avLst/>
        </a:prstGeom>
        <a:noFill/>
        <a:ln w="9525">
          <a:noFill/>
          <a:miter lim="800000"/>
          <a:headEnd/>
          <a:tailEnd/>
        </a:ln>
      </xdr:spPr>
    </xdr:pic>
    <xdr:clientData/>
  </xdr:twoCellAnchor>
  <xdr:twoCellAnchor editAs="oneCell">
    <xdr:from>
      <xdr:col>1</xdr:col>
      <xdr:colOff>0</xdr:colOff>
      <xdr:row>37</xdr:row>
      <xdr:rowOff>0</xdr:rowOff>
    </xdr:from>
    <xdr:to>
      <xdr:col>2</xdr:col>
      <xdr:colOff>850900</xdr:colOff>
      <xdr:row>48</xdr:row>
      <xdr:rowOff>69850</xdr:rowOff>
    </xdr:to>
    <xdr:pic>
      <xdr:nvPicPr>
        <xdr:cNvPr id="5096997" name="Image 1"/>
        <xdr:cNvPicPr>
          <a:picLocks noChangeAspect="1"/>
        </xdr:cNvPicPr>
      </xdr:nvPicPr>
      <xdr:blipFill>
        <a:blip xmlns:r="http://schemas.openxmlformats.org/officeDocument/2006/relationships" r:embed="rId6" cstate="print"/>
        <a:srcRect/>
        <a:stretch>
          <a:fillRect/>
        </a:stretch>
      </xdr:blipFill>
      <xdr:spPr bwMode="auto">
        <a:xfrm>
          <a:off x="152400" y="5873750"/>
          <a:ext cx="1987550" cy="1885950"/>
        </a:xfrm>
        <a:prstGeom prst="rect">
          <a:avLst/>
        </a:prstGeom>
        <a:noFill/>
        <a:ln w="9525">
          <a:noFill/>
          <a:miter lim="800000"/>
          <a:headEnd/>
          <a:tailEnd/>
        </a:ln>
      </xdr:spPr>
    </xdr:pic>
    <xdr:clientData/>
  </xdr:twoCellAnchor>
  <xdr:twoCellAnchor editAs="oneCell">
    <xdr:from>
      <xdr:col>18</xdr:col>
      <xdr:colOff>0</xdr:colOff>
      <xdr:row>3</xdr:row>
      <xdr:rowOff>12700</xdr:rowOff>
    </xdr:from>
    <xdr:to>
      <xdr:col>20</xdr:col>
      <xdr:colOff>565150</xdr:colOff>
      <xdr:row>9</xdr:row>
      <xdr:rowOff>12700</xdr:rowOff>
    </xdr:to>
    <xdr:pic>
      <xdr:nvPicPr>
        <xdr:cNvPr id="5096998" name="Image 2"/>
        <xdr:cNvPicPr>
          <a:picLocks noChangeAspect="1"/>
        </xdr:cNvPicPr>
      </xdr:nvPicPr>
      <xdr:blipFill>
        <a:blip xmlns:r="http://schemas.openxmlformats.org/officeDocument/2006/relationships" r:embed="rId7" cstate="print"/>
        <a:srcRect/>
        <a:stretch>
          <a:fillRect/>
        </a:stretch>
      </xdr:blipFill>
      <xdr:spPr bwMode="auto">
        <a:xfrm>
          <a:off x="9810750" y="488950"/>
          <a:ext cx="2152650" cy="9525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1114425</xdr:colOff>
          <xdr:row>21</xdr:row>
          <xdr:rowOff>19050</xdr:rowOff>
        </xdr:from>
        <xdr:to>
          <xdr:col>4</xdr:col>
          <xdr:colOff>0</xdr:colOff>
          <xdr:row>22</xdr:row>
          <xdr:rowOff>0</xdr:rowOff>
        </xdr:to>
        <xdr:sp macro="" textlink="">
          <xdr:nvSpPr>
            <xdr:cNvPr id="36775" name="Spinner 935" hidden="1">
              <a:extLst>
                <a:ext uri="{63B3BB69-23CF-44E3-9099-C40C66FF867C}">
                  <a14:compatExt spid="_x0000_s3677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10</xdr:row>
          <xdr:rowOff>19050</xdr:rowOff>
        </xdr:from>
        <xdr:to>
          <xdr:col>3</xdr:col>
          <xdr:colOff>0</xdr:colOff>
          <xdr:row>11</xdr:row>
          <xdr:rowOff>0</xdr:rowOff>
        </xdr:to>
        <xdr:sp macro="" textlink="">
          <xdr:nvSpPr>
            <xdr:cNvPr id="36781" name="Spinner 941" hidden="1">
              <a:extLst>
                <a:ext uri="{63B3BB69-23CF-44E3-9099-C40C66FF867C}">
                  <a14:compatExt spid="_x0000_s3678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11</xdr:row>
          <xdr:rowOff>19050</xdr:rowOff>
        </xdr:from>
        <xdr:to>
          <xdr:col>3</xdr:col>
          <xdr:colOff>0</xdr:colOff>
          <xdr:row>12</xdr:row>
          <xdr:rowOff>0</xdr:rowOff>
        </xdr:to>
        <xdr:sp macro="" textlink="">
          <xdr:nvSpPr>
            <xdr:cNvPr id="36782" name="Spinner 942" hidden="1">
              <a:extLst>
                <a:ext uri="{63B3BB69-23CF-44E3-9099-C40C66FF867C}">
                  <a14:compatExt spid="_x0000_s3678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22</xdr:row>
          <xdr:rowOff>19050</xdr:rowOff>
        </xdr:from>
        <xdr:to>
          <xdr:col>4</xdr:col>
          <xdr:colOff>0</xdr:colOff>
          <xdr:row>23</xdr:row>
          <xdr:rowOff>0</xdr:rowOff>
        </xdr:to>
        <xdr:sp macro="" textlink="">
          <xdr:nvSpPr>
            <xdr:cNvPr id="36783" name="Spinner 943" hidden="1">
              <a:extLst>
                <a:ext uri="{63B3BB69-23CF-44E3-9099-C40C66FF867C}">
                  <a14:compatExt spid="_x0000_s367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26</xdr:row>
          <xdr:rowOff>19050</xdr:rowOff>
        </xdr:from>
        <xdr:to>
          <xdr:col>3</xdr:col>
          <xdr:colOff>0</xdr:colOff>
          <xdr:row>27</xdr:row>
          <xdr:rowOff>0</xdr:rowOff>
        </xdr:to>
        <xdr:sp macro="" textlink="">
          <xdr:nvSpPr>
            <xdr:cNvPr id="36789" name="Spinner 949" hidden="1">
              <a:extLst>
                <a:ext uri="{63B3BB69-23CF-44E3-9099-C40C66FF867C}">
                  <a14:compatExt spid="_x0000_s3678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27</xdr:row>
          <xdr:rowOff>19050</xdr:rowOff>
        </xdr:from>
        <xdr:to>
          <xdr:col>3</xdr:col>
          <xdr:colOff>0</xdr:colOff>
          <xdr:row>28</xdr:row>
          <xdr:rowOff>0</xdr:rowOff>
        </xdr:to>
        <xdr:sp macro="" textlink="">
          <xdr:nvSpPr>
            <xdr:cNvPr id="36795" name="Spinner 955" hidden="1">
              <a:extLst>
                <a:ext uri="{63B3BB69-23CF-44E3-9099-C40C66FF867C}">
                  <a14:compatExt spid="_x0000_s3679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28</xdr:row>
          <xdr:rowOff>19050</xdr:rowOff>
        </xdr:from>
        <xdr:to>
          <xdr:col>3</xdr:col>
          <xdr:colOff>0</xdr:colOff>
          <xdr:row>29</xdr:row>
          <xdr:rowOff>0</xdr:rowOff>
        </xdr:to>
        <xdr:sp macro="" textlink="">
          <xdr:nvSpPr>
            <xdr:cNvPr id="36796" name="Spinner 956" hidden="1">
              <a:extLst>
                <a:ext uri="{63B3BB69-23CF-44E3-9099-C40C66FF867C}">
                  <a14:compatExt spid="_x0000_s3679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29</xdr:row>
          <xdr:rowOff>19050</xdr:rowOff>
        </xdr:from>
        <xdr:to>
          <xdr:col>3</xdr:col>
          <xdr:colOff>0</xdr:colOff>
          <xdr:row>30</xdr:row>
          <xdr:rowOff>0</xdr:rowOff>
        </xdr:to>
        <xdr:sp macro="" textlink="">
          <xdr:nvSpPr>
            <xdr:cNvPr id="36797" name="Spinner 957" hidden="1">
              <a:extLst>
                <a:ext uri="{63B3BB69-23CF-44E3-9099-C40C66FF867C}">
                  <a14:compatExt spid="_x0000_s3679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30</xdr:row>
          <xdr:rowOff>19050</xdr:rowOff>
        </xdr:from>
        <xdr:to>
          <xdr:col>3</xdr:col>
          <xdr:colOff>0</xdr:colOff>
          <xdr:row>31</xdr:row>
          <xdr:rowOff>0</xdr:rowOff>
        </xdr:to>
        <xdr:sp macro="" textlink="">
          <xdr:nvSpPr>
            <xdr:cNvPr id="36798" name="Spinner 958" hidden="1">
              <a:extLst>
                <a:ext uri="{63B3BB69-23CF-44E3-9099-C40C66FF867C}">
                  <a14:compatExt spid="_x0000_s3679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31</xdr:row>
          <xdr:rowOff>19050</xdr:rowOff>
        </xdr:from>
        <xdr:to>
          <xdr:col>3</xdr:col>
          <xdr:colOff>0</xdr:colOff>
          <xdr:row>32</xdr:row>
          <xdr:rowOff>0</xdr:rowOff>
        </xdr:to>
        <xdr:sp macro="" textlink="">
          <xdr:nvSpPr>
            <xdr:cNvPr id="36799" name="Spinner 959" hidden="1">
              <a:extLst>
                <a:ext uri="{63B3BB69-23CF-44E3-9099-C40C66FF867C}">
                  <a14:compatExt spid="_x0000_s3679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12</xdr:row>
          <xdr:rowOff>19050</xdr:rowOff>
        </xdr:from>
        <xdr:to>
          <xdr:col>4</xdr:col>
          <xdr:colOff>0</xdr:colOff>
          <xdr:row>13</xdr:row>
          <xdr:rowOff>0</xdr:rowOff>
        </xdr:to>
        <xdr:sp macro="" textlink="">
          <xdr:nvSpPr>
            <xdr:cNvPr id="36801" name="Spinner 961" hidden="1">
              <a:extLst>
                <a:ext uri="{63B3BB69-23CF-44E3-9099-C40C66FF867C}">
                  <a14:compatExt spid="_x0000_s3680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35</xdr:row>
          <xdr:rowOff>19050</xdr:rowOff>
        </xdr:from>
        <xdr:to>
          <xdr:col>19</xdr:col>
          <xdr:colOff>0</xdr:colOff>
          <xdr:row>36</xdr:row>
          <xdr:rowOff>0</xdr:rowOff>
        </xdr:to>
        <xdr:sp macro="" textlink="">
          <xdr:nvSpPr>
            <xdr:cNvPr id="5096691" name="Spinner 3315" hidden="1">
              <a:extLst>
                <a:ext uri="{63B3BB69-23CF-44E3-9099-C40C66FF867C}">
                  <a14:compatExt spid="_x0000_s509669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35</xdr:row>
          <xdr:rowOff>19050</xdr:rowOff>
        </xdr:from>
        <xdr:to>
          <xdr:col>19</xdr:col>
          <xdr:colOff>0</xdr:colOff>
          <xdr:row>36</xdr:row>
          <xdr:rowOff>0</xdr:rowOff>
        </xdr:to>
        <xdr:sp macro="" textlink="">
          <xdr:nvSpPr>
            <xdr:cNvPr id="5096692" name="Spinner 3316" hidden="1">
              <a:extLst>
                <a:ext uri="{63B3BB69-23CF-44E3-9099-C40C66FF867C}">
                  <a14:compatExt spid="_x0000_s509669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1</xdr:row>
      <xdr:rowOff>0</xdr:rowOff>
    </xdr:from>
    <xdr:to>
      <xdr:col>9</xdr:col>
      <xdr:colOff>0</xdr:colOff>
      <xdr:row>20</xdr:row>
      <xdr:rowOff>0</xdr:rowOff>
    </xdr:to>
    <xdr:graphicFrame macro="">
      <xdr:nvGraphicFramePr>
        <xdr:cNvPr id="4779983"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13</xdr:col>
      <xdr:colOff>0</xdr:colOff>
      <xdr:row>20</xdr:row>
      <xdr:rowOff>0</xdr:rowOff>
    </xdr:to>
    <xdr:graphicFrame macro="">
      <xdr:nvGraphicFramePr>
        <xdr:cNvPr id="4779984"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xdr:row>
      <xdr:rowOff>0</xdr:rowOff>
    </xdr:from>
    <xdr:to>
      <xdr:col>1</xdr:col>
      <xdr:colOff>984250</xdr:colOff>
      <xdr:row>4</xdr:row>
      <xdr:rowOff>152400</xdr:rowOff>
    </xdr:to>
    <xdr:pic>
      <xdr:nvPicPr>
        <xdr:cNvPr id="4779985" name="Picture 8" descr="logoplasci"/>
        <xdr:cNvPicPr>
          <a:picLocks noChangeAspect="1" noChangeArrowheads="1"/>
        </xdr:cNvPicPr>
      </xdr:nvPicPr>
      <xdr:blipFill>
        <a:blip xmlns:r="http://schemas.openxmlformats.org/officeDocument/2006/relationships" r:embed="rId3" cstate="print"/>
        <a:srcRect/>
        <a:stretch>
          <a:fillRect/>
        </a:stretch>
      </xdr:blipFill>
      <xdr:spPr bwMode="auto">
        <a:xfrm>
          <a:off x="152400" y="165100"/>
          <a:ext cx="984250" cy="628650"/>
        </a:xfrm>
        <a:prstGeom prst="rect">
          <a:avLst/>
        </a:prstGeom>
        <a:noFill/>
        <a:ln w="9525">
          <a:noFill/>
          <a:miter lim="800000"/>
          <a:headEnd/>
          <a:tailEnd/>
        </a:ln>
      </xdr:spPr>
    </xdr:pic>
    <xdr:clientData/>
  </xdr:twoCellAnchor>
  <xdr:twoCellAnchor>
    <xdr:from>
      <xdr:col>2</xdr:col>
      <xdr:colOff>139700</xdr:colOff>
      <xdr:row>38</xdr:row>
      <xdr:rowOff>120650</xdr:rowOff>
    </xdr:from>
    <xdr:to>
      <xdr:col>3</xdr:col>
      <xdr:colOff>723900</xdr:colOff>
      <xdr:row>46</xdr:row>
      <xdr:rowOff>0</xdr:rowOff>
    </xdr:to>
    <xdr:grpSp>
      <xdr:nvGrpSpPr>
        <xdr:cNvPr id="4779986" name="Groupe 1"/>
        <xdr:cNvGrpSpPr>
          <a:grpSpLocks/>
        </xdr:cNvGrpSpPr>
      </xdr:nvGrpSpPr>
      <xdr:grpSpPr bwMode="auto">
        <a:xfrm>
          <a:off x="1368425" y="6283325"/>
          <a:ext cx="1346200" cy="1174750"/>
          <a:chOff x="1362075" y="6410325"/>
          <a:chExt cx="1319468" cy="1181100"/>
        </a:xfrm>
      </xdr:grpSpPr>
      <xdr:sp macro="" textlink="">
        <xdr:nvSpPr>
          <xdr:cNvPr id="4779991" name="Line 320"/>
          <xdr:cNvSpPr>
            <a:spLocks noChangeShapeType="1"/>
          </xdr:cNvSpPr>
        </xdr:nvSpPr>
        <xdr:spPr bwMode="auto">
          <a:xfrm flipH="1">
            <a:off x="1462415" y="7296150"/>
            <a:ext cx="351189" cy="0"/>
          </a:xfrm>
          <a:prstGeom prst="line">
            <a:avLst/>
          </a:prstGeom>
          <a:noFill/>
          <a:ln w="9525">
            <a:solidFill>
              <a:srgbClr val="000000"/>
            </a:solidFill>
            <a:round/>
            <a:headEnd type="triangle" w="med" len="med"/>
            <a:tailEnd type="triangle" w="med" len="med"/>
          </a:ln>
        </xdr:spPr>
      </xdr:sp>
      <xdr:sp macro="" textlink="">
        <xdr:nvSpPr>
          <xdr:cNvPr id="4779992" name="Rectangle 314"/>
          <xdr:cNvSpPr>
            <a:spLocks noChangeArrowheads="1"/>
          </xdr:cNvSpPr>
        </xdr:nvSpPr>
        <xdr:spPr bwMode="auto">
          <a:xfrm>
            <a:off x="1833672" y="6410325"/>
            <a:ext cx="481630" cy="1181100"/>
          </a:xfrm>
          <a:prstGeom prst="rect">
            <a:avLst/>
          </a:prstGeom>
          <a:solidFill>
            <a:srgbClr val="F2F2F2"/>
          </a:solidFill>
          <a:ln w="9525">
            <a:solidFill>
              <a:srgbClr val="000000"/>
            </a:solidFill>
            <a:miter lim="800000"/>
            <a:headEnd/>
            <a:tailEnd/>
          </a:ln>
        </xdr:spPr>
      </xdr:sp>
      <xdr:sp macro="" textlink="">
        <xdr:nvSpPr>
          <xdr:cNvPr id="4779993" name="Rectangle 315"/>
          <xdr:cNvSpPr>
            <a:spLocks noChangeArrowheads="1"/>
          </xdr:cNvSpPr>
        </xdr:nvSpPr>
        <xdr:spPr bwMode="auto">
          <a:xfrm rot="-5400000">
            <a:off x="1838363" y="6388995"/>
            <a:ext cx="482283" cy="1204076"/>
          </a:xfrm>
          <a:prstGeom prst="rect">
            <a:avLst/>
          </a:prstGeom>
          <a:solidFill>
            <a:srgbClr val="F2F2F2"/>
          </a:solidFill>
          <a:ln w="9525">
            <a:solidFill>
              <a:srgbClr val="000000"/>
            </a:solidFill>
            <a:miter lim="800000"/>
            <a:headEnd/>
            <a:tailEnd/>
          </a:ln>
        </xdr:spPr>
      </xdr:sp>
      <xdr:sp macro="" textlink="">
        <xdr:nvSpPr>
          <xdr:cNvPr id="4779994" name="Line 316"/>
          <xdr:cNvSpPr>
            <a:spLocks noChangeShapeType="1"/>
          </xdr:cNvSpPr>
        </xdr:nvSpPr>
        <xdr:spPr bwMode="auto">
          <a:xfrm>
            <a:off x="1833672" y="6744970"/>
            <a:ext cx="0" cy="482283"/>
          </a:xfrm>
          <a:prstGeom prst="line">
            <a:avLst/>
          </a:prstGeom>
          <a:noFill/>
          <a:ln w="9525">
            <a:solidFill>
              <a:srgbClr val="000000"/>
            </a:solidFill>
            <a:round/>
            <a:headEnd/>
            <a:tailEnd/>
          </a:ln>
        </xdr:spPr>
      </xdr:sp>
      <xdr:sp macro="" textlink="">
        <xdr:nvSpPr>
          <xdr:cNvPr id="4779995" name="Line 317"/>
          <xdr:cNvSpPr>
            <a:spLocks noChangeShapeType="1"/>
          </xdr:cNvSpPr>
        </xdr:nvSpPr>
        <xdr:spPr bwMode="auto">
          <a:xfrm>
            <a:off x="2312198" y="6744970"/>
            <a:ext cx="0" cy="482283"/>
          </a:xfrm>
          <a:prstGeom prst="line">
            <a:avLst/>
          </a:prstGeom>
          <a:noFill/>
          <a:ln w="9525">
            <a:solidFill>
              <a:srgbClr val="000000"/>
            </a:solidFill>
            <a:round/>
            <a:headEnd/>
            <a:tailEnd/>
          </a:ln>
        </xdr:spPr>
      </xdr:sp>
      <xdr:sp macro="" textlink="">
        <xdr:nvSpPr>
          <xdr:cNvPr id="4779996" name="Line 319"/>
          <xdr:cNvSpPr>
            <a:spLocks noChangeShapeType="1"/>
          </xdr:cNvSpPr>
        </xdr:nvSpPr>
        <xdr:spPr bwMode="auto">
          <a:xfrm>
            <a:off x="1362075" y="6744970"/>
            <a:ext cx="0" cy="482283"/>
          </a:xfrm>
          <a:prstGeom prst="line">
            <a:avLst/>
          </a:prstGeom>
          <a:noFill/>
          <a:ln w="9525">
            <a:solidFill>
              <a:srgbClr val="000000"/>
            </a:solidFill>
            <a:round/>
            <a:headEnd type="triangle" w="med" len="med"/>
            <a:tailEnd type="triangle" w="med" len="med"/>
          </a:ln>
        </xdr:spPr>
      </xdr:sp>
    </xdr:grpSp>
    <xdr:clientData/>
  </xdr:twoCellAnchor>
  <xdr:twoCellAnchor>
    <xdr:from>
      <xdr:col>2</xdr:col>
      <xdr:colOff>260350</xdr:colOff>
      <xdr:row>49</xdr:row>
      <xdr:rowOff>19050</xdr:rowOff>
    </xdr:from>
    <xdr:to>
      <xdr:col>3</xdr:col>
      <xdr:colOff>514350</xdr:colOff>
      <xdr:row>54</xdr:row>
      <xdr:rowOff>120650</xdr:rowOff>
    </xdr:to>
    <xdr:sp macro="" textlink="">
      <xdr:nvSpPr>
        <xdr:cNvPr id="4779987" name="Oval 323"/>
        <xdr:cNvSpPr>
          <a:spLocks noChangeArrowheads="1"/>
        </xdr:cNvSpPr>
      </xdr:nvSpPr>
      <xdr:spPr bwMode="auto">
        <a:xfrm>
          <a:off x="1549400" y="7981950"/>
          <a:ext cx="1047750" cy="927100"/>
        </a:xfrm>
        <a:prstGeom prst="ellipse">
          <a:avLst/>
        </a:prstGeom>
        <a:solidFill>
          <a:srgbClr val="F2F2F2"/>
        </a:solidFill>
        <a:ln w="9525">
          <a:solidFill>
            <a:srgbClr val="000000"/>
          </a:solidFill>
          <a:round/>
          <a:headEnd/>
          <a:tailEnd/>
        </a:ln>
      </xdr:spPr>
    </xdr:sp>
    <xdr:clientData/>
  </xdr:twoCellAnchor>
  <xdr:twoCellAnchor>
    <xdr:from>
      <xdr:col>2</xdr:col>
      <xdr:colOff>698500</xdr:colOff>
      <xdr:row>51</xdr:row>
      <xdr:rowOff>57150</xdr:rowOff>
    </xdr:from>
    <xdr:to>
      <xdr:col>3</xdr:col>
      <xdr:colOff>88900</xdr:colOff>
      <xdr:row>52</xdr:row>
      <xdr:rowOff>76200</xdr:rowOff>
    </xdr:to>
    <xdr:sp macro="" textlink="">
      <xdr:nvSpPr>
        <xdr:cNvPr id="4779988" name="Oval 323"/>
        <xdr:cNvSpPr>
          <a:spLocks noChangeArrowheads="1"/>
        </xdr:cNvSpPr>
      </xdr:nvSpPr>
      <xdr:spPr bwMode="auto">
        <a:xfrm>
          <a:off x="1987550" y="8350250"/>
          <a:ext cx="184150" cy="184150"/>
        </a:xfrm>
        <a:prstGeom prst="ellipse">
          <a:avLst/>
        </a:prstGeom>
        <a:solidFill>
          <a:srgbClr val="FFFFFF"/>
        </a:solidFill>
        <a:ln w="9525">
          <a:solidFill>
            <a:srgbClr val="000000"/>
          </a:solidFill>
          <a:round/>
          <a:headEnd/>
          <a:tailEnd/>
        </a:ln>
      </xdr:spPr>
    </xdr:sp>
    <xdr:clientData/>
  </xdr:twoCellAnchor>
  <xdr:twoCellAnchor>
    <xdr:from>
      <xdr:col>3</xdr:col>
      <xdr:colOff>0</xdr:colOff>
      <xdr:row>49</xdr:row>
      <xdr:rowOff>19050</xdr:rowOff>
    </xdr:from>
    <xdr:to>
      <xdr:col>3</xdr:col>
      <xdr:colOff>0</xdr:colOff>
      <xdr:row>51</xdr:row>
      <xdr:rowOff>146050</xdr:rowOff>
    </xdr:to>
    <xdr:sp macro="" textlink="">
      <xdr:nvSpPr>
        <xdr:cNvPr id="4779989" name="Line 324"/>
        <xdr:cNvSpPr>
          <a:spLocks noChangeShapeType="1"/>
        </xdr:cNvSpPr>
      </xdr:nvSpPr>
      <xdr:spPr bwMode="auto">
        <a:xfrm>
          <a:off x="2082800" y="7981950"/>
          <a:ext cx="0" cy="457200"/>
        </a:xfrm>
        <a:prstGeom prst="line">
          <a:avLst/>
        </a:prstGeom>
        <a:noFill/>
        <a:ln w="9525">
          <a:solidFill>
            <a:srgbClr val="000000"/>
          </a:solidFill>
          <a:round/>
          <a:headEnd type="triangle" w="med" len="med"/>
          <a:tailEnd type="triangle" w="med" len="med"/>
        </a:ln>
      </xdr:spPr>
    </xdr:sp>
    <xdr:clientData/>
  </xdr:twoCellAnchor>
  <xdr:twoCellAnchor>
    <xdr:from>
      <xdr:col>3</xdr:col>
      <xdr:colOff>0</xdr:colOff>
      <xdr:row>51</xdr:row>
      <xdr:rowOff>146050</xdr:rowOff>
    </xdr:from>
    <xdr:to>
      <xdr:col>3</xdr:col>
      <xdr:colOff>0</xdr:colOff>
      <xdr:row>52</xdr:row>
      <xdr:rowOff>88900</xdr:rowOff>
    </xdr:to>
    <xdr:sp macro="" textlink="">
      <xdr:nvSpPr>
        <xdr:cNvPr id="4779990" name="Line 324"/>
        <xdr:cNvSpPr>
          <a:spLocks noChangeShapeType="1"/>
        </xdr:cNvSpPr>
      </xdr:nvSpPr>
      <xdr:spPr bwMode="auto">
        <a:xfrm flipH="1">
          <a:off x="2082800" y="8439150"/>
          <a:ext cx="0" cy="107950"/>
        </a:xfrm>
        <a:prstGeom prst="line">
          <a:avLst/>
        </a:prstGeom>
        <a:noFill/>
        <a:ln w="9525">
          <a:solidFill>
            <a:srgbClr val="000000"/>
          </a:solidFill>
          <a:round/>
          <a:headEnd type="triangle" w="sm" len="sm"/>
          <a:tailEnd type="triangle" w="sm" len="sm"/>
        </a:ln>
      </xdr:spPr>
    </xdr:sp>
    <xdr:clientData/>
  </xdr:twoCellAnchor>
  <mc:AlternateContent xmlns:mc="http://schemas.openxmlformats.org/markup-compatibility/2006">
    <mc:Choice xmlns:a14="http://schemas.microsoft.com/office/drawing/2010/main" Requires="a14">
      <xdr:twoCellAnchor>
        <xdr:from>
          <xdr:col>3</xdr:col>
          <xdr:colOff>962025</xdr:colOff>
          <xdr:row>9</xdr:row>
          <xdr:rowOff>19050</xdr:rowOff>
        </xdr:from>
        <xdr:to>
          <xdr:col>4</xdr:col>
          <xdr:colOff>0</xdr:colOff>
          <xdr:row>10</xdr:row>
          <xdr:rowOff>0</xdr:rowOff>
        </xdr:to>
        <xdr:sp macro="" textlink="">
          <xdr:nvSpPr>
            <xdr:cNvPr id="1424424" name="Spinner 1064" hidden="1">
              <a:extLst>
                <a:ext uri="{63B3BB69-23CF-44E3-9099-C40C66FF867C}">
                  <a14:compatExt spid="_x0000_s142442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42</xdr:row>
          <xdr:rowOff>19050</xdr:rowOff>
        </xdr:from>
        <xdr:to>
          <xdr:col>2</xdr:col>
          <xdr:colOff>0</xdr:colOff>
          <xdr:row>43</xdr:row>
          <xdr:rowOff>0</xdr:rowOff>
        </xdr:to>
        <xdr:sp macro="" textlink="">
          <xdr:nvSpPr>
            <xdr:cNvPr id="1424589" name="Spinner 1229" hidden="1">
              <a:extLst>
                <a:ext uri="{63B3BB69-23CF-44E3-9099-C40C66FF867C}">
                  <a14:compatExt spid="_x0000_s142458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44</xdr:row>
          <xdr:rowOff>19050</xdr:rowOff>
        </xdr:from>
        <xdr:to>
          <xdr:col>2</xdr:col>
          <xdr:colOff>0</xdr:colOff>
          <xdr:row>45</xdr:row>
          <xdr:rowOff>0</xdr:rowOff>
        </xdr:to>
        <xdr:sp macro="" textlink="">
          <xdr:nvSpPr>
            <xdr:cNvPr id="1424590" name="Spinner 1230" hidden="1">
              <a:extLst>
                <a:ext uri="{63B3BB69-23CF-44E3-9099-C40C66FF867C}">
                  <a14:compatExt spid="_x0000_s142459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50</xdr:row>
          <xdr:rowOff>19050</xdr:rowOff>
        </xdr:from>
        <xdr:to>
          <xdr:col>2</xdr:col>
          <xdr:colOff>0</xdr:colOff>
          <xdr:row>51</xdr:row>
          <xdr:rowOff>0</xdr:rowOff>
        </xdr:to>
        <xdr:sp macro="" textlink="">
          <xdr:nvSpPr>
            <xdr:cNvPr id="1424591" name="Spinner 1231" hidden="1">
              <a:extLst>
                <a:ext uri="{63B3BB69-23CF-44E3-9099-C40C66FF867C}">
                  <a14:compatExt spid="_x0000_s142459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93</xdr:row>
          <xdr:rowOff>95250</xdr:rowOff>
        </xdr:from>
        <xdr:to>
          <xdr:col>4</xdr:col>
          <xdr:colOff>85725</xdr:colOff>
          <xdr:row>99</xdr:row>
          <xdr:rowOff>114300</xdr:rowOff>
        </xdr:to>
        <xdr:sp macro="" textlink="">
          <xdr:nvSpPr>
            <xdr:cNvPr id="1425294" name="Object 1934" hidden="1">
              <a:extLst>
                <a:ext uri="{63B3BB69-23CF-44E3-9099-C40C66FF867C}">
                  <a14:compatExt spid="_x0000_s142529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52</xdr:row>
          <xdr:rowOff>19050</xdr:rowOff>
        </xdr:from>
        <xdr:to>
          <xdr:col>2</xdr:col>
          <xdr:colOff>0</xdr:colOff>
          <xdr:row>53</xdr:row>
          <xdr:rowOff>0</xdr:rowOff>
        </xdr:to>
        <xdr:sp macro="" textlink="">
          <xdr:nvSpPr>
            <xdr:cNvPr id="4779462" name="Spinner 4550" hidden="1">
              <a:extLst>
                <a:ext uri="{63B3BB69-23CF-44E3-9099-C40C66FF867C}">
                  <a14:compatExt spid="_x0000_s477946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165100</xdr:colOff>
      <xdr:row>1</xdr:row>
      <xdr:rowOff>0</xdr:rowOff>
    </xdr:from>
    <xdr:to>
      <xdr:col>10</xdr:col>
      <xdr:colOff>622300</xdr:colOff>
      <xdr:row>19</xdr:row>
      <xdr:rowOff>0</xdr:rowOff>
    </xdr:to>
    <xdr:graphicFrame macro="">
      <xdr:nvGraphicFramePr>
        <xdr:cNvPr id="5105813"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165100</xdr:colOff>
      <xdr:row>37</xdr:row>
      <xdr:rowOff>0</xdr:rowOff>
    </xdr:from>
    <xdr:to>
      <xdr:col>10</xdr:col>
      <xdr:colOff>622300</xdr:colOff>
      <xdr:row>55</xdr:row>
      <xdr:rowOff>0</xdr:rowOff>
    </xdr:to>
    <xdr:graphicFrame macro="">
      <xdr:nvGraphicFramePr>
        <xdr:cNvPr id="5105814"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165100</xdr:colOff>
      <xdr:row>19</xdr:row>
      <xdr:rowOff>0</xdr:rowOff>
    </xdr:from>
    <xdr:to>
      <xdr:col>10</xdr:col>
      <xdr:colOff>622300</xdr:colOff>
      <xdr:row>37</xdr:row>
      <xdr:rowOff>0</xdr:rowOff>
    </xdr:to>
    <xdr:graphicFrame macro="">
      <xdr:nvGraphicFramePr>
        <xdr:cNvPr id="5105815"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165100</xdr:colOff>
      <xdr:row>55</xdr:row>
      <xdr:rowOff>0</xdr:rowOff>
    </xdr:from>
    <xdr:to>
      <xdr:col>10</xdr:col>
      <xdr:colOff>622300</xdr:colOff>
      <xdr:row>73</xdr:row>
      <xdr:rowOff>0</xdr:rowOff>
    </xdr:to>
    <xdr:graphicFrame macro="">
      <xdr:nvGraphicFramePr>
        <xdr:cNvPr id="5105816"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12700</xdr:colOff>
      <xdr:row>4</xdr:row>
      <xdr:rowOff>44450</xdr:rowOff>
    </xdr:from>
    <xdr:to>
      <xdr:col>7</xdr:col>
      <xdr:colOff>215900</xdr:colOff>
      <xdr:row>19</xdr:row>
      <xdr:rowOff>133350</xdr:rowOff>
    </xdr:to>
    <xdr:graphicFrame macro="">
      <xdr:nvGraphicFramePr>
        <xdr:cNvPr id="511082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273050</xdr:colOff>
      <xdr:row>1008</xdr:row>
      <xdr:rowOff>146050</xdr:rowOff>
    </xdr:from>
    <xdr:to>
      <xdr:col>16</xdr:col>
      <xdr:colOff>152400</xdr:colOff>
      <xdr:row>1010</xdr:row>
      <xdr:rowOff>82550</xdr:rowOff>
    </xdr:to>
    <xdr:sp macro="" textlink="">
      <xdr:nvSpPr>
        <xdr:cNvPr id="3393" name="Line 60"/>
        <xdr:cNvSpPr>
          <a:spLocks noChangeShapeType="1"/>
        </xdr:cNvSpPr>
      </xdr:nvSpPr>
      <xdr:spPr bwMode="auto">
        <a:xfrm flipH="1">
          <a:off x="5759450" y="160172400"/>
          <a:ext cx="1098550" cy="254000"/>
        </a:xfrm>
        <a:prstGeom prst="line">
          <a:avLst/>
        </a:prstGeom>
        <a:noFill/>
        <a:ln w="9525">
          <a:solidFill>
            <a:srgbClr val="000000"/>
          </a:solidFill>
          <a:round/>
          <a:headEnd/>
          <a:tailEnd type="triangle" w="med" len="med"/>
        </a:ln>
      </xdr:spPr>
    </xdr:sp>
    <xdr:clientData/>
  </xdr:twoCellAnchor>
  <xdr:twoCellAnchor>
    <xdr:from>
      <xdr:col>12</xdr:col>
      <xdr:colOff>279400</xdr:colOff>
      <xdr:row>1011</xdr:row>
      <xdr:rowOff>95250</xdr:rowOff>
    </xdr:from>
    <xdr:to>
      <xdr:col>17</xdr:col>
      <xdr:colOff>349250</xdr:colOff>
      <xdr:row>1013</xdr:row>
      <xdr:rowOff>139700</xdr:rowOff>
    </xdr:to>
    <xdr:sp macro="" textlink="">
      <xdr:nvSpPr>
        <xdr:cNvPr id="3394" name="Line 71"/>
        <xdr:cNvSpPr>
          <a:spLocks noChangeShapeType="1"/>
        </xdr:cNvSpPr>
      </xdr:nvSpPr>
      <xdr:spPr bwMode="auto">
        <a:xfrm flipH="1" flipV="1">
          <a:off x="5765800" y="160597850"/>
          <a:ext cx="1892300" cy="361950"/>
        </a:xfrm>
        <a:prstGeom prst="line">
          <a:avLst/>
        </a:prstGeom>
        <a:noFill/>
        <a:ln w="9525">
          <a:solidFill>
            <a:srgbClr val="000000"/>
          </a:solidFill>
          <a:round/>
          <a:headEnd/>
          <a:tailEnd type="triangle" w="med" len="med"/>
        </a:ln>
      </xdr:spPr>
    </xdr:sp>
    <xdr:clientData/>
  </xdr:twoCellAnchor>
  <xdr:twoCellAnchor>
    <xdr:from>
      <xdr:col>12</xdr:col>
      <xdr:colOff>279400</xdr:colOff>
      <xdr:row>1012</xdr:row>
      <xdr:rowOff>139700</xdr:rowOff>
    </xdr:from>
    <xdr:to>
      <xdr:col>17</xdr:col>
      <xdr:colOff>349250</xdr:colOff>
      <xdr:row>1015</xdr:row>
      <xdr:rowOff>25400</xdr:rowOff>
    </xdr:to>
    <xdr:sp macro="" textlink="">
      <xdr:nvSpPr>
        <xdr:cNvPr id="3395" name="Line 71"/>
        <xdr:cNvSpPr>
          <a:spLocks noChangeShapeType="1"/>
        </xdr:cNvSpPr>
      </xdr:nvSpPr>
      <xdr:spPr bwMode="auto">
        <a:xfrm flipH="1" flipV="1">
          <a:off x="5765800" y="160801050"/>
          <a:ext cx="1892300" cy="361950"/>
        </a:xfrm>
        <a:prstGeom prst="line">
          <a:avLst/>
        </a:prstGeom>
        <a:noFill/>
        <a:ln w="9525">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editAs="oneCell">
        <xdr:from>
          <xdr:col>18</xdr:col>
          <xdr:colOff>19050</xdr:colOff>
          <xdr:row>1010</xdr:row>
          <xdr:rowOff>123825</xdr:rowOff>
        </xdr:from>
        <xdr:to>
          <xdr:col>20</xdr:col>
          <xdr:colOff>361950</xdr:colOff>
          <xdr:row>1013</xdr:row>
          <xdr:rowOff>28575</xdr:rowOff>
        </xdr:to>
        <xdr:sp macro="" textlink="">
          <xdr:nvSpPr>
            <xdr:cNvPr id="3091" name="Object 19" hidden="1">
              <a:extLst>
                <a:ext uri="{63B3BB69-23CF-44E3-9099-C40C66FF867C}">
                  <a14:compatExt spid="_x0000_s30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28575</xdr:colOff>
          <xdr:row>1024</xdr:row>
          <xdr:rowOff>200025</xdr:rowOff>
        </xdr:from>
        <xdr:to>
          <xdr:col>25</xdr:col>
          <xdr:colOff>571500</xdr:colOff>
          <xdr:row>1026</xdr:row>
          <xdr:rowOff>95250</xdr:rowOff>
        </xdr:to>
        <xdr:sp macro="" textlink="">
          <xdr:nvSpPr>
            <xdr:cNvPr id="3092" name="Object 20" hidden="1">
              <a:extLst>
                <a:ext uri="{63B3BB69-23CF-44E3-9099-C40C66FF867C}">
                  <a14:compatExt spid="_x0000_s309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1006</xdr:row>
          <xdr:rowOff>28575</xdr:rowOff>
        </xdr:from>
        <xdr:to>
          <xdr:col>24</xdr:col>
          <xdr:colOff>190500</xdr:colOff>
          <xdr:row>1007</xdr:row>
          <xdr:rowOff>123825</xdr:rowOff>
        </xdr:to>
        <xdr:sp macro="" textlink="">
          <xdr:nvSpPr>
            <xdr:cNvPr id="3096" name="Object 24" hidden="1">
              <a:extLst>
                <a:ext uri="{63B3BB69-23CF-44E3-9099-C40C66FF867C}">
                  <a14:compatExt spid="_x0000_s309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1017</xdr:row>
          <xdr:rowOff>209550</xdr:rowOff>
        </xdr:from>
        <xdr:to>
          <xdr:col>10</xdr:col>
          <xdr:colOff>733425</xdr:colOff>
          <xdr:row>1019</xdr:row>
          <xdr:rowOff>171450</xdr:rowOff>
        </xdr:to>
        <xdr:sp macro="" textlink="">
          <xdr:nvSpPr>
            <xdr:cNvPr id="3112" name="Object 40" hidden="1">
              <a:extLst>
                <a:ext uri="{63B3BB69-23CF-44E3-9099-C40C66FF867C}">
                  <a14:compatExt spid="_x0000_s311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1014</xdr:row>
          <xdr:rowOff>219075</xdr:rowOff>
        </xdr:from>
        <xdr:to>
          <xdr:col>11</xdr:col>
          <xdr:colOff>333375</xdr:colOff>
          <xdr:row>1016</xdr:row>
          <xdr:rowOff>85725</xdr:rowOff>
        </xdr:to>
        <xdr:sp macro="" textlink="">
          <xdr:nvSpPr>
            <xdr:cNvPr id="3114" name="Object 42" hidden="1">
              <a:extLst>
                <a:ext uri="{63B3BB69-23CF-44E3-9099-C40C66FF867C}">
                  <a14:compatExt spid="_x0000_s311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1016</xdr:row>
          <xdr:rowOff>95250</xdr:rowOff>
        </xdr:from>
        <xdr:to>
          <xdr:col>11</xdr:col>
          <xdr:colOff>295275</xdr:colOff>
          <xdr:row>1017</xdr:row>
          <xdr:rowOff>200025</xdr:rowOff>
        </xdr:to>
        <xdr:sp macro="" textlink="">
          <xdr:nvSpPr>
            <xdr:cNvPr id="3115" name="Object 43" hidden="1">
              <a:extLst>
                <a:ext uri="{63B3BB69-23CF-44E3-9099-C40C66FF867C}">
                  <a14:compatExt spid="_x0000_s311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1022</xdr:row>
          <xdr:rowOff>85725</xdr:rowOff>
        </xdr:from>
        <xdr:to>
          <xdr:col>17</xdr:col>
          <xdr:colOff>342900</xdr:colOff>
          <xdr:row>1024</xdr:row>
          <xdr:rowOff>209550</xdr:rowOff>
        </xdr:to>
        <xdr:sp macro="" textlink="">
          <xdr:nvSpPr>
            <xdr:cNvPr id="3119" name="Object 47" hidden="1">
              <a:extLst>
                <a:ext uri="{63B3BB69-23CF-44E3-9099-C40C66FF867C}">
                  <a14:compatExt spid="_x0000_s311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1008</xdr:row>
          <xdr:rowOff>0</xdr:rowOff>
        </xdr:from>
        <xdr:to>
          <xdr:col>11</xdr:col>
          <xdr:colOff>295275</xdr:colOff>
          <xdr:row>1010</xdr:row>
          <xdr:rowOff>114300</xdr:rowOff>
        </xdr:to>
        <xdr:sp macro="" textlink="">
          <xdr:nvSpPr>
            <xdr:cNvPr id="3120" name="Object 48" hidden="1">
              <a:extLst>
                <a:ext uri="{63B3BB69-23CF-44E3-9099-C40C66FF867C}">
                  <a14:compatExt spid="_x0000_s312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1010</xdr:row>
          <xdr:rowOff>123825</xdr:rowOff>
        </xdr:from>
        <xdr:to>
          <xdr:col>12</xdr:col>
          <xdr:colOff>304800</xdr:colOff>
          <xdr:row>1013</xdr:row>
          <xdr:rowOff>0</xdr:rowOff>
        </xdr:to>
        <xdr:sp macro="" textlink="">
          <xdr:nvSpPr>
            <xdr:cNvPr id="3121" name="Object 49" hidden="1">
              <a:extLst>
                <a:ext uri="{63B3BB69-23CF-44E3-9099-C40C66FF867C}">
                  <a14:compatExt spid="_x0000_s312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1006</xdr:row>
          <xdr:rowOff>123825</xdr:rowOff>
        </xdr:from>
        <xdr:to>
          <xdr:col>3</xdr:col>
          <xdr:colOff>676275</xdr:colOff>
          <xdr:row>1007</xdr:row>
          <xdr:rowOff>219075</xdr:rowOff>
        </xdr:to>
        <xdr:sp macro="" textlink="">
          <xdr:nvSpPr>
            <xdr:cNvPr id="3122" name="Object 50" hidden="1">
              <a:extLst>
                <a:ext uri="{63B3BB69-23CF-44E3-9099-C40C66FF867C}">
                  <a14:compatExt spid="_x0000_s312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1024</xdr:row>
          <xdr:rowOff>219075</xdr:rowOff>
        </xdr:from>
        <xdr:to>
          <xdr:col>16</xdr:col>
          <xdr:colOff>0</xdr:colOff>
          <xdr:row>1026</xdr:row>
          <xdr:rowOff>180975</xdr:rowOff>
        </xdr:to>
        <xdr:sp macro="" textlink="">
          <xdr:nvSpPr>
            <xdr:cNvPr id="3124" name="Object 52" hidden="1">
              <a:extLst>
                <a:ext uri="{63B3BB69-23CF-44E3-9099-C40C66FF867C}">
                  <a14:compatExt spid="_x0000_s312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1013</xdr:row>
          <xdr:rowOff>38100</xdr:rowOff>
        </xdr:from>
        <xdr:to>
          <xdr:col>21</xdr:col>
          <xdr:colOff>28575</xdr:colOff>
          <xdr:row>1014</xdr:row>
          <xdr:rowOff>142875</xdr:rowOff>
        </xdr:to>
        <xdr:sp macro="" textlink="">
          <xdr:nvSpPr>
            <xdr:cNvPr id="3125" name="Object 53" hidden="1">
              <a:extLst>
                <a:ext uri="{63B3BB69-23CF-44E3-9099-C40C66FF867C}">
                  <a14:compatExt spid="_x0000_s31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1005</xdr:row>
          <xdr:rowOff>19050</xdr:rowOff>
        </xdr:from>
        <xdr:to>
          <xdr:col>10</xdr:col>
          <xdr:colOff>504825</xdr:colOff>
          <xdr:row>1006</xdr:row>
          <xdr:rowOff>114300</xdr:rowOff>
        </xdr:to>
        <xdr:sp macro="" textlink="">
          <xdr:nvSpPr>
            <xdr:cNvPr id="3127" name="Object 55" hidden="1">
              <a:extLst>
                <a:ext uri="{63B3BB69-23CF-44E3-9099-C40C66FF867C}">
                  <a14:compatExt spid="_x0000_s312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1013</xdr:row>
          <xdr:rowOff>19050</xdr:rowOff>
        </xdr:from>
        <xdr:to>
          <xdr:col>8</xdr:col>
          <xdr:colOff>238125</xdr:colOff>
          <xdr:row>1014</xdr:row>
          <xdr:rowOff>209550</xdr:rowOff>
        </xdr:to>
        <xdr:sp macro="" textlink="">
          <xdr:nvSpPr>
            <xdr:cNvPr id="3129" name="Object 57" hidden="1">
              <a:extLst>
                <a:ext uri="{63B3BB69-23CF-44E3-9099-C40C66FF867C}">
                  <a14:compatExt spid="_x0000_s312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1018</xdr:row>
          <xdr:rowOff>66675</xdr:rowOff>
        </xdr:from>
        <xdr:to>
          <xdr:col>24</xdr:col>
          <xdr:colOff>1352550</xdr:colOff>
          <xdr:row>1019</xdr:row>
          <xdr:rowOff>171450</xdr:rowOff>
        </xdr:to>
        <xdr:sp macro="" textlink="">
          <xdr:nvSpPr>
            <xdr:cNvPr id="3131" name="Object 59" hidden="1">
              <a:extLst>
                <a:ext uri="{63B3BB69-23CF-44E3-9099-C40C66FF867C}">
                  <a14:compatExt spid="_x0000_s313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1019</xdr:row>
          <xdr:rowOff>180975</xdr:rowOff>
        </xdr:from>
        <xdr:to>
          <xdr:col>20</xdr:col>
          <xdr:colOff>723900</xdr:colOff>
          <xdr:row>1022</xdr:row>
          <xdr:rowOff>66675</xdr:rowOff>
        </xdr:to>
        <xdr:sp macro="" textlink="">
          <xdr:nvSpPr>
            <xdr:cNvPr id="3134" name="Object 62" hidden="1">
              <a:extLst>
                <a:ext uri="{63B3BB69-23CF-44E3-9099-C40C66FF867C}">
                  <a14:compatExt spid="_x0000_s313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1018</xdr:row>
          <xdr:rowOff>66675</xdr:rowOff>
        </xdr:from>
        <xdr:to>
          <xdr:col>19</xdr:col>
          <xdr:colOff>228600</xdr:colOff>
          <xdr:row>1019</xdr:row>
          <xdr:rowOff>171450</xdr:rowOff>
        </xdr:to>
        <xdr:sp macro="" textlink="">
          <xdr:nvSpPr>
            <xdr:cNvPr id="3135" name="Object 63" hidden="1">
              <a:extLst>
                <a:ext uri="{63B3BB69-23CF-44E3-9099-C40C66FF867C}">
                  <a14:compatExt spid="_x0000_s313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xdr:colOff>
          <xdr:row>1007</xdr:row>
          <xdr:rowOff>152400</xdr:rowOff>
        </xdr:from>
        <xdr:to>
          <xdr:col>37</xdr:col>
          <xdr:colOff>352425</xdr:colOff>
          <xdr:row>1010</xdr:row>
          <xdr:rowOff>95250</xdr:rowOff>
        </xdr:to>
        <xdr:sp macro="" textlink="">
          <xdr:nvSpPr>
            <xdr:cNvPr id="3141" name="Object 69" hidden="1">
              <a:extLst>
                <a:ext uri="{63B3BB69-23CF-44E3-9099-C40C66FF867C}">
                  <a14:compatExt spid="_x0000_s314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xdr:colOff>
          <xdr:row>1010</xdr:row>
          <xdr:rowOff>114300</xdr:rowOff>
        </xdr:from>
        <xdr:to>
          <xdr:col>35</xdr:col>
          <xdr:colOff>904875</xdr:colOff>
          <xdr:row>1013</xdr:row>
          <xdr:rowOff>57150</xdr:rowOff>
        </xdr:to>
        <xdr:sp macro="" textlink="">
          <xdr:nvSpPr>
            <xdr:cNvPr id="3142" name="Object 70" hidden="1">
              <a:extLst>
                <a:ext uri="{63B3BB69-23CF-44E3-9099-C40C66FF867C}">
                  <a14:compatExt spid="_x0000_s314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1035</xdr:row>
          <xdr:rowOff>28575</xdr:rowOff>
        </xdr:from>
        <xdr:to>
          <xdr:col>11</xdr:col>
          <xdr:colOff>695325</xdr:colOff>
          <xdr:row>1038</xdr:row>
          <xdr:rowOff>28575</xdr:rowOff>
        </xdr:to>
        <xdr:sp macro="" textlink="">
          <xdr:nvSpPr>
            <xdr:cNvPr id="3157" name="Object 85" hidden="1">
              <a:extLst>
                <a:ext uri="{63B3BB69-23CF-44E3-9099-C40C66FF867C}">
                  <a14:compatExt spid="_x0000_s315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1040</xdr:row>
          <xdr:rowOff>28575</xdr:rowOff>
        </xdr:from>
        <xdr:to>
          <xdr:col>12</xdr:col>
          <xdr:colOff>38100</xdr:colOff>
          <xdr:row>1043</xdr:row>
          <xdr:rowOff>28575</xdr:rowOff>
        </xdr:to>
        <xdr:sp macro="" textlink="">
          <xdr:nvSpPr>
            <xdr:cNvPr id="3158" name="Object 86" hidden="1">
              <a:extLst>
                <a:ext uri="{63B3BB69-23CF-44E3-9099-C40C66FF867C}">
                  <a14:compatExt spid="_x0000_s315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1014</xdr:row>
          <xdr:rowOff>152400</xdr:rowOff>
        </xdr:from>
        <xdr:to>
          <xdr:col>20</xdr:col>
          <xdr:colOff>419100</xdr:colOff>
          <xdr:row>1016</xdr:row>
          <xdr:rowOff>19050</xdr:rowOff>
        </xdr:to>
        <xdr:sp macro="" textlink="">
          <xdr:nvSpPr>
            <xdr:cNvPr id="3161" name="Object 89" hidden="1">
              <a:extLst>
                <a:ext uri="{63B3BB69-23CF-44E3-9099-C40C66FF867C}">
                  <a14:compatExt spid="_x0000_s316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1007</xdr:row>
          <xdr:rowOff>142875</xdr:rowOff>
        </xdr:from>
        <xdr:to>
          <xdr:col>32</xdr:col>
          <xdr:colOff>209550</xdr:colOff>
          <xdr:row>1010</xdr:row>
          <xdr:rowOff>114300</xdr:rowOff>
        </xdr:to>
        <xdr:sp macro="" textlink="">
          <xdr:nvSpPr>
            <xdr:cNvPr id="3162" name="Object 90" hidden="1">
              <a:extLst>
                <a:ext uri="{63B3BB69-23CF-44E3-9099-C40C66FF867C}">
                  <a14:compatExt spid="_x0000_s316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1055</xdr:row>
          <xdr:rowOff>38100</xdr:rowOff>
        </xdr:from>
        <xdr:to>
          <xdr:col>12</xdr:col>
          <xdr:colOff>419100</xdr:colOff>
          <xdr:row>1058</xdr:row>
          <xdr:rowOff>66675</xdr:rowOff>
        </xdr:to>
        <xdr:sp macro="" textlink="">
          <xdr:nvSpPr>
            <xdr:cNvPr id="3167" name="Object 95" hidden="1">
              <a:extLst>
                <a:ext uri="{63B3BB69-23CF-44E3-9099-C40C66FF867C}">
                  <a14:compatExt spid="_x0000_s316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1060</xdr:row>
          <xdr:rowOff>38100</xdr:rowOff>
        </xdr:from>
        <xdr:to>
          <xdr:col>15</xdr:col>
          <xdr:colOff>66675</xdr:colOff>
          <xdr:row>1063</xdr:row>
          <xdr:rowOff>66675</xdr:rowOff>
        </xdr:to>
        <xdr:sp macro="" textlink="">
          <xdr:nvSpPr>
            <xdr:cNvPr id="3168" name="Object 96" hidden="1">
              <a:extLst>
                <a:ext uri="{63B3BB69-23CF-44E3-9099-C40C66FF867C}">
                  <a14:compatExt spid="_x0000_s316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1065</xdr:row>
          <xdr:rowOff>38100</xdr:rowOff>
        </xdr:from>
        <xdr:to>
          <xdr:col>16</xdr:col>
          <xdr:colOff>838200</xdr:colOff>
          <xdr:row>1068</xdr:row>
          <xdr:rowOff>66675</xdr:rowOff>
        </xdr:to>
        <xdr:sp macro="" textlink="">
          <xdr:nvSpPr>
            <xdr:cNvPr id="3169" name="Object 97" hidden="1">
              <a:extLst>
                <a:ext uri="{63B3BB69-23CF-44E3-9099-C40C66FF867C}">
                  <a14:compatExt spid="_x0000_s316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1045</xdr:row>
          <xdr:rowOff>38100</xdr:rowOff>
        </xdr:from>
        <xdr:to>
          <xdr:col>16</xdr:col>
          <xdr:colOff>133350</xdr:colOff>
          <xdr:row>1048</xdr:row>
          <xdr:rowOff>38100</xdr:rowOff>
        </xdr:to>
        <xdr:sp macro="" textlink="">
          <xdr:nvSpPr>
            <xdr:cNvPr id="3173" name="Object 101" hidden="1">
              <a:extLst>
                <a:ext uri="{63B3BB69-23CF-44E3-9099-C40C66FF867C}">
                  <a14:compatExt spid="_x0000_s317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1050</xdr:row>
          <xdr:rowOff>38100</xdr:rowOff>
        </xdr:from>
        <xdr:to>
          <xdr:col>16</xdr:col>
          <xdr:colOff>485775</xdr:colOff>
          <xdr:row>1053</xdr:row>
          <xdr:rowOff>66675</xdr:rowOff>
        </xdr:to>
        <xdr:sp macro="" textlink="">
          <xdr:nvSpPr>
            <xdr:cNvPr id="3174" name="Object 102" hidden="1">
              <a:extLst>
                <a:ext uri="{63B3BB69-23CF-44E3-9099-C40C66FF867C}">
                  <a14:compatExt spid="_x0000_s31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1070</xdr:row>
          <xdr:rowOff>38100</xdr:rowOff>
        </xdr:from>
        <xdr:to>
          <xdr:col>12</xdr:col>
          <xdr:colOff>514350</xdr:colOff>
          <xdr:row>1073</xdr:row>
          <xdr:rowOff>66675</xdr:rowOff>
        </xdr:to>
        <xdr:sp macro="" textlink="">
          <xdr:nvSpPr>
            <xdr:cNvPr id="3178" name="Object 106" hidden="1">
              <a:extLst>
                <a:ext uri="{63B3BB69-23CF-44E3-9099-C40C66FF867C}">
                  <a14:compatExt spid="_x0000_s317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1053</xdr:row>
          <xdr:rowOff>38100</xdr:rowOff>
        </xdr:from>
        <xdr:to>
          <xdr:col>32</xdr:col>
          <xdr:colOff>523875</xdr:colOff>
          <xdr:row>1056</xdr:row>
          <xdr:rowOff>38100</xdr:rowOff>
        </xdr:to>
        <xdr:sp macro="" textlink="">
          <xdr:nvSpPr>
            <xdr:cNvPr id="3188" name="Object 116" hidden="1">
              <a:extLst>
                <a:ext uri="{63B3BB69-23CF-44E3-9099-C40C66FF867C}">
                  <a14:compatExt spid="_x0000_s318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28575</xdr:colOff>
          <xdr:row>1022</xdr:row>
          <xdr:rowOff>66675</xdr:rowOff>
        </xdr:from>
        <xdr:to>
          <xdr:col>32</xdr:col>
          <xdr:colOff>333375</xdr:colOff>
          <xdr:row>1024</xdr:row>
          <xdr:rowOff>171450</xdr:rowOff>
        </xdr:to>
        <xdr:sp macro="" textlink="">
          <xdr:nvSpPr>
            <xdr:cNvPr id="3192" name="Object 120" hidden="1">
              <a:extLst>
                <a:ext uri="{63B3BB69-23CF-44E3-9099-C40C66FF867C}">
                  <a14:compatExt spid="_x0000_s319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1017</xdr:row>
          <xdr:rowOff>28575</xdr:rowOff>
        </xdr:from>
        <xdr:to>
          <xdr:col>36</xdr:col>
          <xdr:colOff>209550</xdr:colOff>
          <xdr:row>1020</xdr:row>
          <xdr:rowOff>28575</xdr:rowOff>
        </xdr:to>
        <xdr:sp macro="" textlink="">
          <xdr:nvSpPr>
            <xdr:cNvPr id="3220" name="Object 148" hidden="1">
              <a:extLst>
                <a:ext uri="{63B3BB69-23CF-44E3-9099-C40C66FF867C}">
                  <a14:compatExt spid="_x0000_s322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1014</xdr:row>
          <xdr:rowOff>0</xdr:rowOff>
        </xdr:from>
        <xdr:to>
          <xdr:col>36</xdr:col>
          <xdr:colOff>876300</xdr:colOff>
          <xdr:row>1017</xdr:row>
          <xdr:rowOff>0</xdr:rowOff>
        </xdr:to>
        <xdr:sp macro="" textlink="">
          <xdr:nvSpPr>
            <xdr:cNvPr id="3222" name="Object 150" hidden="1">
              <a:extLst>
                <a:ext uri="{63B3BB69-23CF-44E3-9099-C40C66FF867C}">
                  <a14:compatExt spid="_x0000_s322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1020</xdr:row>
          <xdr:rowOff>57150</xdr:rowOff>
        </xdr:from>
        <xdr:to>
          <xdr:col>35</xdr:col>
          <xdr:colOff>171450</xdr:colOff>
          <xdr:row>1023</xdr:row>
          <xdr:rowOff>57150</xdr:rowOff>
        </xdr:to>
        <xdr:sp macro="" textlink="">
          <xdr:nvSpPr>
            <xdr:cNvPr id="3223" name="Object 151" hidden="1">
              <a:extLst>
                <a:ext uri="{63B3BB69-23CF-44E3-9099-C40C66FF867C}">
                  <a14:compatExt spid="_x0000_s322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1023</xdr:row>
          <xdr:rowOff>85725</xdr:rowOff>
        </xdr:from>
        <xdr:to>
          <xdr:col>36</xdr:col>
          <xdr:colOff>66675</xdr:colOff>
          <xdr:row>1026</xdr:row>
          <xdr:rowOff>85725</xdr:rowOff>
        </xdr:to>
        <xdr:sp macro="" textlink="">
          <xdr:nvSpPr>
            <xdr:cNvPr id="3225" name="Object 153" hidden="1">
              <a:extLst>
                <a:ext uri="{63B3BB69-23CF-44E3-9099-C40C66FF867C}">
                  <a14:compatExt spid="_x0000_s32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1048</xdr:row>
          <xdr:rowOff>38100</xdr:rowOff>
        </xdr:from>
        <xdr:to>
          <xdr:col>34</xdr:col>
          <xdr:colOff>438150</xdr:colOff>
          <xdr:row>1051</xdr:row>
          <xdr:rowOff>114300</xdr:rowOff>
        </xdr:to>
        <xdr:sp macro="" textlink="">
          <xdr:nvSpPr>
            <xdr:cNvPr id="3281" name="Object 209" hidden="1">
              <a:extLst>
                <a:ext uri="{63B3BB69-23CF-44E3-9099-C40C66FF867C}">
                  <a14:compatExt spid="_x0000_s328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984250</xdr:colOff>
      <xdr:row>4</xdr:row>
      <xdr:rowOff>152400</xdr:rowOff>
    </xdr:to>
    <xdr:pic>
      <xdr:nvPicPr>
        <xdr:cNvPr id="2604352" name="Picture 8" descr="logoplasci"/>
        <xdr:cNvPicPr>
          <a:picLocks noChangeAspect="1" noChangeArrowheads="1"/>
        </xdr:cNvPicPr>
      </xdr:nvPicPr>
      <xdr:blipFill>
        <a:blip xmlns:r="http://schemas.openxmlformats.org/officeDocument/2006/relationships" r:embed="rId1" cstate="print"/>
        <a:srcRect/>
        <a:stretch>
          <a:fillRect/>
        </a:stretch>
      </xdr:blipFill>
      <xdr:spPr bwMode="auto">
        <a:xfrm>
          <a:off x="152400" y="165100"/>
          <a:ext cx="984250" cy="635000"/>
        </a:xfrm>
        <a:prstGeom prst="rect">
          <a:avLst/>
        </a:prstGeom>
        <a:noFill/>
        <a:ln w="9525">
          <a:noFill/>
          <a:miter lim="800000"/>
          <a:headEnd/>
          <a:tailEnd/>
        </a:ln>
      </xdr:spPr>
    </xdr:pic>
    <xdr:clientData/>
  </xdr:twoCellAnchor>
  <xdr:twoCellAnchor>
    <xdr:from>
      <xdr:col>6</xdr:col>
      <xdr:colOff>450850</xdr:colOff>
      <xdr:row>0</xdr:row>
      <xdr:rowOff>120650</xdr:rowOff>
    </xdr:from>
    <xdr:to>
      <xdr:col>12</xdr:col>
      <xdr:colOff>450850</xdr:colOff>
      <xdr:row>17</xdr:row>
      <xdr:rowOff>25400</xdr:rowOff>
    </xdr:to>
    <xdr:graphicFrame macro="">
      <xdr:nvGraphicFramePr>
        <xdr:cNvPr id="260435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450850</xdr:colOff>
      <xdr:row>17</xdr:row>
      <xdr:rowOff>25400</xdr:rowOff>
    </xdr:from>
    <xdr:to>
      <xdr:col>12</xdr:col>
      <xdr:colOff>450850</xdr:colOff>
      <xdr:row>34</xdr:row>
      <xdr:rowOff>19050</xdr:rowOff>
    </xdr:to>
    <xdr:graphicFrame macro="">
      <xdr:nvGraphicFramePr>
        <xdr:cNvPr id="2604354"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12700</xdr:colOff>
      <xdr:row>17</xdr:row>
      <xdr:rowOff>25400</xdr:rowOff>
    </xdr:from>
    <xdr:to>
      <xdr:col>6</xdr:col>
      <xdr:colOff>450850</xdr:colOff>
      <xdr:row>34</xdr:row>
      <xdr:rowOff>19050</xdr:rowOff>
    </xdr:to>
    <xdr:graphicFrame macro="">
      <xdr:nvGraphicFramePr>
        <xdr:cNvPr id="2604355"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xdr:col>
          <xdr:colOff>962025</xdr:colOff>
          <xdr:row>9</xdr:row>
          <xdr:rowOff>19050</xdr:rowOff>
        </xdr:from>
        <xdr:to>
          <xdr:col>4</xdr:col>
          <xdr:colOff>0</xdr:colOff>
          <xdr:row>10</xdr:row>
          <xdr:rowOff>0</xdr:rowOff>
        </xdr:to>
        <xdr:sp macro="" textlink="">
          <xdr:nvSpPr>
            <xdr:cNvPr id="2604063" name="Spinner 31" hidden="1">
              <a:extLst>
                <a:ext uri="{63B3BB69-23CF-44E3-9099-C40C66FF867C}">
                  <a14:compatExt spid="_x0000_s260406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68</xdr:row>
          <xdr:rowOff>28575</xdr:rowOff>
        </xdr:from>
        <xdr:to>
          <xdr:col>12</xdr:col>
          <xdr:colOff>1123950</xdr:colOff>
          <xdr:row>85</xdr:row>
          <xdr:rowOff>19050</xdr:rowOff>
        </xdr:to>
        <xdr:sp macro="" textlink="">
          <xdr:nvSpPr>
            <xdr:cNvPr id="2604101" name="Object 69" hidden="1">
              <a:extLst>
                <a:ext uri="{63B3BB69-23CF-44E3-9099-C40C66FF867C}">
                  <a14:compatExt spid="_x0000_s26041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962025</xdr:colOff>
          <xdr:row>10</xdr:row>
          <xdr:rowOff>19050</xdr:rowOff>
        </xdr:from>
        <xdr:to>
          <xdr:col>4</xdr:col>
          <xdr:colOff>0</xdr:colOff>
          <xdr:row>11</xdr:row>
          <xdr:rowOff>0</xdr:rowOff>
        </xdr:to>
        <xdr:sp macro="" textlink="">
          <xdr:nvSpPr>
            <xdr:cNvPr id="2604202" name="Spinner 170" hidden="1">
              <a:extLst>
                <a:ext uri="{63B3BB69-23CF-44E3-9099-C40C66FF867C}">
                  <a14:compatExt spid="_x0000_s260420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69850</xdr:colOff>
      <xdr:row>33</xdr:row>
      <xdr:rowOff>25400</xdr:rowOff>
    </xdr:from>
    <xdr:to>
      <xdr:col>2</xdr:col>
      <xdr:colOff>12700</xdr:colOff>
      <xdr:row>44</xdr:row>
      <xdr:rowOff>19050</xdr:rowOff>
    </xdr:to>
    <xdr:pic>
      <xdr:nvPicPr>
        <xdr:cNvPr id="5938" name="Image 1"/>
        <xdr:cNvPicPr>
          <a:picLocks noChangeAspect="1"/>
        </xdr:cNvPicPr>
      </xdr:nvPicPr>
      <xdr:blipFill>
        <a:blip xmlns:r="http://schemas.openxmlformats.org/officeDocument/2006/relationships" r:embed="rId1" cstate="print"/>
        <a:srcRect/>
        <a:stretch>
          <a:fillRect/>
        </a:stretch>
      </xdr:blipFill>
      <xdr:spPr bwMode="auto">
        <a:xfrm>
          <a:off x="69850" y="5295900"/>
          <a:ext cx="1231900" cy="1739900"/>
        </a:xfrm>
        <a:prstGeom prst="rect">
          <a:avLst/>
        </a:prstGeom>
        <a:noFill/>
        <a:ln w="9525">
          <a:noFill/>
          <a:miter lim="800000"/>
          <a:headEnd/>
          <a:tailEnd/>
        </a:ln>
      </xdr:spPr>
    </xdr:pic>
    <xdr:clientData/>
  </xdr:twoCellAnchor>
  <xdr:twoCellAnchor editAs="oneCell">
    <xdr:from>
      <xdr:col>1</xdr:col>
      <xdr:colOff>1123950</xdr:colOff>
      <xdr:row>53</xdr:row>
      <xdr:rowOff>44450</xdr:rowOff>
    </xdr:from>
    <xdr:to>
      <xdr:col>10</xdr:col>
      <xdr:colOff>609600</xdr:colOff>
      <xdr:row>81</xdr:row>
      <xdr:rowOff>25400</xdr:rowOff>
    </xdr:to>
    <xdr:pic>
      <xdr:nvPicPr>
        <xdr:cNvPr id="5939" name="Image 2"/>
        <xdr:cNvPicPr>
          <a:picLocks noChangeAspect="1"/>
        </xdr:cNvPicPr>
      </xdr:nvPicPr>
      <xdr:blipFill>
        <a:blip xmlns:r="http://schemas.openxmlformats.org/officeDocument/2006/relationships" r:embed="rId2" cstate="print"/>
        <a:srcRect/>
        <a:stretch>
          <a:fillRect/>
        </a:stretch>
      </xdr:blipFill>
      <xdr:spPr bwMode="auto">
        <a:xfrm>
          <a:off x="1276350" y="8331200"/>
          <a:ext cx="7099300" cy="4425950"/>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984250</xdr:colOff>
      <xdr:row>4</xdr:row>
      <xdr:rowOff>152400</xdr:rowOff>
    </xdr:to>
    <xdr:pic>
      <xdr:nvPicPr>
        <xdr:cNvPr id="5940" name="Picture 8" descr="logoplasci"/>
        <xdr:cNvPicPr>
          <a:picLocks noChangeAspect="1" noChangeArrowheads="1"/>
        </xdr:cNvPicPr>
      </xdr:nvPicPr>
      <xdr:blipFill>
        <a:blip xmlns:r="http://schemas.openxmlformats.org/officeDocument/2006/relationships" r:embed="rId3" cstate="print"/>
        <a:srcRect/>
        <a:stretch>
          <a:fillRect/>
        </a:stretch>
      </xdr:blipFill>
      <xdr:spPr bwMode="auto">
        <a:xfrm>
          <a:off x="152400" y="158750"/>
          <a:ext cx="984250" cy="62865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69850</xdr:colOff>
      <xdr:row>80</xdr:row>
      <xdr:rowOff>12700</xdr:rowOff>
    </xdr:from>
    <xdr:to>
      <xdr:col>8</xdr:col>
      <xdr:colOff>0</xdr:colOff>
      <xdr:row>102</xdr:row>
      <xdr:rowOff>107950</xdr:rowOff>
    </xdr:to>
    <xdr:grpSp>
      <xdr:nvGrpSpPr>
        <xdr:cNvPr id="5501606" name="Group 232"/>
        <xdr:cNvGrpSpPr>
          <a:grpSpLocks/>
        </xdr:cNvGrpSpPr>
      </xdr:nvGrpSpPr>
      <xdr:grpSpPr bwMode="auto">
        <a:xfrm>
          <a:off x="4327525" y="13214350"/>
          <a:ext cx="2149475" cy="3752850"/>
          <a:chOff x="3421" y="5379"/>
          <a:chExt cx="2289" cy="5759"/>
        </a:xfrm>
      </xdr:grpSpPr>
      <xdr:grpSp>
        <xdr:nvGrpSpPr>
          <xdr:cNvPr id="5501710" name="Group 233"/>
          <xdr:cNvGrpSpPr>
            <a:grpSpLocks/>
          </xdr:cNvGrpSpPr>
        </xdr:nvGrpSpPr>
        <xdr:grpSpPr bwMode="auto">
          <a:xfrm>
            <a:off x="4047" y="5379"/>
            <a:ext cx="515" cy="4096"/>
            <a:chOff x="4047" y="5379"/>
            <a:chExt cx="515" cy="4096"/>
          </a:xfrm>
        </xdr:grpSpPr>
        <xdr:sp macro="" textlink="">
          <xdr:nvSpPr>
            <xdr:cNvPr id="5501728" name="Arc 234"/>
            <xdr:cNvSpPr>
              <a:spLocks/>
            </xdr:cNvSpPr>
          </xdr:nvSpPr>
          <xdr:spPr bwMode="auto">
            <a:xfrm flipH="1">
              <a:off x="4201" y="5379"/>
              <a:ext cx="361" cy="96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B0F0"/>
              </a:solidFill>
              <a:round/>
              <a:headEnd/>
              <a:tailEnd/>
            </a:ln>
          </xdr:spPr>
        </xdr:sp>
        <xdr:grpSp>
          <xdr:nvGrpSpPr>
            <xdr:cNvPr id="5501729" name="Group 235"/>
            <xdr:cNvGrpSpPr>
              <a:grpSpLocks/>
            </xdr:cNvGrpSpPr>
          </xdr:nvGrpSpPr>
          <xdr:grpSpPr bwMode="auto">
            <a:xfrm>
              <a:off x="4047" y="6306"/>
              <a:ext cx="285" cy="3169"/>
              <a:chOff x="4050" y="6306"/>
              <a:chExt cx="285" cy="3169"/>
            </a:xfrm>
          </xdr:grpSpPr>
          <xdr:sp macro="" textlink="">
            <xdr:nvSpPr>
              <xdr:cNvPr id="5501730" name="Line 236"/>
              <xdr:cNvSpPr>
                <a:spLocks noChangeShapeType="1"/>
              </xdr:cNvSpPr>
            </xdr:nvSpPr>
            <xdr:spPr bwMode="auto">
              <a:xfrm flipH="1">
                <a:off x="4202" y="6306"/>
                <a:ext cx="0" cy="936"/>
              </a:xfrm>
              <a:prstGeom prst="line">
                <a:avLst/>
              </a:prstGeom>
              <a:noFill/>
              <a:ln w="9525">
                <a:solidFill>
                  <a:srgbClr val="00B0F0"/>
                </a:solidFill>
                <a:round/>
                <a:headEnd/>
                <a:tailEnd/>
              </a:ln>
            </xdr:spPr>
          </xdr:sp>
          <xdr:sp macro="" textlink="">
            <xdr:nvSpPr>
              <xdr:cNvPr id="5501731" name="Line 237"/>
              <xdr:cNvSpPr>
                <a:spLocks noChangeShapeType="1"/>
              </xdr:cNvSpPr>
            </xdr:nvSpPr>
            <xdr:spPr bwMode="auto">
              <a:xfrm flipH="1">
                <a:off x="4050" y="7242"/>
                <a:ext cx="152" cy="254"/>
              </a:xfrm>
              <a:prstGeom prst="line">
                <a:avLst/>
              </a:prstGeom>
              <a:noFill/>
              <a:ln w="9525">
                <a:solidFill>
                  <a:srgbClr val="00B0F0"/>
                </a:solidFill>
                <a:round/>
                <a:headEnd/>
                <a:tailEnd/>
              </a:ln>
            </xdr:spPr>
          </xdr:sp>
          <xdr:sp macro="" textlink="">
            <xdr:nvSpPr>
              <xdr:cNvPr id="5501732" name="Line 238"/>
              <xdr:cNvSpPr>
                <a:spLocks noChangeShapeType="1"/>
              </xdr:cNvSpPr>
            </xdr:nvSpPr>
            <xdr:spPr bwMode="auto">
              <a:xfrm>
                <a:off x="4050" y="7496"/>
                <a:ext cx="0" cy="642"/>
              </a:xfrm>
              <a:prstGeom prst="line">
                <a:avLst/>
              </a:prstGeom>
              <a:noFill/>
              <a:ln w="9525">
                <a:solidFill>
                  <a:srgbClr val="00B0F0"/>
                </a:solidFill>
                <a:round/>
                <a:headEnd/>
                <a:tailEnd/>
              </a:ln>
            </xdr:spPr>
          </xdr:sp>
          <xdr:sp macro="" textlink="">
            <xdr:nvSpPr>
              <xdr:cNvPr id="5501733" name="Line 239"/>
              <xdr:cNvSpPr>
                <a:spLocks noChangeShapeType="1"/>
              </xdr:cNvSpPr>
            </xdr:nvSpPr>
            <xdr:spPr bwMode="auto">
              <a:xfrm>
                <a:off x="4050" y="8138"/>
                <a:ext cx="285" cy="367"/>
              </a:xfrm>
              <a:prstGeom prst="line">
                <a:avLst/>
              </a:prstGeom>
              <a:noFill/>
              <a:ln w="9525">
                <a:solidFill>
                  <a:srgbClr val="00B0F0"/>
                </a:solidFill>
                <a:round/>
                <a:headEnd/>
                <a:tailEnd/>
              </a:ln>
            </xdr:spPr>
          </xdr:sp>
          <xdr:sp macro="" textlink="">
            <xdr:nvSpPr>
              <xdr:cNvPr id="5501734" name="Line 240"/>
              <xdr:cNvSpPr>
                <a:spLocks noChangeShapeType="1"/>
              </xdr:cNvSpPr>
            </xdr:nvSpPr>
            <xdr:spPr bwMode="auto">
              <a:xfrm>
                <a:off x="4335" y="8505"/>
                <a:ext cx="0" cy="970"/>
              </a:xfrm>
              <a:prstGeom prst="line">
                <a:avLst/>
              </a:prstGeom>
              <a:noFill/>
              <a:ln w="9525">
                <a:solidFill>
                  <a:srgbClr val="00B0F0"/>
                </a:solidFill>
                <a:round/>
                <a:headEnd/>
                <a:tailEnd/>
              </a:ln>
            </xdr:spPr>
          </xdr:sp>
        </xdr:grpSp>
      </xdr:grpSp>
      <xdr:grpSp>
        <xdr:nvGrpSpPr>
          <xdr:cNvPr id="5501711" name="Group 241"/>
          <xdr:cNvGrpSpPr>
            <a:grpSpLocks/>
          </xdr:cNvGrpSpPr>
        </xdr:nvGrpSpPr>
        <xdr:grpSpPr bwMode="auto">
          <a:xfrm flipH="1">
            <a:off x="4560" y="5379"/>
            <a:ext cx="515" cy="4096"/>
            <a:chOff x="4047" y="5379"/>
            <a:chExt cx="515" cy="4096"/>
          </a:xfrm>
        </xdr:grpSpPr>
        <xdr:sp macro="" textlink="">
          <xdr:nvSpPr>
            <xdr:cNvPr id="5501721" name="Arc 242"/>
            <xdr:cNvSpPr>
              <a:spLocks/>
            </xdr:cNvSpPr>
          </xdr:nvSpPr>
          <xdr:spPr bwMode="auto">
            <a:xfrm flipH="1">
              <a:off x="4201" y="5379"/>
              <a:ext cx="361" cy="96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B0F0"/>
              </a:solidFill>
              <a:round/>
              <a:headEnd/>
              <a:tailEnd/>
            </a:ln>
          </xdr:spPr>
        </xdr:sp>
        <xdr:grpSp>
          <xdr:nvGrpSpPr>
            <xdr:cNvPr id="5501722" name="Group 243"/>
            <xdr:cNvGrpSpPr>
              <a:grpSpLocks/>
            </xdr:cNvGrpSpPr>
          </xdr:nvGrpSpPr>
          <xdr:grpSpPr bwMode="auto">
            <a:xfrm>
              <a:off x="4047" y="6306"/>
              <a:ext cx="285" cy="3169"/>
              <a:chOff x="4050" y="6306"/>
              <a:chExt cx="285" cy="3169"/>
            </a:xfrm>
          </xdr:grpSpPr>
          <xdr:sp macro="" textlink="">
            <xdr:nvSpPr>
              <xdr:cNvPr id="5501723" name="Line 244"/>
              <xdr:cNvSpPr>
                <a:spLocks noChangeShapeType="1"/>
              </xdr:cNvSpPr>
            </xdr:nvSpPr>
            <xdr:spPr bwMode="auto">
              <a:xfrm flipH="1">
                <a:off x="4202" y="6306"/>
                <a:ext cx="0" cy="936"/>
              </a:xfrm>
              <a:prstGeom prst="line">
                <a:avLst/>
              </a:prstGeom>
              <a:noFill/>
              <a:ln w="9525">
                <a:solidFill>
                  <a:srgbClr val="00B0F0"/>
                </a:solidFill>
                <a:round/>
                <a:headEnd/>
                <a:tailEnd/>
              </a:ln>
            </xdr:spPr>
          </xdr:sp>
          <xdr:sp macro="" textlink="">
            <xdr:nvSpPr>
              <xdr:cNvPr id="5501724" name="Line 245"/>
              <xdr:cNvSpPr>
                <a:spLocks noChangeShapeType="1"/>
              </xdr:cNvSpPr>
            </xdr:nvSpPr>
            <xdr:spPr bwMode="auto">
              <a:xfrm flipH="1">
                <a:off x="4050" y="7242"/>
                <a:ext cx="152" cy="254"/>
              </a:xfrm>
              <a:prstGeom prst="line">
                <a:avLst/>
              </a:prstGeom>
              <a:noFill/>
              <a:ln w="9525">
                <a:solidFill>
                  <a:srgbClr val="00B0F0"/>
                </a:solidFill>
                <a:round/>
                <a:headEnd/>
                <a:tailEnd/>
              </a:ln>
            </xdr:spPr>
          </xdr:sp>
          <xdr:sp macro="" textlink="">
            <xdr:nvSpPr>
              <xdr:cNvPr id="5501725" name="Line 246"/>
              <xdr:cNvSpPr>
                <a:spLocks noChangeShapeType="1"/>
              </xdr:cNvSpPr>
            </xdr:nvSpPr>
            <xdr:spPr bwMode="auto">
              <a:xfrm>
                <a:off x="4050" y="7496"/>
                <a:ext cx="0" cy="642"/>
              </a:xfrm>
              <a:prstGeom prst="line">
                <a:avLst/>
              </a:prstGeom>
              <a:noFill/>
              <a:ln w="9525">
                <a:solidFill>
                  <a:srgbClr val="00B0F0"/>
                </a:solidFill>
                <a:round/>
                <a:headEnd/>
                <a:tailEnd/>
              </a:ln>
            </xdr:spPr>
          </xdr:sp>
          <xdr:sp macro="" textlink="">
            <xdr:nvSpPr>
              <xdr:cNvPr id="5501726" name="Line 247"/>
              <xdr:cNvSpPr>
                <a:spLocks noChangeShapeType="1"/>
              </xdr:cNvSpPr>
            </xdr:nvSpPr>
            <xdr:spPr bwMode="auto">
              <a:xfrm>
                <a:off x="4050" y="8138"/>
                <a:ext cx="285" cy="367"/>
              </a:xfrm>
              <a:prstGeom prst="line">
                <a:avLst/>
              </a:prstGeom>
              <a:noFill/>
              <a:ln w="9525">
                <a:solidFill>
                  <a:srgbClr val="00B0F0"/>
                </a:solidFill>
                <a:round/>
                <a:headEnd/>
                <a:tailEnd/>
              </a:ln>
            </xdr:spPr>
          </xdr:sp>
          <xdr:sp macro="" textlink="">
            <xdr:nvSpPr>
              <xdr:cNvPr id="5501727" name="Line 248"/>
              <xdr:cNvSpPr>
                <a:spLocks noChangeShapeType="1"/>
              </xdr:cNvSpPr>
            </xdr:nvSpPr>
            <xdr:spPr bwMode="auto">
              <a:xfrm>
                <a:off x="4335" y="8505"/>
                <a:ext cx="0" cy="970"/>
              </a:xfrm>
              <a:prstGeom prst="line">
                <a:avLst/>
              </a:prstGeom>
              <a:noFill/>
              <a:ln w="9525">
                <a:solidFill>
                  <a:srgbClr val="00B0F0"/>
                </a:solidFill>
                <a:round/>
                <a:headEnd/>
                <a:tailEnd/>
              </a:ln>
            </xdr:spPr>
          </xdr:sp>
        </xdr:grpSp>
      </xdr:grpSp>
      <xdr:sp macro="" textlink="">
        <xdr:nvSpPr>
          <xdr:cNvPr id="5501712" name="Line 249"/>
          <xdr:cNvSpPr>
            <a:spLocks noChangeShapeType="1"/>
          </xdr:cNvSpPr>
        </xdr:nvSpPr>
        <xdr:spPr bwMode="auto">
          <a:xfrm>
            <a:off x="4332" y="9310"/>
            <a:ext cx="2" cy="1319"/>
          </a:xfrm>
          <a:prstGeom prst="line">
            <a:avLst/>
          </a:prstGeom>
          <a:noFill/>
          <a:ln w="9525">
            <a:solidFill>
              <a:srgbClr val="00B0F0"/>
            </a:solidFill>
            <a:round/>
            <a:headEnd/>
            <a:tailEnd/>
          </a:ln>
        </xdr:spPr>
      </xdr:sp>
      <xdr:sp macro="" textlink="">
        <xdr:nvSpPr>
          <xdr:cNvPr id="5501713" name="Line 250"/>
          <xdr:cNvSpPr>
            <a:spLocks noChangeShapeType="1"/>
          </xdr:cNvSpPr>
        </xdr:nvSpPr>
        <xdr:spPr bwMode="auto">
          <a:xfrm>
            <a:off x="4790" y="9310"/>
            <a:ext cx="0" cy="1319"/>
          </a:xfrm>
          <a:prstGeom prst="line">
            <a:avLst/>
          </a:prstGeom>
          <a:noFill/>
          <a:ln w="9525">
            <a:solidFill>
              <a:srgbClr val="00B0F0"/>
            </a:solidFill>
            <a:round/>
            <a:headEnd/>
            <a:tailEnd/>
          </a:ln>
        </xdr:spPr>
      </xdr:sp>
      <xdr:sp macro="" textlink="">
        <xdr:nvSpPr>
          <xdr:cNvPr id="5501714" name="Line 251"/>
          <xdr:cNvSpPr>
            <a:spLocks noChangeShapeType="1"/>
          </xdr:cNvSpPr>
        </xdr:nvSpPr>
        <xdr:spPr bwMode="auto">
          <a:xfrm>
            <a:off x="4330" y="10629"/>
            <a:ext cx="458" cy="0"/>
          </a:xfrm>
          <a:prstGeom prst="line">
            <a:avLst/>
          </a:prstGeom>
          <a:noFill/>
          <a:ln w="9525">
            <a:solidFill>
              <a:srgbClr val="00B0F0"/>
            </a:solidFill>
            <a:round/>
            <a:headEnd/>
            <a:tailEnd/>
          </a:ln>
        </xdr:spPr>
      </xdr:sp>
      <xdr:sp macro="" textlink="">
        <xdr:nvSpPr>
          <xdr:cNvPr id="5501715" name="Line 252"/>
          <xdr:cNvSpPr>
            <a:spLocks noChangeShapeType="1"/>
          </xdr:cNvSpPr>
        </xdr:nvSpPr>
        <xdr:spPr bwMode="auto">
          <a:xfrm flipV="1">
            <a:off x="5709" y="10163"/>
            <a:ext cx="1" cy="946"/>
          </a:xfrm>
          <a:prstGeom prst="line">
            <a:avLst/>
          </a:prstGeom>
          <a:noFill/>
          <a:ln w="9525">
            <a:solidFill>
              <a:srgbClr val="00B0F0"/>
            </a:solidFill>
            <a:round/>
            <a:headEnd/>
            <a:tailEnd/>
          </a:ln>
        </xdr:spPr>
      </xdr:sp>
      <xdr:sp macro="" textlink="">
        <xdr:nvSpPr>
          <xdr:cNvPr id="5501716" name="Line 253"/>
          <xdr:cNvSpPr>
            <a:spLocks noChangeShapeType="1"/>
          </xdr:cNvSpPr>
        </xdr:nvSpPr>
        <xdr:spPr bwMode="auto">
          <a:xfrm>
            <a:off x="4796" y="10419"/>
            <a:ext cx="909" cy="712"/>
          </a:xfrm>
          <a:prstGeom prst="line">
            <a:avLst/>
          </a:prstGeom>
          <a:noFill/>
          <a:ln w="9525">
            <a:solidFill>
              <a:srgbClr val="00B0F0"/>
            </a:solidFill>
            <a:round/>
            <a:headEnd/>
            <a:tailEnd/>
          </a:ln>
        </xdr:spPr>
      </xdr:sp>
      <xdr:sp macro="" textlink="">
        <xdr:nvSpPr>
          <xdr:cNvPr id="5501717" name="Line 254"/>
          <xdr:cNvSpPr>
            <a:spLocks noChangeShapeType="1"/>
          </xdr:cNvSpPr>
        </xdr:nvSpPr>
        <xdr:spPr bwMode="auto">
          <a:xfrm flipH="1" flipV="1">
            <a:off x="4804" y="8797"/>
            <a:ext cx="905" cy="1372"/>
          </a:xfrm>
          <a:prstGeom prst="line">
            <a:avLst/>
          </a:prstGeom>
          <a:noFill/>
          <a:ln w="9525">
            <a:solidFill>
              <a:srgbClr val="00B0F0"/>
            </a:solidFill>
            <a:round/>
            <a:headEnd/>
            <a:tailEnd/>
          </a:ln>
        </xdr:spPr>
      </xdr:sp>
      <xdr:sp macro="" textlink="">
        <xdr:nvSpPr>
          <xdr:cNvPr id="5501718" name="Line 255"/>
          <xdr:cNvSpPr>
            <a:spLocks noChangeShapeType="1"/>
          </xdr:cNvSpPr>
        </xdr:nvSpPr>
        <xdr:spPr bwMode="auto">
          <a:xfrm flipH="1" flipV="1">
            <a:off x="3421" y="10178"/>
            <a:ext cx="1" cy="946"/>
          </a:xfrm>
          <a:prstGeom prst="line">
            <a:avLst/>
          </a:prstGeom>
          <a:noFill/>
          <a:ln w="9525">
            <a:solidFill>
              <a:srgbClr val="00B0F0"/>
            </a:solidFill>
            <a:round/>
            <a:headEnd/>
            <a:tailEnd/>
          </a:ln>
        </xdr:spPr>
      </xdr:sp>
      <xdr:sp macro="" textlink="">
        <xdr:nvSpPr>
          <xdr:cNvPr id="5501719" name="Line 256"/>
          <xdr:cNvSpPr>
            <a:spLocks noChangeShapeType="1"/>
          </xdr:cNvSpPr>
        </xdr:nvSpPr>
        <xdr:spPr bwMode="auto">
          <a:xfrm flipH="1">
            <a:off x="3421" y="10426"/>
            <a:ext cx="909" cy="712"/>
          </a:xfrm>
          <a:prstGeom prst="line">
            <a:avLst/>
          </a:prstGeom>
          <a:noFill/>
          <a:ln w="9525">
            <a:solidFill>
              <a:srgbClr val="00B0F0"/>
            </a:solidFill>
            <a:round/>
            <a:headEnd/>
            <a:tailEnd/>
          </a:ln>
        </xdr:spPr>
      </xdr:sp>
      <xdr:sp macro="" textlink="">
        <xdr:nvSpPr>
          <xdr:cNvPr id="5501720" name="Line 257"/>
          <xdr:cNvSpPr>
            <a:spLocks noChangeShapeType="1"/>
          </xdr:cNvSpPr>
        </xdr:nvSpPr>
        <xdr:spPr bwMode="auto">
          <a:xfrm flipV="1">
            <a:off x="3429" y="8804"/>
            <a:ext cx="905" cy="1372"/>
          </a:xfrm>
          <a:prstGeom prst="line">
            <a:avLst/>
          </a:prstGeom>
          <a:noFill/>
          <a:ln w="9525">
            <a:solidFill>
              <a:srgbClr val="00B0F0"/>
            </a:solidFill>
            <a:round/>
            <a:headEnd/>
            <a:tailEnd/>
          </a:ln>
        </xdr:spPr>
      </xdr:sp>
    </xdr:grpSp>
    <xdr:clientData/>
  </xdr:twoCellAnchor>
  <xdr:twoCellAnchor>
    <xdr:from>
      <xdr:col>6</xdr:col>
      <xdr:colOff>825500</xdr:colOff>
      <xdr:row>84</xdr:row>
      <xdr:rowOff>101600</xdr:rowOff>
    </xdr:from>
    <xdr:to>
      <xdr:col>6</xdr:col>
      <xdr:colOff>1543050</xdr:colOff>
      <xdr:row>84</xdr:row>
      <xdr:rowOff>101600</xdr:rowOff>
    </xdr:to>
    <xdr:sp macro="" textlink="">
      <xdr:nvSpPr>
        <xdr:cNvPr id="5501607" name="Line 268"/>
        <xdr:cNvSpPr>
          <a:spLocks noChangeShapeType="1"/>
        </xdr:cNvSpPr>
      </xdr:nvSpPr>
      <xdr:spPr bwMode="auto">
        <a:xfrm flipV="1">
          <a:off x="5105400" y="14128750"/>
          <a:ext cx="717550" cy="0"/>
        </a:xfrm>
        <a:prstGeom prst="line">
          <a:avLst/>
        </a:prstGeom>
        <a:noFill/>
        <a:ln w="6350">
          <a:solidFill>
            <a:srgbClr val="000000"/>
          </a:solidFill>
          <a:round/>
          <a:headEnd type="triangle" w="sm" len="lg"/>
          <a:tailEnd type="triangle" w="sm" len="lg"/>
        </a:ln>
      </xdr:spPr>
    </xdr:sp>
    <xdr:clientData/>
  </xdr:twoCellAnchor>
  <xdr:twoCellAnchor>
    <xdr:from>
      <xdr:col>6</xdr:col>
      <xdr:colOff>152400</xdr:colOff>
      <xdr:row>80</xdr:row>
      <xdr:rowOff>0</xdr:rowOff>
    </xdr:from>
    <xdr:to>
      <xdr:col>8</xdr:col>
      <xdr:colOff>654050</xdr:colOff>
      <xdr:row>80</xdr:row>
      <xdr:rowOff>0</xdr:rowOff>
    </xdr:to>
    <xdr:sp macro="" textlink="">
      <xdr:nvSpPr>
        <xdr:cNvPr id="5501608" name="Line 269"/>
        <xdr:cNvSpPr>
          <a:spLocks noChangeShapeType="1"/>
        </xdr:cNvSpPr>
      </xdr:nvSpPr>
      <xdr:spPr bwMode="auto">
        <a:xfrm flipV="1">
          <a:off x="4432300" y="13354050"/>
          <a:ext cx="2647950" cy="0"/>
        </a:xfrm>
        <a:prstGeom prst="line">
          <a:avLst/>
        </a:prstGeom>
        <a:noFill/>
        <a:ln w="6350">
          <a:solidFill>
            <a:srgbClr val="000000"/>
          </a:solidFill>
          <a:round/>
          <a:headEnd/>
          <a:tailEnd/>
        </a:ln>
      </xdr:spPr>
    </xdr:sp>
    <xdr:clientData/>
  </xdr:twoCellAnchor>
  <xdr:twoCellAnchor>
    <xdr:from>
      <xdr:col>8</xdr:col>
      <xdr:colOff>228600</xdr:colOff>
      <xdr:row>80</xdr:row>
      <xdr:rowOff>12700</xdr:rowOff>
    </xdr:from>
    <xdr:to>
      <xdr:col>8</xdr:col>
      <xdr:colOff>228600</xdr:colOff>
      <xdr:row>93</xdr:row>
      <xdr:rowOff>82550</xdr:rowOff>
    </xdr:to>
    <xdr:sp macro="" textlink="">
      <xdr:nvSpPr>
        <xdr:cNvPr id="5501609" name="Line 270"/>
        <xdr:cNvSpPr>
          <a:spLocks noChangeShapeType="1"/>
        </xdr:cNvSpPr>
      </xdr:nvSpPr>
      <xdr:spPr bwMode="auto">
        <a:xfrm>
          <a:off x="6838950" y="13366750"/>
          <a:ext cx="0" cy="2209800"/>
        </a:xfrm>
        <a:prstGeom prst="line">
          <a:avLst/>
        </a:prstGeom>
        <a:noFill/>
        <a:ln w="6350">
          <a:solidFill>
            <a:srgbClr val="000000"/>
          </a:solidFill>
          <a:round/>
          <a:headEnd type="triangle" w="sm" len="lg"/>
          <a:tailEnd type="triangle" w="sm" len="lg"/>
        </a:ln>
      </xdr:spPr>
    </xdr:sp>
    <xdr:clientData/>
  </xdr:twoCellAnchor>
  <xdr:twoCellAnchor>
    <xdr:from>
      <xdr:col>6</xdr:col>
      <xdr:colOff>139700</xdr:colOff>
      <xdr:row>83</xdr:row>
      <xdr:rowOff>50800</xdr:rowOff>
    </xdr:from>
    <xdr:to>
      <xdr:col>6</xdr:col>
      <xdr:colOff>838200</xdr:colOff>
      <xdr:row>83</xdr:row>
      <xdr:rowOff>50800</xdr:rowOff>
    </xdr:to>
    <xdr:sp macro="" textlink="">
      <xdr:nvSpPr>
        <xdr:cNvPr id="5501610" name="Line 271"/>
        <xdr:cNvSpPr>
          <a:spLocks noChangeShapeType="1"/>
        </xdr:cNvSpPr>
      </xdr:nvSpPr>
      <xdr:spPr bwMode="auto">
        <a:xfrm>
          <a:off x="4419600" y="13912850"/>
          <a:ext cx="698500" cy="0"/>
        </a:xfrm>
        <a:prstGeom prst="line">
          <a:avLst/>
        </a:prstGeom>
        <a:noFill/>
        <a:ln w="6350">
          <a:solidFill>
            <a:srgbClr val="000000"/>
          </a:solidFill>
          <a:round/>
          <a:headEnd/>
          <a:tailEnd/>
        </a:ln>
      </xdr:spPr>
    </xdr:sp>
    <xdr:clientData/>
  </xdr:twoCellAnchor>
  <xdr:twoCellAnchor>
    <xdr:from>
      <xdr:col>6</xdr:col>
      <xdr:colOff>152400</xdr:colOff>
      <xdr:row>80</xdr:row>
      <xdr:rowOff>0</xdr:rowOff>
    </xdr:from>
    <xdr:to>
      <xdr:col>6</xdr:col>
      <xdr:colOff>152400</xdr:colOff>
      <xdr:row>83</xdr:row>
      <xdr:rowOff>50800</xdr:rowOff>
    </xdr:to>
    <xdr:sp macro="" textlink="">
      <xdr:nvSpPr>
        <xdr:cNvPr id="5501611" name="Line 272"/>
        <xdr:cNvSpPr>
          <a:spLocks noChangeShapeType="1"/>
        </xdr:cNvSpPr>
      </xdr:nvSpPr>
      <xdr:spPr bwMode="auto">
        <a:xfrm>
          <a:off x="4432300" y="13354050"/>
          <a:ext cx="0" cy="558800"/>
        </a:xfrm>
        <a:prstGeom prst="line">
          <a:avLst/>
        </a:prstGeom>
        <a:noFill/>
        <a:ln w="6350">
          <a:solidFill>
            <a:srgbClr val="000000"/>
          </a:solidFill>
          <a:round/>
          <a:headEnd type="triangle" w="sm" len="lg"/>
          <a:tailEnd type="triangle" w="sm" len="lg"/>
        </a:ln>
      </xdr:spPr>
    </xdr:sp>
    <xdr:clientData/>
  </xdr:twoCellAnchor>
  <xdr:twoCellAnchor>
    <xdr:from>
      <xdr:col>7</xdr:col>
      <xdr:colOff>787400</xdr:colOff>
      <xdr:row>102</xdr:row>
      <xdr:rowOff>95250</xdr:rowOff>
    </xdr:from>
    <xdr:to>
      <xdr:col>8</xdr:col>
      <xdr:colOff>552450</xdr:colOff>
      <xdr:row>102</xdr:row>
      <xdr:rowOff>95250</xdr:rowOff>
    </xdr:to>
    <xdr:sp macro="" textlink="">
      <xdr:nvSpPr>
        <xdr:cNvPr id="5501612" name="Line 277"/>
        <xdr:cNvSpPr>
          <a:spLocks noChangeShapeType="1"/>
        </xdr:cNvSpPr>
      </xdr:nvSpPr>
      <xdr:spPr bwMode="auto">
        <a:xfrm>
          <a:off x="6610350" y="17068800"/>
          <a:ext cx="469900" cy="0"/>
        </a:xfrm>
        <a:prstGeom prst="line">
          <a:avLst/>
        </a:prstGeom>
        <a:noFill/>
        <a:ln w="6350">
          <a:solidFill>
            <a:srgbClr val="000000"/>
          </a:solidFill>
          <a:round/>
          <a:headEnd/>
          <a:tailEnd/>
        </a:ln>
      </xdr:spPr>
    </xdr:sp>
    <xdr:clientData/>
  </xdr:twoCellAnchor>
  <xdr:twoCellAnchor>
    <xdr:from>
      <xdr:col>8</xdr:col>
      <xdr:colOff>12700</xdr:colOff>
      <xdr:row>98</xdr:row>
      <xdr:rowOff>133350</xdr:rowOff>
    </xdr:from>
    <xdr:to>
      <xdr:col>8</xdr:col>
      <xdr:colOff>469900</xdr:colOff>
      <xdr:row>98</xdr:row>
      <xdr:rowOff>133350</xdr:rowOff>
    </xdr:to>
    <xdr:sp macro="" textlink="">
      <xdr:nvSpPr>
        <xdr:cNvPr id="5501613" name="Line 278"/>
        <xdr:cNvSpPr>
          <a:spLocks noChangeShapeType="1"/>
        </xdr:cNvSpPr>
      </xdr:nvSpPr>
      <xdr:spPr bwMode="auto">
        <a:xfrm>
          <a:off x="6623050" y="16440150"/>
          <a:ext cx="457200" cy="0"/>
        </a:xfrm>
        <a:prstGeom prst="line">
          <a:avLst/>
        </a:prstGeom>
        <a:noFill/>
        <a:ln w="6350">
          <a:solidFill>
            <a:srgbClr val="000000"/>
          </a:solidFill>
          <a:round/>
          <a:headEnd/>
          <a:tailEnd/>
        </a:ln>
      </xdr:spPr>
    </xdr:sp>
    <xdr:clientData/>
  </xdr:twoCellAnchor>
  <xdr:twoCellAnchor>
    <xdr:from>
      <xdr:col>6</xdr:col>
      <xdr:colOff>476250</xdr:colOff>
      <xdr:row>93</xdr:row>
      <xdr:rowOff>76200</xdr:rowOff>
    </xdr:from>
    <xdr:to>
      <xdr:col>8</xdr:col>
      <xdr:colOff>552450</xdr:colOff>
      <xdr:row>93</xdr:row>
      <xdr:rowOff>76200</xdr:rowOff>
    </xdr:to>
    <xdr:sp macro="" textlink="">
      <xdr:nvSpPr>
        <xdr:cNvPr id="5501614" name="Line 279"/>
        <xdr:cNvSpPr>
          <a:spLocks noChangeShapeType="1"/>
        </xdr:cNvSpPr>
      </xdr:nvSpPr>
      <xdr:spPr bwMode="auto">
        <a:xfrm flipV="1">
          <a:off x="4756150" y="15570200"/>
          <a:ext cx="2324100" cy="0"/>
        </a:xfrm>
        <a:prstGeom prst="line">
          <a:avLst/>
        </a:prstGeom>
        <a:noFill/>
        <a:ln w="6350">
          <a:solidFill>
            <a:srgbClr val="000000"/>
          </a:solidFill>
          <a:round/>
          <a:headEnd/>
          <a:tailEnd/>
        </a:ln>
      </xdr:spPr>
    </xdr:sp>
    <xdr:clientData/>
  </xdr:twoCellAnchor>
  <xdr:twoCellAnchor>
    <xdr:from>
      <xdr:col>6</xdr:col>
      <xdr:colOff>476250</xdr:colOff>
      <xdr:row>99</xdr:row>
      <xdr:rowOff>152400</xdr:rowOff>
    </xdr:from>
    <xdr:to>
      <xdr:col>6</xdr:col>
      <xdr:colOff>1428750</xdr:colOff>
      <xdr:row>99</xdr:row>
      <xdr:rowOff>152400</xdr:rowOff>
    </xdr:to>
    <xdr:sp macro="" textlink="">
      <xdr:nvSpPr>
        <xdr:cNvPr id="5501615" name="Line 280"/>
        <xdr:cNvSpPr>
          <a:spLocks noChangeShapeType="1"/>
        </xdr:cNvSpPr>
      </xdr:nvSpPr>
      <xdr:spPr bwMode="auto">
        <a:xfrm flipV="1">
          <a:off x="4756150" y="16617950"/>
          <a:ext cx="952500" cy="0"/>
        </a:xfrm>
        <a:prstGeom prst="line">
          <a:avLst/>
        </a:prstGeom>
        <a:noFill/>
        <a:ln w="6350">
          <a:solidFill>
            <a:srgbClr val="000000"/>
          </a:solidFill>
          <a:round/>
          <a:headEnd/>
          <a:tailEnd/>
        </a:ln>
      </xdr:spPr>
    </xdr:sp>
    <xdr:clientData/>
  </xdr:twoCellAnchor>
  <xdr:twoCellAnchor>
    <xdr:from>
      <xdr:col>6</xdr:col>
      <xdr:colOff>476250</xdr:colOff>
      <xdr:row>93</xdr:row>
      <xdr:rowOff>76200</xdr:rowOff>
    </xdr:from>
    <xdr:to>
      <xdr:col>6</xdr:col>
      <xdr:colOff>476250</xdr:colOff>
      <xdr:row>100</xdr:row>
      <xdr:rowOff>0</xdr:rowOff>
    </xdr:to>
    <xdr:sp macro="" textlink="">
      <xdr:nvSpPr>
        <xdr:cNvPr id="5501616" name="Line 281"/>
        <xdr:cNvSpPr>
          <a:spLocks noChangeShapeType="1"/>
        </xdr:cNvSpPr>
      </xdr:nvSpPr>
      <xdr:spPr bwMode="auto">
        <a:xfrm>
          <a:off x="4756150" y="15570200"/>
          <a:ext cx="0" cy="1066800"/>
        </a:xfrm>
        <a:prstGeom prst="line">
          <a:avLst/>
        </a:prstGeom>
        <a:noFill/>
        <a:ln w="6350">
          <a:solidFill>
            <a:srgbClr val="000000"/>
          </a:solidFill>
          <a:round/>
          <a:headEnd type="triangle" w="sm" len="lg"/>
          <a:tailEnd type="triangle" w="sm" len="lg"/>
        </a:ln>
      </xdr:spPr>
    </xdr:sp>
    <xdr:clientData/>
  </xdr:twoCellAnchor>
  <xdr:twoCellAnchor>
    <xdr:from>
      <xdr:col>8</xdr:col>
      <xdr:colOff>488950</xdr:colOff>
      <xdr:row>98</xdr:row>
      <xdr:rowOff>133350</xdr:rowOff>
    </xdr:from>
    <xdr:to>
      <xdr:col>8</xdr:col>
      <xdr:colOff>488950</xdr:colOff>
      <xdr:row>102</xdr:row>
      <xdr:rowOff>95250</xdr:rowOff>
    </xdr:to>
    <xdr:sp macro="" textlink="">
      <xdr:nvSpPr>
        <xdr:cNvPr id="5501617" name="Line 282"/>
        <xdr:cNvSpPr>
          <a:spLocks noChangeShapeType="1"/>
        </xdr:cNvSpPr>
      </xdr:nvSpPr>
      <xdr:spPr bwMode="auto">
        <a:xfrm>
          <a:off x="7080250" y="16440150"/>
          <a:ext cx="0" cy="628650"/>
        </a:xfrm>
        <a:prstGeom prst="line">
          <a:avLst/>
        </a:prstGeom>
        <a:noFill/>
        <a:ln w="6350">
          <a:solidFill>
            <a:srgbClr val="000000"/>
          </a:solidFill>
          <a:round/>
          <a:headEnd type="triangle" w="sm" len="lg"/>
          <a:tailEnd type="triangle" w="sm" len="lg"/>
        </a:ln>
      </xdr:spPr>
    </xdr:sp>
    <xdr:clientData/>
  </xdr:twoCellAnchor>
  <xdr:twoCellAnchor>
    <xdr:from>
      <xdr:col>8</xdr:col>
      <xdr:colOff>488950</xdr:colOff>
      <xdr:row>93</xdr:row>
      <xdr:rowOff>63500</xdr:rowOff>
    </xdr:from>
    <xdr:to>
      <xdr:col>8</xdr:col>
      <xdr:colOff>488950</xdr:colOff>
      <xdr:row>98</xdr:row>
      <xdr:rowOff>133350</xdr:rowOff>
    </xdr:to>
    <xdr:sp macro="" textlink="">
      <xdr:nvSpPr>
        <xdr:cNvPr id="5501618" name="Line 283"/>
        <xdr:cNvSpPr>
          <a:spLocks noChangeShapeType="1"/>
        </xdr:cNvSpPr>
      </xdr:nvSpPr>
      <xdr:spPr bwMode="auto">
        <a:xfrm>
          <a:off x="7080250" y="15557500"/>
          <a:ext cx="0" cy="882650"/>
        </a:xfrm>
        <a:prstGeom prst="line">
          <a:avLst/>
        </a:prstGeom>
        <a:noFill/>
        <a:ln w="6350">
          <a:solidFill>
            <a:srgbClr val="000000"/>
          </a:solidFill>
          <a:round/>
          <a:headEnd type="triangle" w="sm" len="lg"/>
          <a:tailEnd type="triangle" w="sm" len="lg"/>
        </a:ln>
      </xdr:spPr>
    </xdr:sp>
    <xdr:clientData/>
  </xdr:twoCellAnchor>
  <xdr:twoCellAnchor>
    <xdr:from>
      <xdr:col>8</xdr:col>
      <xdr:colOff>0</xdr:colOff>
      <xdr:row>102</xdr:row>
      <xdr:rowOff>95250</xdr:rowOff>
    </xdr:from>
    <xdr:to>
      <xdr:col>8</xdr:col>
      <xdr:colOff>0</xdr:colOff>
      <xdr:row>103</xdr:row>
      <xdr:rowOff>0</xdr:rowOff>
    </xdr:to>
    <xdr:sp macro="" textlink="">
      <xdr:nvSpPr>
        <xdr:cNvPr id="5501619" name="Line 284"/>
        <xdr:cNvSpPr>
          <a:spLocks noChangeShapeType="1"/>
        </xdr:cNvSpPr>
      </xdr:nvSpPr>
      <xdr:spPr bwMode="auto">
        <a:xfrm flipV="1">
          <a:off x="6610350" y="17068800"/>
          <a:ext cx="0" cy="69850"/>
        </a:xfrm>
        <a:prstGeom prst="line">
          <a:avLst/>
        </a:prstGeom>
        <a:noFill/>
        <a:ln w="6350">
          <a:solidFill>
            <a:srgbClr val="000000"/>
          </a:solidFill>
          <a:round/>
          <a:headEnd/>
          <a:tailEnd/>
        </a:ln>
      </xdr:spPr>
    </xdr:sp>
    <xdr:clientData/>
  </xdr:twoCellAnchor>
  <xdr:twoCellAnchor>
    <xdr:from>
      <xdr:col>6</xdr:col>
      <xdr:colOff>1428750</xdr:colOff>
      <xdr:row>99</xdr:row>
      <xdr:rowOff>139700</xdr:rowOff>
    </xdr:from>
    <xdr:to>
      <xdr:col>6</xdr:col>
      <xdr:colOff>1428750</xdr:colOff>
      <xdr:row>103</xdr:row>
      <xdr:rowOff>0</xdr:rowOff>
    </xdr:to>
    <xdr:sp macro="" textlink="">
      <xdr:nvSpPr>
        <xdr:cNvPr id="5501620" name="Line 285"/>
        <xdr:cNvSpPr>
          <a:spLocks noChangeShapeType="1"/>
        </xdr:cNvSpPr>
      </xdr:nvSpPr>
      <xdr:spPr bwMode="auto">
        <a:xfrm flipH="1" flipV="1">
          <a:off x="5708650" y="16605250"/>
          <a:ext cx="0" cy="533400"/>
        </a:xfrm>
        <a:prstGeom prst="line">
          <a:avLst/>
        </a:prstGeom>
        <a:noFill/>
        <a:ln w="6350">
          <a:solidFill>
            <a:srgbClr val="000000"/>
          </a:solidFill>
          <a:round/>
          <a:headEnd/>
          <a:tailEnd/>
        </a:ln>
      </xdr:spPr>
    </xdr:sp>
    <xdr:clientData/>
  </xdr:twoCellAnchor>
  <xdr:twoCellAnchor>
    <xdr:from>
      <xdr:col>6</xdr:col>
      <xdr:colOff>1422400</xdr:colOff>
      <xdr:row>103</xdr:row>
      <xdr:rowOff>0</xdr:rowOff>
    </xdr:from>
    <xdr:to>
      <xdr:col>8</xdr:col>
      <xdr:colOff>0</xdr:colOff>
      <xdr:row>103</xdr:row>
      <xdr:rowOff>0</xdr:rowOff>
    </xdr:to>
    <xdr:sp macro="" textlink="">
      <xdr:nvSpPr>
        <xdr:cNvPr id="5501621" name="Line 286"/>
        <xdr:cNvSpPr>
          <a:spLocks noChangeShapeType="1"/>
        </xdr:cNvSpPr>
      </xdr:nvSpPr>
      <xdr:spPr bwMode="auto">
        <a:xfrm>
          <a:off x="5702300" y="17138650"/>
          <a:ext cx="908050" cy="0"/>
        </a:xfrm>
        <a:prstGeom prst="line">
          <a:avLst/>
        </a:prstGeom>
        <a:noFill/>
        <a:ln w="6350">
          <a:solidFill>
            <a:srgbClr val="000000"/>
          </a:solidFill>
          <a:round/>
          <a:headEnd type="triangle" w="sm" len="lg"/>
          <a:tailEnd type="triangle" w="sm" len="lg"/>
        </a:ln>
      </xdr:spPr>
    </xdr:sp>
    <xdr:clientData/>
  </xdr:twoCellAnchor>
  <xdr:twoCellAnchor>
    <xdr:from>
      <xdr:col>6</xdr:col>
      <xdr:colOff>685800</xdr:colOff>
      <xdr:row>89</xdr:row>
      <xdr:rowOff>69850</xdr:rowOff>
    </xdr:from>
    <xdr:to>
      <xdr:col>6</xdr:col>
      <xdr:colOff>1695450</xdr:colOff>
      <xdr:row>89</xdr:row>
      <xdr:rowOff>69850</xdr:rowOff>
    </xdr:to>
    <xdr:sp macro="" textlink="">
      <xdr:nvSpPr>
        <xdr:cNvPr id="5501622" name="Line 287"/>
        <xdr:cNvSpPr>
          <a:spLocks noChangeShapeType="1"/>
        </xdr:cNvSpPr>
      </xdr:nvSpPr>
      <xdr:spPr bwMode="auto">
        <a:xfrm>
          <a:off x="4965700" y="14916150"/>
          <a:ext cx="1009650" cy="0"/>
        </a:xfrm>
        <a:prstGeom prst="line">
          <a:avLst/>
        </a:prstGeom>
        <a:noFill/>
        <a:ln w="3175">
          <a:solidFill>
            <a:srgbClr val="92D050"/>
          </a:solidFill>
          <a:prstDash val="sysDot"/>
          <a:round/>
          <a:headEnd type="triangle" w="sm" len="sm"/>
          <a:tailEnd type="triangle" w="sm" len="sm"/>
        </a:ln>
      </xdr:spPr>
    </xdr:sp>
    <xdr:clientData/>
  </xdr:twoCellAnchor>
  <xdr:twoCellAnchor>
    <xdr:from>
      <xdr:col>6</xdr:col>
      <xdr:colOff>990600</xdr:colOff>
      <xdr:row>93</xdr:row>
      <xdr:rowOff>25400</xdr:rowOff>
    </xdr:from>
    <xdr:to>
      <xdr:col>6</xdr:col>
      <xdr:colOff>1397000</xdr:colOff>
      <xdr:row>93</xdr:row>
      <xdr:rowOff>25400</xdr:rowOff>
    </xdr:to>
    <xdr:sp macro="" textlink="">
      <xdr:nvSpPr>
        <xdr:cNvPr id="5501623" name="Line 288"/>
        <xdr:cNvSpPr>
          <a:spLocks noChangeShapeType="1"/>
        </xdr:cNvSpPr>
      </xdr:nvSpPr>
      <xdr:spPr bwMode="auto">
        <a:xfrm>
          <a:off x="5270500" y="15519400"/>
          <a:ext cx="406400" cy="0"/>
        </a:xfrm>
        <a:prstGeom prst="line">
          <a:avLst/>
        </a:prstGeom>
        <a:noFill/>
        <a:ln w="3175">
          <a:solidFill>
            <a:srgbClr val="92D050"/>
          </a:solidFill>
          <a:prstDash val="sysDot"/>
          <a:round/>
          <a:headEnd type="triangle" w="sm" len="sm"/>
          <a:tailEnd type="triangle" w="sm" len="sm"/>
        </a:ln>
      </xdr:spPr>
    </xdr:sp>
    <xdr:clientData/>
  </xdr:twoCellAnchor>
  <xdr:twoCellAnchor>
    <xdr:from>
      <xdr:col>6</xdr:col>
      <xdr:colOff>850900</xdr:colOff>
      <xdr:row>87</xdr:row>
      <xdr:rowOff>57150</xdr:rowOff>
    </xdr:from>
    <xdr:to>
      <xdr:col>8</xdr:col>
      <xdr:colOff>44450</xdr:colOff>
      <xdr:row>87</xdr:row>
      <xdr:rowOff>57150</xdr:rowOff>
    </xdr:to>
    <xdr:sp macro="" textlink="">
      <xdr:nvSpPr>
        <xdr:cNvPr id="5501624" name="Line 289"/>
        <xdr:cNvSpPr>
          <a:spLocks noChangeShapeType="1"/>
        </xdr:cNvSpPr>
      </xdr:nvSpPr>
      <xdr:spPr bwMode="auto">
        <a:xfrm>
          <a:off x="5130800" y="14579600"/>
          <a:ext cx="1524000" cy="0"/>
        </a:xfrm>
        <a:prstGeom prst="line">
          <a:avLst/>
        </a:prstGeom>
        <a:noFill/>
        <a:ln w="6350">
          <a:solidFill>
            <a:srgbClr val="92D050"/>
          </a:solidFill>
          <a:round/>
          <a:headEnd/>
          <a:tailEnd/>
        </a:ln>
      </xdr:spPr>
    </xdr:sp>
    <xdr:clientData/>
  </xdr:twoCellAnchor>
  <xdr:twoCellAnchor>
    <xdr:from>
      <xdr:col>6</xdr:col>
      <xdr:colOff>698500</xdr:colOff>
      <xdr:row>88</xdr:row>
      <xdr:rowOff>57150</xdr:rowOff>
    </xdr:from>
    <xdr:to>
      <xdr:col>8</xdr:col>
      <xdr:colOff>57150</xdr:colOff>
      <xdr:row>88</xdr:row>
      <xdr:rowOff>57150</xdr:rowOff>
    </xdr:to>
    <xdr:sp macro="" textlink="">
      <xdr:nvSpPr>
        <xdr:cNvPr id="5501625" name="Line 290"/>
        <xdr:cNvSpPr>
          <a:spLocks noChangeShapeType="1"/>
        </xdr:cNvSpPr>
      </xdr:nvSpPr>
      <xdr:spPr bwMode="auto">
        <a:xfrm>
          <a:off x="4978400" y="14738350"/>
          <a:ext cx="1689100" cy="0"/>
        </a:xfrm>
        <a:prstGeom prst="line">
          <a:avLst/>
        </a:prstGeom>
        <a:noFill/>
        <a:ln w="6350">
          <a:solidFill>
            <a:srgbClr val="92D050"/>
          </a:solidFill>
          <a:round/>
          <a:headEnd/>
          <a:tailEnd/>
        </a:ln>
      </xdr:spPr>
    </xdr:sp>
    <xdr:clientData/>
  </xdr:twoCellAnchor>
  <xdr:twoCellAnchor>
    <xdr:from>
      <xdr:col>6</xdr:col>
      <xdr:colOff>698500</xdr:colOff>
      <xdr:row>90</xdr:row>
      <xdr:rowOff>139700</xdr:rowOff>
    </xdr:from>
    <xdr:to>
      <xdr:col>8</xdr:col>
      <xdr:colOff>69850</xdr:colOff>
      <xdr:row>90</xdr:row>
      <xdr:rowOff>139700</xdr:rowOff>
    </xdr:to>
    <xdr:sp macro="" textlink="">
      <xdr:nvSpPr>
        <xdr:cNvPr id="5501626" name="Line 291"/>
        <xdr:cNvSpPr>
          <a:spLocks noChangeShapeType="1"/>
        </xdr:cNvSpPr>
      </xdr:nvSpPr>
      <xdr:spPr bwMode="auto">
        <a:xfrm>
          <a:off x="4978400" y="15157450"/>
          <a:ext cx="1701800" cy="0"/>
        </a:xfrm>
        <a:prstGeom prst="line">
          <a:avLst/>
        </a:prstGeom>
        <a:noFill/>
        <a:ln w="6350">
          <a:solidFill>
            <a:srgbClr val="92D050"/>
          </a:solidFill>
          <a:round/>
          <a:headEnd/>
          <a:tailEnd/>
        </a:ln>
      </xdr:spPr>
    </xdr:sp>
    <xdr:clientData/>
  </xdr:twoCellAnchor>
  <xdr:twoCellAnchor>
    <xdr:from>
      <xdr:col>6</xdr:col>
      <xdr:colOff>977900</xdr:colOff>
      <xdr:row>92</xdr:row>
      <xdr:rowOff>44450</xdr:rowOff>
    </xdr:from>
    <xdr:to>
      <xdr:col>8</xdr:col>
      <xdr:colOff>44450</xdr:colOff>
      <xdr:row>92</xdr:row>
      <xdr:rowOff>44450</xdr:rowOff>
    </xdr:to>
    <xdr:sp macro="" textlink="">
      <xdr:nvSpPr>
        <xdr:cNvPr id="5501627" name="Line 292"/>
        <xdr:cNvSpPr>
          <a:spLocks noChangeShapeType="1"/>
        </xdr:cNvSpPr>
      </xdr:nvSpPr>
      <xdr:spPr bwMode="auto">
        <a:xfrm>
          <a:off x="5257800" y="15379700"/>
          <a:ext cx="1397000" cy="0"/>
        </a:xfrm>
        <a:prstGeom prst="line">
          <a:avLst/>
        </a:prstGeom>
        <a:noFill/>
        <a:ln w="6350">
          <a:solidFill>
            <a:srgbClr val="92D050"/>
          </a:solidFill>
          <a:round/>
          <a:headEnd/>
          <a:tailEnd/>
        </a:ln>
      </xdr:spPr>
    </xdr:sp>
    <xdr:clientData/>
  </xdr:twoCellAnchor>
  <xdr:twoCellAnchor>
    <xdr:from>
      <xdr:col>6</xdr:col>
      <xdr:colOff>1790700</xdr:colOff>
      <xdr:row>80</xdr:row>
      <xdr:rowOff>0</xdr:rowOff>
    </xdr:from>
    <xdr:to>
      <xdr:col>6</xdr:col>
      <xdr:colOff>1790700</xdr:colOff>
      <xdr:row>87</xdr:row>
      <xdr:rowOff>63500</xdr:rowOff>
    </xdr:to>
    <xdr:sp macro="" textlink="">
      <xdr:nvSpPr>
        <xdr:cNvPr id="5501628" name="Line 293"/>
        <xdr:cNvSpPr>
          <a:spLocks noChangeShapeType="1"/>
        </xdr:cNvSpPr>
      </xdr:nvSpPr>
      <xdr:spPr bwMode="auto">
        <a:xfrm>
          <a:off x="6070600" y="13354050"/>
          <a:ext cx="0" cy="1231900"/>
        </a:xfrm>
        <a:prstGeom prst="line">
          <a:avLst/>
        </a:prstGeom>
        <a:noFill/>
        <a:ln w="9525">
          <a:solidFill>
            <a:srgbClr val="92D050"/>
          </a:solidFill>
          <a:prstDash val="sysDot"/>
          <a:round/>
          <a:headEnd type="triangle" w="sm" len="sm"/>
          <a:tailEnd type="triangle" w="sm" len="sm"/>
        </a:ln>
      </xdr:spPr>
    </xdr:sp>
    <xdr:clientData/>
  </xdr:twoCellAnchor>
  <xdr:twoCellAnchor>
    <xdr:from>
      <xdr:col>7</xdr:col>
      <xdr:colOff>190500</xdr:colOff>
      <xdr:row>80</xdr:row>
      <xdr:rowOff>0</xdr:rowOff>
    </xdr:from>
    <xdr:to>
      <xdr:col>7</xdr:col>
      <xdr:colOff>190500</xdr:colOff>
      <xdr:row>90</xdr:row>
      <xdr:rowOff>133350</xdr:rowOff>
    </xdr:to>
    <xdr:sp macro="" textlink="">
      <xdr:nvSpPr>
        <xdr:cNvPr id="5501629" name="Line 294"/>
        <xdr:cNvSpPr>
          <a:spLocks noChangeShapeType="1"/>
        </xdr:cNvSpPr>
      </xdr:nvSpPr>
      <xdr:spPr bwMode="auto">
        <a:xfrm>
          <a:off x="6330950" y="13354050"/>
          <a:ext cx="0" cy="1797050"/>
        </a:xfrm>
        <a:prstGeom prst="line">
          <a:avLst/>
        </a:prstGeom>
        <a:noFill/>
        <a:ln w="9525">
          <a:solidFill>
            <a:srgbClr val="92D050"/>
          </a:solidFill>
          <a:prstDash val="sysDot"/>
          <a:round/>
          <a:headEnd type="triangle" w="sm" len="sm"/>
          <a:tailEnd type="triangle" w="sm" len="sm"/>
        </a:ln>
      </xdr:spPr>
    </xdr:sp>
    <xdr:clientData/>
  </xdr:twoCellAnchor>
  <xdr:twoCellAnchor>
    <xdr:from>
      <xdr:col>8</xdr:col>
      <xdr:colOff>44450</xdr:colOff>
      <xdr:row>87</xdr:row>
      <xdr:rowOff>57150</xdr:rowOff>
    </xdr:from>
    <xdr:to>
      <xdr:col>8</xdr:col>
      <xdr:colOff>44450</xdr:colOff>
      <xdr:row>88</xdr:row>
      <xdr:rowOff>57150</xdr:rowOff>
    </xdr:to>
    <xdr:sp macro="" textlink="">
      <xdr:nvSpPr>
        <xdr:cNvPr id="5501630" name="Line 295"/>
        <xdr:cNvSpPr>
          <a:spLocks noChangeShapeType="1"/>
        </xdr:cNvSpPr>
      </xdr:nvSpPr>
      <xdr:spPr bwMode="auto">
        <a:xfrm>
          <a:off x="6654800" y="14579600"/>
          <a:ext cx="0" cy="158750"/>
        </a:xfrm>
        <a:prstGeom prst="line">
          <a:avLst/>
        </a:prstGeom>
        <a:noFill/>
        <a:ln w="3175">
          <a:solidFill>
            <a:srgbClr val="92D050"/>
          </a:solidFill>
          <a:prstDash val="sysDot"/>
          <a:round/>
          <a:headEnd type="triangle" w="sm" len="sm"/>
          <a:tailEnd type="triangle" w="sm" len="sm"/>
        </a:ln>
      </xdr:spPr>
    </xdr:sp>
    <xdr:clientData/>
  </xdr:twoCellAnchor>
  <xdr:twoCellAnchor>
    <xdr:from>
      <xdr:col>8</xdr:col>
      <xdr:colOff>44450</xdr:colOff>
      <xdr:row>90</xdr:row>
      <xdr:rowOff>139700</xdr:rowOff>
    </xdr:from>
    <xdr:to>
      <xdr:col>8</xdr:col>
      <xdr:colOff>44450</xdr:colOff>
      <xdr:row>92</xdr:row>
      <xdr:rowOff>44450</xdr:rowOff>
    </xdr:to>
    <xdr:sp macro="" textlink="">
      <xdr:nvSpPr>
        <xdr:cNvPr id="5501631" name="Line 296"/>
        <xdr:cNvSpPr>
          <a:spLocks noChangeShapeType="1"/>
        </xdr:cNvSpPr>
      </xdr:nvSpPr>
      <xdr:spPr bwMode="auto">
        <a:xfrm>
          <a:off x="6654800" y="15157450"/>
          <a:ext cx="0" cy="222250"/>
        </a:xfrm>
        <a:prstGeom prst="line">
          <a:avLst/>
        </a:prstGeom>
        <a:noFill/>
        <a:ln w="9525">
          <a:solidFill>
            <a:srgbClr val="92D050"/>
          </a:solidFill>
          <a:prstDash val="sysDot"/>
          <a:round/>
          <a:headEnd type="triangle" w="sm" len="sm"/>
          <a:tailEnd type="triangle" w="sm" len="sm"/>
        </a:ln>
      </xdr:spPr>
    </xdr:sp>
    <xdr:clientData/>
  </xdr:twoCellAnchor>
  <xdr:twoCellAnchor>
    <xdr:from>
      <xdr:col>6</xdr:col>
      <xdr:colOff>0</xdr:colOff>
      <xdr:row>84</xdr:row>
      <xdr:rowOff>101600</xdr:rowOff>
    </xdr:from>
    <xdr:to>
      <xdr:col>6</xdr:col>
      <xdr:colOff>838200</xdr:colOff>
      <xdr:row>84</xdr:row>
      <xdr:rowOff>101600</xdr:rowOff>
    </xdr:to>
    <xdr:sp macro="" textlink="">
      <xdr:nvSpPr>
        <xdr:cNvPr id="5501632" name="Line 297"/>
        <xdr:cNvSpPr>
          <a:spLocks noChangeShapeType="1"/>
        </xdr:cNvSpPr>
      </xdr:nvSpPr>
      <xdr:spPr bwMode="auto">
        <a:xfrm>
          <a:off x="4279900" y="14128750"/>
          <a:ext cx="838200" cy="0"/>
        </a:xfrm>
        <a:prstGeom prst="line">
          <a:avLst/>
        </a:prstGeom>
        <a:noFill/>
        <a:ln w="9525">
          <a:solidFill>
            <a:srgbClr val="000000"/>
          </a:solidFill>
          <a:round/>
          <a:headEnd/>
          <a:tailEnd/>
        </a:ln>
      </xdr:spPr>
    </xdr:sp>
    <xdr:clientData/>
  </xdr:twoCellAnchor>
  <xdr:twoCellAnchor>
    <xdr:from>
      <xdr:col>6</xdr:col>
      <xdr:colOff>0</xdr:colOff>
      <xdr:row>89</xdr:row>
      <xdr:rowOff>69850</xdr:rowOff>
    </xdr:from>
    <xdr:to>
      <xdr:col>6</xdr:col>
      <xdr:colOff>685800</xdr:colOff>
      <xdr:row>89</xdr:row>
      <xdr:rowOff>69850</xdr:rowOff>
    </xdr:to>
    <xdr:sp macro="" textlink="">
      <xdr:nvSpPr>
        <xdr:cNvPr id="5501633" name="Line 298"/>
        <xdr:cNvSpPr>
          <a:spLocks noChangeShapeType="1"/>
        </xdr:cNvSpPr>
      </xdr:nvSpPr>
      <xdr:spPr bwMode="auto">
        <a:xfrm>
          <a:off x="4279900" y="14916150"/>
          <a:ext cx="685800" cy="0"/>
        </a:xfrm>
        <a:prstGeom prst="line">
          <a:avLst/>
        </a:prstGeom>
        <a:noFill/>
        <a:ln w="9525">
          <a:solidFill>
            <a:srgbClr val="92D050"/>
          </a:solidFill>
          <a:round/>
          <a:headEnd/>
          <a:tailEnd/>
        </a:ln>
      </xdr:spPr>
    </xdr:sp>
    <xdr:clientData/>
  </xdr:twoCellAnchor>
  <xdr:twoCellAnchor>
    <xdr:from>
      <xdr:col>6</xdr:col>
      <xdr:colOff>0</xdr:colOff>
      <xdr:row>93</xdr:row>
      <xdr:rowOff>25400</xdr:rowOff>
    </xdr:from>
    <xdr:to>
      <xdr:col>6</xdr:col>
      <xdr:colOff>971550</xdr:colOff>
      <xdr:row>93</xdr:row>
      <xdr:rowOff>25400</xdr:rowOff>
    </xdr:to>
    <xdr:sp macro="" textlink="">
      <xdr:nvSpPr>
        <xdr:cNvPr id="5501634" name="Line 299"/>
        <xdr:cNvSpPr>
          <a:spLocks noChangeShapeType="1"/>
        </xdr:cNvSpPr>
      </xdr:nvSpPr>
      <xdr:spPr bwMode="auto">
        <a:xfrm>
          <a:off x="4279900" y="15519400"/>
          <a:ext cx="971550" cy="0"/>
        </a:xfrm>
        <a:prstGeom prst="line">
          <a:avLst/>
        </a:prstGeom>
        <a:noFill/>
        <a:ln w="9525">
          <a:solidFill>
            <a:srgbClr val="92D050"/>
          </a:solidFill>
          <a:round/>
          <a:headEnd/>
          <a:tailEnd/>
        </a:ln>
      </xdr:spPr>
    </xdr:sp>
    <xdr:clientData/>
  </xdr:twoCellAnchor>
  <xdr:twoCellAnchor>
    <xdr:from>
      <xdr:col>6</xdr:col>
      <xdr:colOff>0</xdr:colOff>
      <xdr:row>96</xdr:row>
      <xdr:rowOff>76200</xdr:rowOff>
    </xdr:from>
    <xdr:to>
      <xdr:col>6</xdr:col>
      <xdr:colOff>476250</xdr:colOff>
      <xdr:row>96</xdr:row>
      <xdr:rowOff>76200</xdr:rowOff>
    </xdr:to>
    <xdr:sp macro="" textlink="">
      <xdr:nvSpPr>
        <xdr:cNvPr id="5501635" name="Line 300"/>
        <xdr:cNvSpPr>
          <a:spLocks noChangeShapeType="1"/>
        </xdr:cNvSpPr>
      </xdr:nvSpPr>
      <xdr:spPr bwMode="auto">
        <a:xfrm>
          <a:off x="4279900" y="16052800"/>
          <a:ext cx="476250" cy="0"/>
        </a:xfrm>
        <a:prstGeom prst="line">
          <a:avLst/>
        </a:prstGeom>
        <a:noFill/>
        <a:ln w="9525">
          <a:solidFill>
            <a:srgbClr val="000000"/>
          </a:solidFill>
          <a:round/>
          <a:headEnd/>
          <a:tailEnd/>
        </a:ln>
      </xdr:spPr>
    </xdr:sp>
    <xdr:clientData/>
  </xdr:twoCellAnchor>
  <xdr:twoCellAnchor>
    <xdr:from>
      <xdr:col>7</xdr:col>
      <xdr:colOff>152400</xdr:colOff>
      <xdr:row>103</xdr:row>
      <xdr:rowOff>0</xdr:rowOff>
    </xdr:from>
    <xdr:to>
      <xdr:col>7</xdr:col>
      <xdr:colOff>152400</xdr:colOff>
      <xdr:row>104</xdr:row>
      <xdr:rowOff>12700</xdr:rowOff>
    </xdr:to>
    <xdr:sp macro="" textlink="">
      <xdr:nvSpPr>
        <xdr:cNvPr id="5501636" name="Line 301"/>
        <xdr:cNvSpPr>
          <a:spLocks noChangeShapeType="1"/>
        </xdr:cNvSpPr>
      </xdr:nvSpPr>
      <xdr:spPr bwMode="auto">
        <a:xfrm>
          <a:off x="6292850" y="17138650"/>
          <a:ext cx="0" cy="184150"/>
        </a:xfrm>
        <a:prstGeom prst="line">
          <a:avLst/>
        </a:prstGeom>
        <a:noFill/>
        <a:ln w="9525">
          <a:solidFill>
            <a:srgbClr val="000000"/>
          </a:solidFill>
          <a:round/>
          <a:headEnd/>
          <a:tailEnd/>
        </a:ln>
      </xdr:spPr>
    </xdr:sp>
    <xdr:clientData/>
  </xdr:twoCellAnchor>
  <xdr:twoCellAnchor>
    <xdr:from>
      <xdr:col>6</xdr:col>
      <xdr:colOff>0</xdr:colOff>
      <xdr:row>81</xdr:row>
      <xdr:rowOff>76200</xdr:rowOff>
    </xdr:from>
    <xdr:to>
      <xdr:col>6</xdr:col>
      <xdr:colOff>152400</xdr:colOff>
      <xdr:row>81</xdr:row>
      <xdr:rowOff>76200</xdr:rowOff>
    </xdr:to>
    <xdr:sp macro="" textlink="">
      <xdr:nvSpPr>
        <xdr:cNvPr id="5501637" name="Line 302"/>
        <xdr:cNvSpPr>
          <a:spLocks noChangeShapeType="1"/>
        </xdr:cNvSpPr>
      </xdr:nvSpPr>
      <xdr:spPr bwMode="auto">
        <a:xfrm>
          <a:off x="4279900" y="13601700"/>
          <a:ext cx="152400" cy="0"/>
        </a:xfrm>
        <a:prstGeom prst="line">
          <a:avLst/>
        </a:prstGeom>
        <a:noFill/>
        <a:ln w="9525">
          <a:solidFill>
            <a:srgbClr val="000000"/>
          </a:solidFill>
          <a:round/>
          <a:headEnd/>
          <a:tailEnd/>
        </a:ln>
      </xdr:spPr>
    </xdr:sp>
    <xdr:clientData/>
  </xdr:twoCellAnchor>
  <xdr:twoCellAnchor>
    <xdr:from>
      <xdr:col>6</xdr:col>
      <xdr:colOff>1778000</xdr:colOff>
      <xdr:row>83</xdr:row>
      <xdr:rowOff>82550</xdr:rowOff>
    </xdr:from>
    <xdr:to>
      <xdr:col>9</xdr:col>
      <xdr:colOff>0</xdr:colOff>
      <xdr:row>83</xdr:row>
      <xdr:rowOff>82550</xdr:rowOff>
    </xdr:to>
    <xdr:sp macro="" textlink="">
      <xdr:nvSpPr>
        <xdr:cNvPr id="5501638" name="Line 303"/>
        <xdr:cNvSpPr>
          <a:spLocks noChangeShapeType="1"/>
        </xdr:cNvSpPr>
      </xdr:nvSpPr>
      <xdr:spPr bwMode="auto">
        <a:xfrm flipV="1">
          <a:off x="6057900" y="13944600"/>
          <a:ext cx="1022350" cy="0"/>
        </a:xfrm>
        <a:prstGeom prst="line">
          <a:avLst/>
        </a:prstGeom>
        <a:noFill/>
        <a:ln w="9525">
          <a:solidFill>
            <a:srgbClr val="92D050"/>
          </a:solidFill>
          <a:prstDash val="sysDot"/>
          <a:round/>
          <a:headEnd/>
          <a:tailEnd/>
        </a:ln>
      </xdr:spPr>
    </xdr:sp>
    <xdr:clientData/>
  </xdr:twoCellAnchor>
  <xdr:twoCellAnchor>
    <xdr:from>
      <xdr:col>7</xdr:col>
      <xdr:colOff>190500</xdr:colOff>
      <xdr:row>85</xdr:row>
      <xdr:rowOff>76200</xdr:rowOff>
    </xdr:from>
    <xdr:to>
      <xdr:col>9</xdr:col>
      <xdr:colOff>0</xdr:colOff>
      <xdr:row>85</xdr:row>
      <xdr:rowOff>76200</xdr:rowOff>
    </xdr:to>
    <xdr:sp macro="" textlink="">
      <xdr:nvSpPr>
        <xdr:cNvPr id="5501639" name="Line 304"/>
        <xdr:cNvSpPr>
          <a:spLocks noChangeShapeType="1"/>
        </xdr:cNvSpPr>
      </xdr:nvSpPr>
      <xdr:spPr bwMode="auto">
        <a:xfrm flipV="1">
          <a:off x="6330950" y="14274800"/>
          <a:ext cx="749300" cy="0"/>
        </a:xfrm>
        <a:prstGeom prst="line">
          <a:avLst/>
        </a:prstGeom>
        <a:noFill/>
        <a:ln w="9525">
          <a:solidFill>
            <a:srgbClr val="92D050"/>
          </a:solidFill>
          <a:prstDash val="sysDot"/>
          <a:round/>
          <a:headEnd/>
          <a:tailEnd/>
        </a:ln>
      </xdr:spPr>
    </xdr:sp>
    <xdr:clientData/>
  </xdr:twoCellAnchor>
  <xdr:twoCellAnchor>
    <xdr:from>
      <xdr:col>8</xdr:col>
      <xdr:colOff>44450</xdr:colOff>
      <xdr:row>87</xdr:row>
      <xdr:rowOff>133350</xdr:rowOff>
    </xdr:from>
    <xdr:to>
      <xdr:col>9</xdr:col>
      <xdr:colOff>0</xdr:colOff>
      <xdr:row>87</xdr:row>
      <xdr:rowOff>133350</xdr:rowOff>
    </xdr:to>
    <xdr:sp macro="" textlink="">
      <xdr:nvSpPr>
        <xdr:cNvPr id="5501640" name="Line 305"/>
        <xdr:cNvSpPr>
          <a:spLocks noChangeShapeType="1"/>
        </xdr:cNvSpPr>
      </xdr:nvSpPr>
      <xdr:spPr bwMode="auto">
        <a:xfrm flipV="1">
          <a:off x="6654800" y="14655800"/>
          <a:ext cx="425450" cy="0"/>
        </a:xfrm>
        <a:prstGeom prst="line">
          <a:avLst/>
        </a:prstGeom>
        <a:noFill/>
        <a:ln w="9525">
          <a:solidFill>
            <a:srgbClr val="92D050"/>
          </a:solidFill>
          <a:prstDash val="sysDot"/>
          <a:round/>
          <a:headEnd/>
          <a:tailEnd/>
        </a:ln>
      </xdr:spPr>
    </xdr:sp>
    <xdr:clientData/>
  </xdr:twoCellAnchor>
  <xdr:twoCellAnchor>
    <xdr:from>
      <xdr:col>8</xdr:col>
      <xdr:colOff>488950</xdr:colOff>
      <xdr:row>89</xdr:row>
      <xdr:rowOff>88900</xdr:rowOff>
    </xdr:from>
    <xdr:to>
      <xdr:col>9</xdr:col>
      <xdr:colOff>0</xdr:colOff>
      <xdr:row>89</xdr:row>
      <xdr:rowOff>88900</xdr:rowOff>
    </xdr:to>
    <xdr:sp macro="" textlink="">
      <xdr:nvSpPr>
        <xdr:cNvPr id="5501641" name="Line 307"/>
        <xdr:cNvSpPr>
          <a:spLocks noChangeShapeType="1"/>
        </xdr:cNvSpPr>
      </xdr:nvSpPr>
      <xdr:spPr bwMode="auto">
        <a:xfrm flipV="1">
          <a:off x="7080250" y="14935200"/>
          <a:ext cx="0" cy="0"/>
        </a:xfrm>
        <a:prstGeom prst="line">
          <a:avLst/>
        </a:prstGeom>
        <a:noFill/>
        <a:ln w="9525">
          <a:solidFill>
            <a:srgbClr val="000000"/>
          </a:solidFill>
          <a:round/>
          <a:headEnd/>
          <a:tailEnd/>
        </a:ln>
      </xdr:spPr>
    </xdr:sp>
    <xdr:clientData/>
  </xdr:twoCellAnchor>
  <xdr:twoCellAnchor>
    <xdr:from>
      <xdr:col>8</xdr:col>
      <xdr:colOff>44450</xdr:colOff>
      <xdr:row>91</xdr:row>
      <xdr:rowOff>76200</xdr:rowOff>
    </xdr:from>
    <xdr:to>
      <xdr:col>9</xdr:col>
      <xdr:colOff>12700</xdr:colOff>
      <xdr:row>91</xdr:row>
      <xdr:rowOff>76200</xdr:rowOff>
    </xdr:to>
    <xdr:sp macro="" textlink="">
      <xdr:nvSpPr>
        <xdr:cNvPr id="5501642" name="Line 308"/>
        <xdr:cNvSpPr>
          <a:spLocks noChangeShapeType="1"/>
        </xdr:cNvSpPr>
      </xdr:nvSpPr>
      <xdr:spPr bwMode="auto">
        <a:xfrm flipH="1" flipV="1">
          <a:off x="6654800" y="15252700"/>
          <a:ext cx="438150" cy="0"/>
        </a:xfrm>
        <a:prstGeom prst="line">
          <a:avLst/>
        </a:prstGeom>
        <a:noFill/>
        <a:ln w="9525">
          <a:solidFill>
            <a:srgbClr val="92D050"/>
          </a:solidFill>
          <a:prstDash val="sysDot"/>
          <a:round/>
          <a:headEnd type="none" w="sm" len="sm"/>
          <a:tailEnd type="none" w="sm" len="sm"/>
        </a:ln>
      </xdr:spPr>
    </xdr:sp>
    <xdr:clientData/>
  </xdr:twoCellAnchor>
  <xdr:twoCellAnchor>
    <xdr:from>
      <xdr:col>8</xdr:col>
      <xdr:colOff>488950</xdr:colOff>
      <xdr:row>96</xdr:row>
      <xdr:rowOff>76200</xdr:rowOff>
    </xdr:from>
    <xdr:to>
      <xdr:col>9</xdr:col>
      <xdr:colOff>0</xdr:colOff>
      <xdr:row>96</xdr:row>
      <xdr:rowOff>76200</xdr:rowOff>
    </xdr:to>
    <xdr:sp macro="" textlink="">
      <xdr:nvSpPr>
        <xdr:cNvPr id="5501643" name="Line 309"/>
        <xdr:cNvSpPr>
          <a:spLocks noChangeShapeType="1"/>
        </xdr:cNvSpPr>
      </xdr:nvSpPr>
      <xdr:spPr bwMode="auto">
        <a:xfrm>
          <a:off x="7080250" y="16052800"/>
          <a:ext cx="0" cy="0"/>
        </a:xfrm>
        <a:prstGeom prst="line">
          <a:avLst/>
        </a:prstGeom>
        <a:noFill/>
        <a:ln w="9525">
          <a:solidFill>
            <a:srgbClr val="000000"/>
          </a:solidFill>
          <a:round/>
          <a:headEnd/>
          <a:tailEnd/>
        </a:ln>
      </xdr:spPr>
    </xdr:sp>
    <xdr:clientData/>
  </xdr:twoCellAnchor>
  <xdr:twoCellAnchor>
    <xdr:from>
      <xdr:col>8</xdr:col>
      <xdr:colOff>488950</xdr:colOff>
      <xdr:row>100</xdr:row>
      <xdr:rowOff>88900</xdr:rowOff>
    </xdr:from>
    <xdr:to>
      <xdr:col>9</xdr:col>
      <xdr:colOff>0</xdr:colOff>
      <xdr:row>100</xdr:row>
      <xdr:rowOff>88900</xdr:rowOff>
    </xdr:to>
    <xdr:sp macro="" textlink="">
      <xdr:nvSpPr>
        <xdr:cNvPr id="5501644" name="Line 310"/>
        <xdr:cNvSpPr>
          <a:spLocks noChangeShapeType="1"/>
        </xdr:cNvSpPr>
      </xdr:nvSpPr>
      <xdr:spPr bwMode="auto">
        <a:xfrm>
          <a:off x="7080250" y="16725900"/>
          <a:ext cx="0" cy="0"/>
        </a:xfrm>
        <a:prstGeom prst="line">
          <a:avLst/>
        </a:prstGeom>
        <a:noFill/>
        <a:ln w="9525">
          <a:solidFill>
            <a:srgbClr val="000000"/>
          </a:solidFill>
          <a:round/>
          <a:headEnd/>
          <a:tailEnd/>
        </a:ln>
      </xdr:spPr>
    </xdr:sp>
    <xdr:clientData/>
  </xdr:twoCellAnchor>
  <xdr:twoCellAnchor>
    <xdr:from>
      <xdr:col>8</xdr:col>
      <xdr:colOff>222250</xdr:colOff>
      <xdr:row>89</xdr:row>
      <xdr:rowOff>88900</xdr:rowOff>
    </xdr:from>
    <xdr:to>
      <xdr:col>8</xdr:col>
      <xdr:colOff>463550</xdr:colOff>
      <xdr:row>89</xdr:row>
      <xdr:rowOff>88900</xdr:rowOff>
    </xdr:to>
    <xdr:sp macro="" textlink="">
      <xdr:nvSpPr>
        <xdr:cNvPr id="5501645" name="Line 278"/>
        <xdr:cNvSpPr>
          <a:spLocks noChangeShapeType="1"/>
        </xdr:cNvSpPr>
      </xdr:nvSpPr>
      <xdr:spPr bwMode="auto">
        <a:xfrm>
          <a:off x="6832600" y="14935200"/>
          <a:ext cx="241300" cy="0"/>
        </a:xfrm>
        <a:prstGeom prst="line">
          <a:avLst/>
        </a:prstGeom>
        <a:noFill/>
        <a:ln w="6350">
          <a:solidFill>
            <a:srgbClr val="000000"/>
          </a:solidFill>
          <a:round/>
          <a:headEnd/>
          <a:tailEnd/>
        </a:ln>
      </xdr:spPr>
    </xdr:sp>
    <xdr:clientData/>
  </xdr:twoCellAnchor>
  <xdr:twoCellAnchor>
    <xdr:from>
      <xdr:col>17</xdr:col>
      <xdr:colOff>69850</xdr:colOff>
      <xdr:row>1</xdr:row>
      <xdr:rowOff>12700</xdr:rowOff>
    </xdr:from>
    <xdr:to>
      <xdr:col>19</xdr:col>
      <xdr:colOff>0</xdr:colOff>
      <xdr:row>31</xdr:row>
      <xdr:rowOff>101600</xdr:rowOff>
    </xdr:to>
    <xdr:grpSp>
      <xdr:nvGrpSpPr>
        <xdr:cNvPr id="5501646" name="Group 232"/>
        <xdr:cNvGrpSpPr>
          <a:grpSpLocks/>
        </xdr:cNvGrpSpPr>
      </xdr:nvGrpSpPr>
      <xdr:grpSpPr bwMode="auto">
        <a:xfrm>
          <a:off x="13176250" y="184150"/>
          <a:ext cx="2101850" cy="5127625"/>
          <a:chOff x="3421" y="5379"/>
          <a:chExt cx="2289" cy="5759"/>
        </a:xfrm>
      </xdr:grpSpPr>
      <xdr:grpSp>
        <xdr:nvGrpSpPr>
          <xdr:cNvPr id="5501685" name="Group 233"/>
          <xdr:cNvGrpSpPr>
            <a:grpSpLocks/>
          </xdr:cNvGrpSpPr>
        </xdr:nvGrpSpPr>
        <xdr:grpSpPr bwMode="auto">
          <a:xfrm>
            <a:off x="4047" y="5379"/>
            <a:ext cx="515" cy="4096"/>
            <a:chOff x="4047" y="5379"/>
            <a:chExt cx="515" cy="4096"/>
          </a:xfrm>
        </xdr:grpSpPr>
        <xdr:sp macro="" textlink="">
          <xdr:nvSpPr>
            <xdr:cNvPr id="5501703" name="Arc 234"/>
            <xdr:cNvSpPr>
              <a:spLocks/>
            </xdr:cNvSpPr>
          </xdr:nvSpPr>
          <xdr:spPr bwMode="auto">
            <a:xfrm flipH="1">
              <a:off x="4201" y="5379"/>
              <a:ext cx="361" cy="96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B0F0"/>
              </a:solidFill>
              <a:round/>
              <a:headEnd/>
              <a:tailEnd/>
            </a:ln>
          </xdr:spPr>
        </xdr:sp>
        <xdr:grpSp>
          <xdr:nvGrpSpPr>
            <xdr:cNvPr id="5501704" name="Group 235"/>
            <xdr:cNvGrpSpPr>
              <a:grpSpLocks/>
            </xdr:cNvGrpSpPr>
          </xdr:nvGrpSpPr>
          <xdr:grpSpPr bwMode="auto">
            <a:xfrm>
              <a:off x="4047" y="6306"/>
              <a:ext cx="285" cy="3169"/>
              <a:chOff x="4050" y="6306"/>
              <a:chExt cx="285" cy="3169"/>
            </a:xfrm>
          </xdr:grpSpPr>
          <xdr:sp macro="" textlink="">
            <xdr:nvSpPr>
              <xdr:cNvPr id="5501705" name="Line 236"/>
              <xdr:cNvSpPr>
                <a:spLocks noChangeShapeType="1"/>
              </xdr:cNvSpPr>
            </xdr:nvSpPr>
            <xdr:spPr bwMode="auto">
              <a:xfrm flipH="1">
                <a:off x="4202" y="6306"/>
                <a:ext cx="0" cy="936"/>
              </a:xfrm>
              <a:prstGeom prst="line">
                <a:avLst/>
              </a:prstGeom>
              <a:noFill/>
              <a:ln w="9525">
                <a:solidFill>
                  <a:srgbClr val="00B0F0"/>
                </a:solidFill>
                <a:round/>
                <a:headEnd/>
                <a:tailEnd/>
              </a:ln>
            </xdr:spPr>
          </xdr:sp>
          <xdr:sp macro="" textlink="">
            <xdr:nvSpPr>
              <xdr:cNvPr id="5501706" name="Line 237"/>
              <xdr:cNvSpPr>
                <a:spLocks noChangeShapeType="1"/>
              </xdr:cNvSpPr>
            </xdr:nvSpPr>
            <xdr:spPr bwMode="auto">
              <a:xfrm flipH="1">
                <a:off x="4050" y="7242"/>
                <a:ext cx="152" cy="254"/>
              </a:xfrm>
              <a:prstGeom prst="line">
                <a:avLst/>
              </a:prstGeom>
              <a:noFill/>
              <a:ln w="9525">
                <a:solidFill>
                  <a:srgbClr val="00B0F0"/>
                </a:solidFill>
                <a:round/>
                <a:headEnd/>
                <a:tailEnd/>
              </a:ln>
            </xdr:spPr>
          </xdr:sp>
          <xdr:sp macro="" textlink="">
            <xdr:nvSpPr>
              <xdr:cNvPr id="5501707" name="Line 238"/>
              <xdr:cNvSpPr>
                <a:spLocks noChangeShapeType="1"/>
              </xdr:cNvSpPr>
            </xdr:nvSpPr>
            <xdr:spPr bwMode="auto">
              <a:xfrm>
                <a:off x="4050" y="7496"/>
                <a:ext cx="0" cy="642"/>
              </a:xfrm>
              <a:prstGeom prst="line">
                <a:avLst/>
              </a:prstGeom>
              <a:noFill/>
              <a:ln w="9525">
                <a:solidFill>
                  <a:srgbClr val="00B0F0"/>
                </a:solidFill>
                <a:round/>
                <a:headEnd/>
                <a:tailEnd/>
              </a:ln>
            </xdr:spPr>
          </xdr:sp>
          <xdr:sp macro="" textlink="">
            <xdr:nvSpPr>
              <xdr:cNvPr id="5501708" name="Line 239"/>
              <xdr:cNvSpPr>
                <a:spLocks noChangeShapeType="1"/>
              </xdr:cNvSpPr>
            </xdr:nvSpPr>
            <xdr:spPr bwMode="auto">
              <a:xfrm>
                <a:off x="4050" y="8138"/>
                <a:ext cx="285" cy="367"/>
              </a:xfrm>
              <a:prstGeom prst="line">
                <a:avLst/>
              </a:prstGeom>
              <a:noFill/>
              <a:ln w="9525">
                <a:solidFill>
                  <a:srgbClr val="00B0F0"/>
                </a:solidFill>
                <a:round/>
                <a:headEnd/>
                <a:tailEnd/>
              </a:ln>
            </xdr:spPr>
          </xdr:sp>
          <xdr:sp macro="" textlink="">
            <xdr:nvSpPr>
              <xdr:cNvPr id="5501709" name="Line 240"/>
              <xdr:cNvSpPr>
                <a:spLocks noChangeShapeType="1"/>
              </xdr:cNvSpPr>
            </xdr:nvSpPr>
            <xdr:spPr bwMode="auto">
              <a:xfrm>
                <a:off x="4335" y="8505"/>
                <a:ext cx="0" cy="970"/>
              </a:xfrm>
              <a:prstGeom prst="line">
                <a:avLst/>
              </a:prstGeom>
              <a:noFill/>
              <a:ln w="9525">
                <a:solidFill>
                  <a:srgbClr val="00B0F0"/>
                </a:solidFill>
                <a:round/>
                <a:headEnd/>
                <a:tailEnd/>
              </a:ln>
            </xdr:spPr>
          </xdr:sp>
        </xdr:grpSp>
      </xdr:grpSp>
      <xdr:grpSp>
        <xdr:nvGrpSpPr>
          <xdr:cNvPr id="5501686" name="Group 241"/>
          <xdr:cNvGrpSpPr>
            <a:grpSpLocks/>
          </xdr:cNvGrpSpPr>
        </xdr:nvGrpSpPr>
        <xdr:grpSpPr bwMode="auto">
          <a:xfrm flipH="1">
            <a:off x="4560" y="5379"/>
            <a:ext cx="515" cy="4096"/>
            <a:chOff x="4047" y="5379"/>
            <a:chExt cx="515" cy="4096"/>
          </a:xfrm>
        </xdr:grpSpPr>
        <xdr:sp macro="" textlink="">
          <xdr:nvSpPr>
            <xdr:cNvPr id="5501696" name="Arc 242"/>
            <xdr:cNvSpPr>
              <a:spLocks/>
            </xdr:cNvSpPr>
          </xdr:nvSpPr>
          <xdr:spPr bwMode="auto">
            <a:xfrm flipH="1">
              <a:off x="4201" y="5379"/>
              <a:ext cx="361" cy="96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B0F0"/>
              </a:solidFill>
              <a:round/>
              <a:headEnd/>
              <a:tailEnd/>
            </a:ln>
          </xdr:spPr>
        </xdr:sp>
        <xdr:grpSp>
          <xdr:nvGrpSpPr>
            <xdr:cNvPr id="5501697" name="Group 243"/>
            <xdr:cNvGrpSpPr>
              <a:grpSpLocks/>
            </xdr:cNvGrpSpPr>
          </xdr:nvGrpSpPr>
          <xdr:grpSpPr bwMode="auto">
            <a:xfrm>
              <a:off x="4047" y="6306"/>
              <a:ext cx="285" cy="3169"/>
              <a:chOff x="4050" y="6306"/>
              <a:chExt cx="285" cy="3169"/>
            </a:xfrm>
          </xdr:grpSpPr>
          <xdr:sp macro="" textlink="">
            <xdr:nvSpPr>
              <xdr:cNvPr id="5501698" name="Line 244"/>
              <xdr:cNvSpPr>
                <a:spLocks noChangeShapeType="1"/>
              </xdr:cNvSpPr>
            </xdr:nvSpPr>
            <xdr:spPr bwMode="auto">
              <a:xfrm flipH="1">
                <a:off x="4202" y="6306"/>
                <a:ext cx="0" cy="936"/>
              </a:xfrm>
              <a:prstGeom prst="line">
                <a:avLst/>
              </a:prstGeom>
              <a:noFill/>
              <a:ln w="9525">
                <a:solidFill>
                  <a:srgbClr val="00B0F0"/>
                </a:solidFill>
                <a:round/>
                <a:headEnd/>
                <a:tailEnd/>
              </a:ln>
            </xdr:spPr>
          </xdr:sp>
          <xdr:sp macro="" textlink="">
            <xdr:nvSpPr>
              <xdr:cNvPr id="5501699" name="Line 245"/>
              <xdr:cNvSpPr>
                <a:spLocks noChangeShapeType="1"/>
              </xdr:cNvSpPr>
            </xdr:nvSpPr>
            <xdr:spPr bwMode="auto">
              <a:xfrm flipH="1">
                <a:off x="4050" y="7242"/>
                <a:ext cx="152" cy="254"/>
              </a:xfrm>
              <a:prstGeom prst="line">
                <a:avLst/>
              </a:prstGeom>
              <a:noFill/>
              <a:ln w="9525">
                <a:solidFill>
                  <a:srgbClr val="00B0F0"/>
                </a:solidFill>
                <a:round/>
                <a:headEnd/>
                <a:tailEnd/>
              </a:ln>
            </xdr:spPr>
          </xdr:sp>
          <xdr:sp macro="" textlink="">
            <xdr:nvSpPr>
              <xdr:cNvPr id="5501700" name="Line 246"/>
              <xdr:cNvSpPr>
                <a:spLocks noChangeShapeType="1"/>
              </xdr:cNvSpPr>
            </xdr:nvSpPr>
            <xdr:spPr bwMode="auto">
              <a:xfrm>
                <a:off x="4050" y="7496"/>
                <a:ext cx="0" cy="642"/>
              </a:xfrm>
              <a:prstGeom prst="line">
                <a:avLst/>
              </a:prstGeom>
              <a:noFill/>
              <a:ln w="9525">
                <a:solidFill>
                  <a:srgbClr val="00B0F0"/>
                </a:solidFill>
                <a:round/>
                <a:headEnd/>
                <a:tailEnd/>
              </a:ln>
            </xdr:spPr>
          </xdr:sp>
          <xdr:sp macro="" textlink="">
            <xdr:nvSpPr>
              <xdr:cNvPr id="5501701" name="Line 247"/>
              <xdr:cNvSpPr>
                <a:spLocks noChangeShapeType="1"/>
              </xdr:cNvSpPr>
            </xdr:nvSpPr>
            <xdr:spPr bwMode="auto">
              <a:xfrm>
                <a:off x="4050" y="8138"/>
                <a:ext cx="285" cy="367"/>
              </a:xfrm>
              <a:prstGeom prst="line">
                <a:avLst/>
              </a:prstGeom>
              <a:noFill/>
              <a:ln w="9525">
                <a:solidFill>
                  <a:srgbClr val="00B0F0"/>
                </a:solidFill>
                <a:round/>
                <a:headEnd/>
                <a:tailEnd/>
              </a:ln>
            </xdr:spPr>
          </xdr:sp>
          <xdr:sp macro="" textlink="">
            <xdr:nvSpPr>
              <xdr:cNvPr id="5501702" name="Line 248"/>
              <xdr:cNvSpPr>
                <a:spLocks noChangeShapeType="1"/>
              </xdr:cNvSpPr>
            </xdr:nvSpPr>
            <xdr:spPr bwMode="auto">
              <a:xfrm>
                <a:off x="4335" y="8505"/>
                <a:ext cx="0" cy="970"/>
              </a:xfrm>
              <a:prstGeom prst="line">
                <a:avLst/>
              </a:prstGeom>
              <a:noFill/>
              <a:ln w="9525">
                <a:solidFill>
                  <a:srgbClr val="00B0F0"/>
                </a:solidFill>
                <a:round/>
                <a:headEnd/>
                <a:tailEnd/>
              </a:ln>
            </xdr:spPr>
          </xdr:sp>
        </xdr:grpSp>
      </xdr:grpSp>
      <xdr:sp macro="" textlink="">
        <xdr:nvSpPr>
          <xdr:cNvPr id="5501687" name="Line 249"/>
          <xdr:cNvSpPr>
            <a:spLocks noChangeShapeType="1"/>
          </xdr:cNvSpPr>
        </xdr:nvSpPr>
        <xdr:spPr bwMode="auto">
          <a:xfrm>
            <a:off x="4332" y="9310"/>
            <a:ext cx="2" cy="1319"/>
          </a:xfrm>
          <a:prstGeom prst="line">
            <a:avLst/>
          </a:prstGeom>
          <a:noFill/>
          <a:ln w="9525">
            <a:solidFill>
              <a:srgbClr val="00B0F0"/>
            </a:solidFill>
            <a:round/>
            <a:headEnd/>
            <a:tailEnd/>
          </a:ln>
        </xdr:spPr>
      </xdr:sp>
      <xdr:sp macro="" textlink="">
        <xdr:nvSpPr>
          <xdr:cNvPr id="5501688" name="Line 250"/>
          <xdr:cNvSpPr>
            <a:spLocks noChangeShapeType="1"/>
          </xdr:cNvSpPr>
        </xdr:nvSpPr>
        <xdr:spPr bwMode="auto">
          <a:xfrm>
            <a:off x="4790" y="9310"/>
            <a:ext cx="0" cy="1319"/>
          </a:xfrm>
          <a:prstGeom prst="line">
            <a:avLst/>
          </a:prstGeom>
          <a:noFill/>
          <a:ln w="9525">
            <a:solidFill>
              <a:srgbClr val="00B0F0"/>
            </a:solidFill>
            <a:round/>
            <a:headEnd/>
            <a:tailEnd/>
          </a:ln>
        </xdr:spPr>
      </xdr:sp>
      <xdr:sp macro="" textlink="">
        <xdr:nvSpPr>
          <xdr:cNvPr id="5501689" name="Line 251"/>
          <xdr:cNvSpPr>
            <a:spLocks noChangeShapeType="1"/>
          </xdr:cNvSpPr>
        </xdr:nvSpPr>
        <xdr:spPr bwMode="auto">
          <a:xfrm>
            <a:off x="4330" y="10629"/>
            <a:ext cx="458" cy="0"/>
          </a:xfrm>
          <a:prstGeom prst="line">
            <a:avLst/>
          </a:prstGeom>
          <a:noFill/>
          <a:ln w="9525">
            <a:solidFill>
              <a:srgbClr val="00B0F0"/>
            </a:solidFill>
            <a:round/>
            <a:headEnd/>
            <a:tailEnd/>
          </a:ln>
        </xdr:spPr>
      </xdr:sp>
      <xdr:sp macro="" textlink="">
        <xdr:nvSpPr>
          <xdr:cNvPr id="5501690" name="Line 252"/>
          <xdr:cNvSpPr>
            <a:spLocks noChangeShapeType="1"/>
          </xdr:cNvSpPr>
        </xdr:nvSpPr>
        <xdr:spPr bwMode="auto">
          <a:xfrm flipV="1">
            <a:off x="5709" y="10163"/>
            <a:ext cx="1" cy="946"/>
          </a:xfrm>
          <a:prstGeom prst="line">
            <a:avLst/>
          </a:prstGeom>
          <a:noFill/>
          <a:ln w="9525">
            <a:solidFill>
              <a:srgbClr val="00B0F0"/>
            </a:solidFill>
            <a:round/>
            <a:headEnd/>
            <a:tailEnd/>
          </a:ln>
        </xdr:spPr>
      </xdr:sp>
      <xdr:sp macro="" textlink="">
        <xdr:nvSpPr>
          <xdr:cNvPr id="5501691" name="Line 253"/>
          <xdr:cNvSpPr>
            <a:spLocks noChangeShapeType="1"/>
          </xdr:cNvSpPr>
        </xdr:nvSpPr>
        <xdr:spPr bwMode="auto">
          <a:xfrm>
            <a:off x="4796" y="10419"/>
            <a:ext cx="909" cy="712"/>
          </a:xfrm>
          <a:prstGeom prst="line">
            <a:avLst/>
          </a:prstGeom>
          <a:noFill/>
          <a:ln w="9525">
            <a:solidFill>
              <a:srgbClr val="00B0F0"/>
            </a:solidFill>
            <a:round/>
            <a:headEnd/>
            <a:tailEnd/>
          </a:ln>
        </xdr:spPr>
      </xdr:sp>
      <xdr:sp macro="" textlink="">
        <xdr:nvSpPr>
          <xdr:cNvPr id="5501692" name="Line 254"/>
          <xdr:cNvSpPr>
            <a:spLocks noChangeShapeType="1"/>
          </xdr:cNvSpPr>
        </xdr:nvSpPr>
        <xdr:spPr bwMode="auto">
          <a:xfrm flipH="1" flipV="1">
            <a:off x="4804" y="8797"/>
            <a:ext cx="905" cy="1372"/>
          </a:xfrm>
          <a:prstGeom prst="line">
            <a:avLst/>
          </a:prstGeom>
          <a:noFill/>
          <a:ln w="9525">
            <a:solidFill>
              <a:srgbClr val="00B0F0"/>
            </a:solidFill>
            <a:round/>
            <a:headEnd/>
            <a:tailEnd/>
          </a:ln>
        </xdr:spPr>
      </xdr:sp>
      <xdr:sp macro="" textlink="">
        <xdr:nvSpPr>
          <xdr:cNvPr id="5501693" name="Line 255"/>
          <xdr:cNvSpPr>
            <a:spLocks noChangeShapeType="1"/>
          </xdr:cNvSpPr>
        </xdr:nvSpPr>
        <xdr:spPr bwMode="auto">
          <a:xfrm flipH="1" flipV="1">
            <a:off x="3421" y="10178"/>
            <a:ext cx="1" cy="946"/>
          </a:xfrm>
          <a:prstGeom prst="line">
            <a:avLst/>
          </a:prstGeom>
          <a:noFill/>
          <a:ln w="9525">
            <a:solidFill>
              <a:srgbClr val="00B0F0"/>
            </a:solidFill>
            <a:round/>
            <a:headEnd/>
            <a:tailEnd/>
          </a:ln>
        </xdr:spPr>
      </xdr:sp>
      <xdr:sp macro="" textlink="">
        <xdr:nvSpPr>
          <xdr:cNvPr id="5501694" name="Line 256"/>
          <xdr:cNvSpPr>
            <a:spLocks noChangeShapeType="1"/>
          </xdr:cNvSpPr>
        </xdr:nvSpPr>
        <xdr:spPr bwMode="auto">
          <a:xfrm flipH="1">
            <a:off x="3421" y="10426"/>
            <a:ext cx="909" cy="712"/>
          </a:xfrm>
          <a:prstGeom prst="line">
            <a:avLst/>
          </a:prstGeom>
          <a:noFill/>
          <a:ln w="9525">
            <a:solidFill>
              <a:srgbClr val="00B0F0"/>
            </a:solidFill>
            <a:round/>
            <a:headEnd/>
            <a:tailEnd/>
          </a:ln>
        </xdr:spPr>
      </xdr:sp>
      <xdr:sp macro="" textlink="">
        <xdr:nvSpPr>
          <xdr:cNvPr id="5501695" name="Line 257"/>
          <xdr:cNvSpPr>
            <a:spLocks noChangeShapeType="1"/>
          </xdr:cNvSpPr>
        </xdr:nvSpPr>
        <xdr:spPr bwMode="auto">
          <a:xfrm flipV="1">
            <a:off x="3429" y="8804"/>
            <a:ext cx="905" cy="1372"/>
          </a:xfrm>
          <a:prstGeom prst="line">
            <a:avLst/>
          </a:prstGeom>
          <a:noFill/>
          <a:ln w="9525">
            <a:solidFill>
              <a:srgbClr val="00B0F0"/>
            </a:solidFill>
            <a:round/>
            <a:headEnd/>
            <a:tailEnd/>
          </a:ln>
        </xdr:spPr>
      </xdr:sp>
    </xdr:grpSp>
    <xdr:clientData/>
  </xdr:twoCellAnchor>
  <xdr:twoCellAnchor>
    <xdr:from>
      <xdr:col>17</xdr:col>
      <xdr:colOff>831850</xdr:colOff>
      <xdr:row>11</xdr:row>
      <xdr:rowOff>101600</xdr:rowOff>
    </xdr:from>
    <xdr:to>
      <xdr:col>18</xdr:col>
      <xdr:colOff>368300</xdr:colOff>
      <xdr:row>11</xdr:row>
      <xdr:rowOff>101600</xdr:rowOff>
    </xdr:to>
    <xdr:sp macro="" textlink="">
      <xdr:nvSpPr>
        <xdr:cNvPr id="5501647" name="Line 268"/>
        <xdr:cNvSpPr>
          <a:spLocks noChangeShapeType="1"/>
        </xdr:cNvSpPr>
      </xdr:nvSpPr>
      <xdr:spPr bwMode="auto">
        <a:xfrm flipV="1">
          <a:off x="14408150" y="2032000"/>
          <a:ext cx="673100" cy="0"/>
        </a:xfrm>
        <a:prstGeom prst="line">
          <a:avLst/>
        </a:prstGeom>
        <a:noFill/>
        <a:ln w="6350">
          <a:solidFill>
            <a:srgbClr val="000000"/>
          </a:solidFill>
          <a:round/>
          <a:headEnd type="triangle" w="sm" len="lg"/>
          <a:tailEnd type="triangle" w="sm" len="lg"/>
        </a:ln>
      </xdr:spPr>
    </xdr:sp>
    <xdr:clientData/>
  </xdr:twoCellAnchor>
  <xdr:twoCellAnchor>
    <xdr:from>
      <xdr:col>17</xdr:col>
      <xdr:colOff>88900</xdr:colOff>
      <xdr:row>1</xdr:row>
      <xdr:rowOff>12700</xdr:rowOff>
    </xdr:from>
    <xdr:to>
      <xdr:col>19</xdr:col>
      <xdr:colOff>336550</xdr:colOff>
      <xdr:row>1</xdr:row>
      <xdr:rowOff>12700</xdr:rowOff>
    </xdr:to>
    <xdr:sp macro="" textlink="">
      <xdr:nvSpPr>
        <xdr:cNvPr id="5501648" name="Line 269"/>
        <xdr:cNvSpPr>
          <a:spLocks noChangeShapeType="1"/>
        </xdr:cNvSpPr>
      </xdr:nvSpPr>
      <xdr:spPr bwMode="auto">
        <a:xfrm flipV="1">
          <a:off x="13665200" y="184150"/>
          <a:ext cx="2520950" cy="0"/>
        </a:xfrm>
        <a:prstGeom prst="line">
          <a:avLst/>
        </a:prstGeom>
        <a:noFill/>
        <a:ln w="6350">
          <a:solidFill>
            <a:srgbClr val="000000"/>
          </a:solidFill>
          <a:round/>
          <a:headEnd/>
          <a:tailEnd/>
        </a:ln>
      </xdr:spPr>
    </xdr:sp>
    <xdr:clientData/>
  </xdr:twoCellAnchor>
  <xdr:twoCellAnchor>
    <xdr:from>
      <xdr:col>18</xdr:col>
      <xdr:colOff>1054100</xdr:colOff>
      <xdr:row>1</xdr:row>
      <xdr:rowOff>12700</xdr:rowOff>
    </xdr:from>
    <xdr:to>
      <xdr:col>18</xdr:col>
      <xdr:colOff>1054100</xdr:colOff>
      <xdr:row>28</xdr:row>
      <xdr:rowOff>139700</xdr:rowOff>
    </xdr:to>
    <xdr:sp macro="" textlink="">
      <xdr:nvSpPr>
        <xdr:cNvPr id="5501649" name="Line 270"/>
        <xdr:cNvSpPr>
          <a:spLocks noChangeShapeType="1"/>
        </xdr:cNvSpPr>
      </xdr:nvSpPr>
      <xdr:spPr bwMode="auto">
        <a:xfrm>
          <a:off x="15767050" y="184150"/>
          <a:ext cx="0" cy="4705350"/>
        </a:xfrm>
        <a:prstGeom prst="line">
          <a:avLst/>
        </a:prstGeom>
        <a:noFill/>
        <a:ln w="6350">
          <a:solidFill>
            <a:srgbClr val="000000"/>
          </a:solidFill>
          <a:round/>
          <a:headEnd type="triangle" w="sm" len="lg"/>
          <a:tailEnd type="triangle" w="sm" len="lg"/>
        </a:ln>
      </xdr:spPr>
    </xdr:sp>
    <xdr:clientData/>
  </xdr:twoCellAnchor>
  <xdr:twoCellAnchor>
    <xdr:from>
      <xdr:col>17</xdr:col>
      <xdr:colOff>120650</xdr:colOff>
      <xdr:row>10</xdr:row>
      <xdr:rowOff>152400</xdr:rowOff>
    </xdr:from>
    <xdr:to>
      <xdr:col>18</xdr:col>
      <xdr:colOff>412750</xdr:colOff>
      <xdr:row>10</xdr:row>
      <xdr:rowOff>152400</xdr:rowOff>
    </xdr:to>
    <xdr:sp macro="" textlink="">
      <xdr:nvSpPr>
        <xdr:cNvPr id="5501650" name="Line 271"/>
        <xdr:cNvSpPr>
          <a:spLocks noChangeShapeType="1"/>
        </xdr:cNvSpPr>
      </xdr:nvSpPr>
      <xdr:spPr bwMode="auto">
        <a:xfrm>
          <a:off x="13696950" y="1911350"/>
          <a:ext cx="1428750" cy="0"/>
        </a:xfrm>
        <a:prstGeom prst="line">
          <a:avLst/>
        </a:prstGeom>
        <a:noFill/>
        <a:ln w="6350">
          <a:solidFill>
            <a:srgbClr val="000000"/>
          </a:solidFill>
          <a:round/>
          <a:headEnd/>
          <a:tailEnd/>
        </a:ln>
      </xdr:spPr>
    </xdr:sp>
    <xdr:clientData/>
  </xdr:twoCellAnchor>
  <xdr:twoCellAnchor>
    <xdr:from>
      <xdr:col>17</xdr:col>
      <xdr:colOff>152400</xdr:colOff>
      <xdr:row>0</xdr:row>
      <xdr:rowOff>158750</xdr:rowOff>
    </xdr:from>
    <xdr:to>
      <xdr:col>17</xdr:col>
      <xdr:colOff>152400</xdr:colOff>
      <xdr:row>10</xdr:row>
      <xdr:rowOff>139700</xdr:rowOff>
    </xdr:to>
    <xdr:sp macro="" textlink="">
      <xdr:nvSpPr>
        <xdr:cNvPr id="5501651" name="Line 272"/>
        <xdr:cNvSpPr>
          <a:spLocks noChangeShapeType="1"/>
        </xdr:cNvSpPr>
      </xdr:nvSpPr>
      <xdr:spPr bwMode="auto">
        <a:xfrm flipH="1">
          <a:off x="13728700" y="158750"/>
          <a:ext cx="0" cy="1739900"/>
        </a:xfrm>
        <a:prstGeom prst="line">
          <a:avLst/>
        </a:prstGeom>
        <a:noFill/>
        <a:ln w="6350">
          <a:solidFill>
            <a:srgbClr val="000000"/>
          </a:solidFill>
          <a:round/>
          <a:headEnd type="triangle" w="sm" len="lg"/>
          <a:tailEnd type="triangle" w="sm" len="lg"/>
        </a:ln>
      </xdr:spPr>
    </xdr:sp>
    <xdr:clientData/>
  </xdr:twoCellAnchor>
  <xdr:twoCellAnchor>
    <xdr:from>
      <xdr:col>16</xdr:col>
      <xdr:colOff>234950</xdr:colOff>
      <xdr:row>31</xdr:row>
      <xdr:rowOff>95250</xdr:rowOff>
    </xdr:from>
    <xdr:to>
      <xdr:col>17</xdr:col>
      <xdr:colOff>82550</xdr:colOff>
      <xdr:row>31</xdr:row>
      <xdr:rowOff>95250</xdr:rowOff>
    </xdr:to>
    <xdr:sp macro="" textlink="">
      <xdr:nvSpPr>
        <xdr:cNvPr id="5501652" name="Line 277"/>
        <xdr:cNvSpPr>
          <a:spLocks noChangeShapeType="1"/>
        </xdr:cNvSpPr>
      </xdr:nvSpPr>
      <xdr:spPr bwMode="auto">
        <a:xfrm>
          <a:off x="12998450" y="5359400"/>
          <a:ext cx="660400" cy="0"/>
        </a:xfrm>
        <a:prstGeom prst="line">
          <a:avLst/>
        </a:prstGeom>
        <a:noFill/>
        <a:ln w="6350">
          <a:solidFill>
            <a:srgbClr val="000000"/>
          </a:solidFill>
          <a:round/>
          <a:headEnd/>
          <a:tailEnd/>
        </a:ln>
      </xdr:spPr>
    </xdr:sp>
    <xdr:clientData/>
  </xdr:twoCellAnchor>
  <xdr:twoCellAnchor>
    <xdr:from>
      <xdr:col>18</xdr:col>
      <xdr:colOff>196850</xdr:colOff>
      <xdr:row>29</xdr:row>
      <xdr:rowOff>88900</xdr:rowOff>
    </xdr:from>
    <xdr:to>
      <xdr:col>18</xdr:col>
      <xdr:colOff>1035050</xdr:colOff>
      <xdr:row>29</xdr:row>
      <xdr:rowOff>88900</xdr:rowOff>
    </xdr:to>
    <xdr:sp macro="" textlink="">
      <xdr:nvSpPr>
        <xdr:cNvPr id="5501653" name="Line 280"/>
        <xdr:cNvSpPr>
          <a:spLocks noChangeShapeType="1"/>
        </xdr:cNvSpPr>
      </xdr:nvSpPr>
      <xdr:spPr bwMode="auto">
        <a:xfrm>
          <a:off x="14909800" y="5010150"/>
          <a:ext cx="838200" cy="0"/>
        </a:xfrm>
        <a:prstGeom prst="line">
          <a:avLst/>
        </a:prstGeom>
        <a:noFill/>
        <a:ln w="6350">
          <a:solidFill>
            <a:srgbClr val="000000"/>
          </a:solidFill>
          <a:round/>
          <a:headEnd/>
          <a:tailEnd/>
        </a:ln>
      </xdr:spPr>
    </xdr:sp>
    <xdr:clientData/>
  </xdr:twoCellAnchor>
  <xdr:twoCellAnchor>
    <xdr:from>
      <xdr:col>17</xdr:col>
      <xdr:colOff>508000</xdr:colOff>
      <xdr:row>20</xdr:row>
      <xdr:rowOff>0</xdr:rowOff>
    </xdr:from>
    <xdr:to>
      <xdr:col>17</xdr:col>
      <xdr:colOff>508000</xdr:colOff>
      <xdr:row>28</xdr:row>
      <xdr:rowOff>127000</xdr:rowOff>
    </xdr:to>
    <xdr:sp macro="" textlink="">
      <xdr:nvSpPr>
        <xdr:cNvPr id="5501654" name="Line 281"/>
        <xdr:cNvSpPr>
          <a:spLocks noChangeShapeType="1"/>
        </xdr:cNvSpPr>
      </xdr:nvSpPr>
      <xdr:spPr bwMode="auto">
        <a:xfrm flipH="1">
          <a:off x="14084300" y="3422650"/>
          <a:ext cx="0" cy="1454150"/>
        </a:xfrm>
        <a:prstGeom prst="line">
          <a:avLst/>
        </a:prstGeom>
        <a:noFill/>
        <a:ln w="6350">
          <a:solidFill>
            <a:srgbClr val="000000"/>
          </a:solidFill>
          <a:round/>
          <a:headEnd type="triangle" w="sm" len="lg"/>
          <a:tailEnd type="triangle" w="sm" len="lg"/>
        </a:ln>
      </xdr:spPr>
    </xdr:sp>
    <xdr:clientData/>
  </xdr:twoCellAnchor>
  <xdr:twoCellAnchor>
    <xdr:from>
      <xdr:col>16</xdr:col>
      <xdr:colOff>311150</xdr:colOff>
      <xdr:row>27</xdr:row>
      <xdr:rowOff>133350</xdr:rowOff>
    </xdr:from>
    <xdr:to>
      <xdr:col>16</xdr:col>
      <xdr:colOff>323850</xdr:colOff>
      <xdr:row>31</xdr:row>
      <xdr:rowOff>95250</xdr:rowOff>
    </xdr:to>
    <xdr:sp macro="" textlink="">
      <xdr:nvSpPr>
        <xdr:cNvPr id="5501655" name="Line 282"/>
        <xdr:cNvSpPr>
          <a:spLocks noChangeShapeType="1"/>
        </xdr:cNvSpPr>
      </xdr:nvSpPr>
      <xdr:spPr bwMode="auto">
        <a:xfrm flipH="1">
          <a:off x="13074650" y="4711700"/>
          <a:ext cx="12700" cy="647700"/>
        </a:xfrm>
        <a:prstGeom prst="line">
          <a:avLst/>
        </a:prstGeom>
        <a:noFill/>
        <a:ln w="6350">
          <a:solidFill>
            <a:srgbClr val="000000"/>
          </a:solidFill>
          <a:round/>
          <a:headEnd type="triangle" w="sm" len="lg"/>
          <a:tailEnd type="triangle" w="sm" len="lg"/>
        </a:ln>
      </xdr:spPr>
    </xdr:sp>
    <xdr:clientData/>
  </xdr:twoCellAnchor>
  <xdr:twoCellAnchor>
    <xdr:from>
      <xdr:col>16</xdr:col>
      <xdr:colOff>730250</xdr:colOff>
      <xdr:row>20</xdr:row>
      <xdr:rowOff>0</xdr:rowOff>
    </xdr:from>
    <xdr:to>
      <xdr:col>16</xdr:col>
      <xdr:colOff>730250</xdr:colOff>
      <xdr:row>27</xdr:row>
      <xdr:rowOff>133350</xdr:rowOff>
    </xdr:to>
    <xdr:sp macro="" textlink="">
      <xdr:nvSpPr>
        <xdr:cNvPr id="5501656" name="Line 283"/>
        <xdr:cNvSpPr>
          <a:spLocks noChangeShapeType="1"/>
        </xdr:cNvSpPr>
      </xdr:nvSpPr>
      <xdr:spPr bwMode="auto">
        <a:xfrm>
          <a:off x="13493750" y="3422650"/>
          <a:ext cx="0" cy="1289050"/>
        </a:xfrm>
        <a:prstGeom prst="line">
          <a:avLst/>
        </a:prstGeom>
        <a:noFill/>
        <a:ln w="6350">
          <a:solidFill>
            <a:srgbClr val="000000"/>
          </a:solidFill>
          <a:round/>
          <a:headEnd type="triangle" w="sm" len="lg"/>
          <a:tailEnd type="triangle" w="sm" len="lg"/>
        </a:ln>
      </xdr:spPr>
    </xdr:sp>
    <xdr:clientData/>
  </xdr:twoCellAnchor>
  <xdr:twoCellAnchor>
    <xdr:from>
      <xdr:col>17</xdr:col>
      <xdr:colOff>69850</xdr:colOff>
      <xdr:row>31</xdr:row>
      <xdr:rowOff>95250</xdr:rowOff>
    </xdr:from>
    <xdr:to>
      <xdr:col>17</xdr:col>
      <xdr:colOff>69850</xdr:colOff>
      <xdr:row>32</xdr:row>
      <xdr:rowOff>0</xdr:rowOff>
    </xdr:to>
    <xdr:sp macro="" textlink="">
      <xdr:nvSpPr>
        <xdr:cNvPr id="5501657" name="Line 284"/>
        <xdr:cNvSpPr>
          <a:spLocks noChangeShapeType="1"/>
        </xdr:cNvSpPr>
      </xdr:nvSpPr>
      <xdr:spPr bwMode="auto">
        <a:xfrm flipV="1">
          <a:off x="13646150" y="5359400"/>
          <a:ext cx="0" cy="76200"/>
        </a:xfrm>
        <a:prstGeom prst="line">
          <a:avLst/>
        </a:prstGeom>
        <a:noFill/>
        <a:ln w="6350">
          <a:solidFill>
            <a:srgbClr val="000000"/>
          </a:solidFill>
          <a:round/>
          <a:headEnd/>
          <a:tailEnd/>
        </a:ln>
      </xdr:spPr>
    </xdr:sp>
    <xdr:clientData/>
  </xdr:twoCellAnchor>
  <xdr:twoCellAnchor>
    <xdr:from>
      <xdr:col>17</xdr:col>
      <xdr:colOff>946150</xdr:colOff>
      <xdr:row>29</xdr:row>
      <xdr:rowOff>88900</xdr:rowOff>
    </xdr:from>
    <xdr:to>
      <xdr:col>17</xdr:col>
      <xdr:colOff>946150</xdr:colOff>
      <xdr:row>31</xdr:row>
      <xdr:rowOff>158750</xdr:rowOff>
    </xdr:to>
    <xdr:sp macro="" textlink="">
      <xdr:nvSpPr>
        <xdr:cNvPr id="5501658" name="Line 285"/>
        <xdr:cNvSpPr>
          <a:spLocks noChangeShapeType="1"/>
        </xdr:cNvSpPr>
      </xdr:nvSpPr>
      <xdr:spPr bwMode="auto">
        <a:xfrm flipH="1" flipV="1">
          <a:off x="14522450" y="5010150"/>
          <a:ext cx="0" cy="412750"/>
        </a:xfrm>
        <a:prstGeom prst="line">
          <a:avLst/>
        </a:prstGeom>
        <a:noFill/>
        <a:ln w="6350">
          <a:solidFill>
            <a:srgbClr val="000000"/>
          </a:solidFill>
          <a:round/>
          <a:headEnd/>
          <a:tailEnd/>
        </a:ln>
      </xdr:spPr>
    </xdr:sp>
    <xdr:clientData/>
  </xdr:twoCellAnchor>
  <xdr:twoCellAnchor>
    <xdr:from>
      <xdr:col>17</xdr:col>
      <xdr:colOff>88900</xdr:colOff>
      <xdr:row>31</xdr:row>
      <xdr:rowOff>127000</xdr:rowOff>
    </xdr:from>
    <xdr:to>
      <xdr:col>17</xdr:col>
      <xdr:colOff>958850</xdr:colOff>
      <xdr:row>31</xdr:row>
      <xdr:rowOff>127000</xdr:rowOff>
    </xdr:to>
    <xdr:sp macro="" textlink="">
      <xdr:nvSpPr>
        <xdr:cNvPr id="5501659" name="Line 286"/>
        <xdr:cNvSpPr>
          <a:spLocks noChangeShapeType="1"/>
        </xdr:cNvSpPr>
      </xdr:nvSpPr>
      <xdr:spPr bwMode="auto">
        <a:xfrm flipV="1">
          <a:off x="13665200" y="5391150"/>
          <a:ext cx="869950" cy="0"/>
        </a:xfrm>
        <a:prstGeom prst="line">
          <a:avLst/>
        </a:prstGeom>
        <a:noFill/>
        <a:ln w="6350">
          <a:solidFill>
            <a:srgbClr val="000000"/>
          </a:solidFill>
          <a:round/>
          <a:headEnd type="triangle" w="sm" len="lg"/>
          <a:tailEnd type="triangle" w="sm" len="lg"/>
        </a:ln>
      </xdr:spPr>
    </xdr:sp>
    <xdr:clientData/>
  </xdr:twoCellAnchor>
  <xdr:twoCellAnchor>
    <xdr:from>
      <xdr:col>17</xdr:col>
      <xdr:colOff>666750</xdr:colOff>
      <xdr:row>16</xdr:row>
      <xdr:rowOff>57150</xdr:rowOff>
    </xdr:from>
    <xdr:to>
      <xdr:col>18</xdr:col>
      <xdr:colOff>514350</xdr:colOff>
      <xdr:row>16</xdr:row>
      <xdr:rowOff>57150</xdr:rowOff>
    </xdr:to>
    <xdr:sp macro="" textlink="">
      <xdr:nvSpPr>
        <xdr:cNvPr id="5501660" name="Line 287"/>
        <xdr:cNvSpPr>
          <a:spLocks noChangeShapeType="1"/>
        </xdr:cNvSpPr>
      </xdr:nvSpPr>
      <xdr:spPr bwMode="auto">
        <a:xfrm flipV="1">
          <a:off x="14243050" y="2819400"/>
          <a:ext cx="984250" cy="0"/>
        </a:xfrm>
        <a:prstGeom prst="line">
          <a:avLst/>
        </a:prstGeom>
        <a:noFill/>
        <a:ln w="3175">
          <a:solidFill>
            <a:srgbClr val="92D050"/>
          </a:solidFill>
          <a:prstDash val="sysDot"/>
          <a:round/>
          <a:headEnd type="triangle" w="sm" len="sm"/>
          <a:tailEnd type="triangle" w="sm" len="sm"/>
        </a:ln>
      </xdr:spPr>
    </xdr:sp>
    <xdr:clientData/>
  </xdr:twoCellAnchor>
  <xdr:twoCellAnchor>
    <xdr:from>
      <xdr:col>17</xdr:col>
      <xdr:colOff>831850</xdr:colOff>
      <xdr:row>14</xdr:row>
      <xdr:rowOff>127000</xdr:rowOff>
    </xdr:from>
    <xdr:to>
      <xdr:col>19</xdr:col>
      <xdr:colOff>19050</xdr:colOff>
      <xdr:row>14</xdr:row>
      <xdr:rowOff>127000</xdr:rowOff>
    </xdr:to>
    <xdr:sp macro="" textlink="">
      <xdr:nvSpPr>
        <xdr:cNvPr id="5501661" name="Line 289"/>
        <xdr:cNvSpPr>
          <a:spLocks noChangeShapeType="1"/>
        </xdr:cNvSpPr>
      </xdr:nvSpPr>
      <xdr:spPr bwMode="auto">
        <a:xfrm>
          <a:off x="14408150" y="2559050"/>
          <a:ext cx="1460500" cy="0"/>
        </a:xfrm>
        <a:prstGeom prst="line">
          <a:avLst/>
        </a:prstGeom>
        <a:noFill/>
        <a:ln w="6350">
          <a:solidFill>
            <a:srgbClr val="92D050"/>
          </a:solidFill>
          <a:round/>
          <a:headEnd/>
          <a:tailEnd/>
        </a:ln>
      </xdr:spPr>
    </xdr:sp>
    <xdr:clientData/>
  </xdr:twoCellAnchor>
  <xdr:twoCellAnchor>
    <xdr:from>
      <xdr:col>17</xdr:col>
      <xdr:colOff>679450</xdr:colOff>
      <xdr:row>15</xdr:row>
      <xdr:rowOff>127000</xdr:rowOff>
    </xdr:from>
    <xdr:to>
      <xdr:col>19</xdr:col>
      <xdr:colOff>44450</xdr:colOff>
      <xdr:row>15</xdr:row>
      <xdr:rowOff>127000</xdr:rowOff>
    </xdr:to>
    <xdr:sp macro="" textlink="">
      <xdr:nvSpPr>
        <xdr:cNvPr id="5501662" name="Line 290"/>
        <xdr:cNvSpPr>
          <a:spLocks noChangeShapeType="1"/>
        </xdr:cNvSpPr>
      </xdr:nvSpPr>
      <xdr:spPr bwMode="auto">
        <a:xfrm>
          <a:off x="14255750" y="2724150"/>
          <a:ext cx="1638300" cy="0"/>
        </a:xfrm>
        <a:prstGeom prst="line">
          <a:avLst/>
        </a:prstGeom>
        <a:noFill/>
        <a:ln w="6350">
          <a:solidFill>
            <a:srgbClr val="92D050"/>
          </a:solidFill>
          <a:round/>
          <a:headEnd/>
          <a:tailEnd/>
        </a:ln>
      </xdr:spPr>
    </xdr:sp>
    <xdr:clientData/>
  </xdr:twoCellAnchor>
  <xdr:twoCellAnchor>
    <xdr:from>
      <xdr:col>17</xdr:col>
      <xdr:colOff>666750</xdr:colOff>
      <xdr:row>18</xdr:row>
      <xdr:rowOff>69850</xdr:rowOff>
    </xdr:from>
    <xdr:to>
      <xdr:col>19</xdr:col>
      <xdr:colOff>44450</xdr:colOff>
      <xdr:row>18</xdr:row>
      <xdr:rowOff>69850</xdr:rowOff>
    </xdr:to>
    <xdr:sp macro="" textlink="">
      <xdr:nvSpPr>
        <xdr:cNvPr id="5501663" name="Line 291"/>
        <xdr:cNvSpPr>
          <a:spLocks noChangeShapeType="1"/>
        </xdr:cNvSpPr>
      </xdr:nvSpPr>
      <xdr:spPr bwMode="auto">
        <a:xfrm>
          <a:off x="14243050" y="3162300"/>
          <a:ext cx="1651000" cy="0"/>
        </a:xfrm>
        <a:prstGeom prst="line">
          <a:avLst/>
        </a:prstGeom>
        <a:noFill/>
        <a:ln w="6350">
          <a:solidFill>
            <a:srgbClr val="92D050"/>
          </a:solidFill>
          <a:round/>
          <a:headEnd/>
          <a:tailEnd/>
        </a:ln>
      </xdr:spPr>
    </xdr:sp>
    <xdr:clientData/>
  </xdr:twoCellAnchor>
  <xdr:twoCellAnchor>
    <xdr:from>
      <xdr:col>17</xdr:col>
      <xdr:colOff>946150</xdr:colOff>
      <xdr:row>19</xdr:row>
      <xdr:rowOff>139700</xdr:rowOff>
    </xdr:from>
    <xdr:to>
      <xdr:col>19</xdr:col>
      <xdr:colOff>12700</xdr:colOff>
      <xdr:row>19</xdr:row>
      <xdr:rowOff>139700</xdr:rowOff>
    </xdr:to>
    <xdr:sp macro="" textlink="">
      <xdr:nvSpPr>
        <xdr:cNvPr id="5501664" name="Line 292"/>
        <xdr:cNvSpPr>
          <a:spLocks noChangeShapeType="1"/>
        </xdr:cNvSpPr>
      </xdr:nvSpPr>
      <xdr:spPr bwMode="auto">
        <a:xfrm>
          <a:off x="14522450" y="3397250"/>
          <a:ext cx="1339850" cy="0"/>
        </a:xfrm>
        <a:prstGeom prst="line">
          <a:avLst/>
        </a:prstGeom>
        <a:noFill/>
        <a:ln w="6350">
          <a:solidFill>
            <a:srgbClr val="92D050"/>
          </a:solidFill>
          <a:round/>
          <a:headEnd/>
          <a:tailEnd/>
        </a:ln>
      </xdr:spPr>
    </xdr:sp>
    <xdr:clientData/>
  </xdr:twoCellAnchor>
  <xdr:twoCellAnchor>
    <xdr:from>
      <xdr:col>17</xdr:col>
      <xdr:colOff>1136650</xdr:colOff>
      <xdr:row>1</xdr:row>
      <xdr:rowOff>0</xdr:rowOff>
    </xdr:from>
    <xdr:to>
      <xdr:col>18</xdr:col>
      <xdr:colOff>0</xdr:colOff>
      <xdr:row>14</xdr:row>
      <xdr:rowOff>127000</xdr:rowOff>
    </xdr:to>
    <xdr:sp macro="" textlink="">
      <xdr:nvSpPr>
        <xdr:cNvPr id="5501665" name="Line 293"/>
        <xdr:cNvSpPr>
          <a:spLocks noChangeShapeType="1"/>
        </xdr:cNvSpPr>
      </xdr:nvSpPr>
      <xdr:spPr bwMode="auto">
        <a:xfrm flipH="1">
          <a:off x="14712950" y="171450"/>
          <a:ext cx="0" cy="2387600"/>
        </a:xfrm>
        <a:prstGeom prst="line">
          <a:avLst/>
        </a:prstGeom>
        <a:noFill/>
        <a:ln w="9525">
          <a:solidFill>
            <a:srgbClr val="92D050"/>
          </a:solidFill>
          <a:prstDash val="sysDot"/>
          <a:round/>
          <a:headEnd type="triangle" w="sm" len="sm"/>
          <a:tailEnd type="triangle" w="sm" len="sm"/>
        </a:ln>
      </xdr:spPr>
    </xdr:sp>
    <xdr:clientData/>
  </xdr:twoCellAnchor>
  <xdr:twoCellAnchor>
    <xdr:from>
      <xdr:col>18</xdr:col>
      <xdr:colOff>190500</xdr:colOff>
      <xdr:row>1</xdr:row>
      <xdr:rowOff>0</xdr:rowOff>
    </xdr:from>
    <xdr:to>
      <xdr:col>18</xdr:col>
      <xdr:colOff>190500</xdr:colOff>
      <xdr:row>18</xdr:row>
      <xdr:rowOff>69850</xdr:rowOff>
    </xdr:to>
    <xdr:sp macro="" textlink="">
      <xdr:nvSpPr>
        <xdr:cNvPr id="5501666" name="Line 294"/>
        <xdr:cNvSpPr>
          <a:spLocks noChangeShapeType="1"/>
        </xdr:cNvSpPr>
      </xdr:nvSpPr>
      <xdr:spPr bwMode="auto">
        <a:xfrm>
          <a:off x="14903450" y="171450"/>
          <a:ext cx="0" cy="2990850"/>
        </a:xfrm>
        <a:prstGeom prst="line">
          <a:avLst/>
        </a:prstGeom>
        <a:noFill/>
        <a:ln w="9525">
          <a:solidFill>
            <a:srgbClr val="92D050"/>
          </a:solidFill>
          <a:prstDash val="sysDot"/>
          <a:round/>
          <a:headEnd type="triangle" w="sm" len="sm"/>
          <a:tailEnd type="triangle" w="sm" len="sm"/>
        </a:ln>
      </xdr:spPr>
    </xdr:sp>
    <xdr:clientData/>
  </xdr:twoCellAnchor>
  <xdr:twoCellAnchor>
    <xdr:from>
      <xdr:col>19</xdr:col>
      <xdr:colOff>19050</xdr:colOff>
      <xdr:row>14</xdr:row>
      <xdr:rowOff>127000</xdr:rowOff>
    </xdr:from>
    <xdr:to>
      <xdr:col>19</xdr:col>
      <xdr:colOff>19050</xdr:colOff>
      <xdr:row>15</xdr:row>
      <xdr:rowOff>127000</xdr:rowOff>
    </xdr:to>
    <xdr:sp macro="" textlink="">
      <xdr:nvSpPr>
        <xdr:cNvPr id="5501667" name="Line 295"/>
        <xdr:cNvSpPr>
          <a:spLocks noChangeShapeType="1"/>
        </xdr:cNvSpPr>
      </xdr:nvSpPr>
      <xdr:spPr bwMode="auto">
        <a:xfrm>
          <a:off x="15868650" y="2559050"/>
          <a:ext cx="0" cy="165100"/>
        </a:xfrm>
        <a:prstGeom prst="line">
          <a:avLst/>
        </a:prstGeom>
        <a:noFill/>
        <a:ln w="3175">
          <a:solidFill>
            <a:srgbClr val="92D050"/>
          </a:solidFill>
          <a:prstDash val="sysDot"/>
          <a:round/>
          <a:headEnd type="triangle" w="sm" len="sm"/>
          <a:tailEnd type="triangle" w="sm" len="sm"/>
        </a:ln>
      </xdr:spPr>
    </xdr:sp>
    <xdr:clientData/>
  </xdr:twoCellAnchor>
  <xdr:twoCellAnchor>
    <xdr:from>
      <xdr:col>19</xdr:col>
      <xdr:colOff>12700</xdr:colOff>
      <xdr:row>18</xdr:row>
      <xdr:rowOff>69850</xdr:rowOff>
    </xdr:from>
    <xdr:to>
      <xdr:col>19</xdr:col>
      <xdr:colOff>12700</xdr:colOff>
      <xdr:row>19</xdr:row>
      <xdr:rowOff>139700</xdr:rowOff>
    </xdr:to>
    <xdr:sp macro="" textlink="">
      <xdr:nvSpPr>
        <xdr:cNvPr id="5501668" name="Line 296"/>
        <xdr:cNvSpPr>
          <a:spLocks noChangeShapeType="1"/>
        </xdr:cNvSpPr>
      </xdr:nvSpPr>
      <xdr:spPr bwMode="auto">
        <a:xfrm>
          <a:off x="15862300" y="3162300"/>
          <a:ext cx="0" cy="234950"/>
        </a:xfrm>
        <a:prstGeom prst="line">
          <a:avLst/>
        </a:prstGeom>
        <a:noFill/>
        <a:ln w="9525">
          <a:solidFill>
            <a:srgbClr val="92D050"/>
          </a:solidFill>
          <a:prstDash val="sysDot"/>
          <a:round/>
          <a:headEnd type="triangle" w="sm" len="sm"/>
          <a:tailEnd type="triangle" w="sm" len="sm"/>
        </a:ln>
      </xdr:spPr>
    </xdr:sp>
    <xdr:clientData/>
  </xdr:twoCellAnchor>
  <xdr:twoCellAnchor>
    <xdr:from>
      <xdr:col>17</xdr:col>
      <xdr:colOff>0</xdr:colOff>
      <xdr:row>11</xdr:row>
      <xdr:rowOff>101600</xdr:rowOff>
    </xdr:from>
    <xdr:to>
      <xdr:col>17</xdr:col>
      <xdr:colOff>838200</xdr:colOff>
      <xdr:row>11</xdr:row>
      <xdr:rowOff>101600</xdr:rowOff>
    </xdr:to>
    <xdr:sp macro="" textlink="">
      <xdr:nvSpPr>
        <xdr:cNvPr id="5501669" name="Line 297"/>
        <xdr:cNvSpPr>
          <a:spLocks noChangeShapeType="1"/>
        </xdr:cNvSpPr>
      </xdr:nvSpPr>
      <xdr:spPr bwMode="auto">
        <a:xfrm>
          <a:off x="13576300" y="2032000"/>
          <a:ext cx="838200" cy="0"/>
        </a:xfrm>
        <a:prstGeom prst="line">
          <a:avLst/>
        </a:prstGeom>
        <a:noFill/>
        <a:ln w="9525">
          <a:solidFill>
            <a:srgbClr val="000000"/>
          </a:solidFill>
          <a:round/>
          <a:headEnd/>
          <a:tailEnd/>
        </a:ln>
      </xdr:spPr>
    </xdr:sp>
    <xdr:clientData/>
  </xdr:twoCellAnchor>
  <xdr:twoCellAnchor>
    <xdr:from>
      <xdr:col>17</xdr:col>
      <xdr:colOff>0</xdr:colOff>
      <xdr:row>16</xdr:row>
      <xdr:rowOff>69850</xdr:rowOff>
    </xdr:from>
    <xdr:to>
      <xdr:col>17</xdr:col>
      <xdr:colOff>679450</xdr:colOff>
      <xdr:row>16</xdr:row>
      <xdr:rowOff>69850</xdr:rowOff>
    </xdr:to>
    <xdr:sp macro="" textlink="">
      <xdr:nvSpPr>
        <xdr:cNvPr id="5501670" name="Line 298"/>
        <xdr:cNvSpPr>
          <a:spLocks noChangeShapeType="1"/>
        </xdr:cNvSpPr>
      </xdr:nvSpPr>
      <xdr:spPr bwMode="auto">
        <a:xfrm>
          <a:off x="13576300" y="2832100"/>
          <a:ext cx="679450" cy="0"/>
        </a:xfrm>
        <a:prstGeom prst="line">
          <a:avLst/>
        </a:prstGeom>
        <a:noFill/>
        <a:ln w="9525">
          <a:solidFill>
            <a:srgbClr val="92D050"/>
          </a:solidFill>
          <a:round/>
          <a:headEnd/>
          <a:tailEnd/>
        </a:ln>
      </xdr:spPr>
    </xdr:sp>
    <xdr:clientData/>
  </xdr:twoCellAnchor>
  <xdr:twoCellAnchor>
    <xdr:from>
      <xdr:col>17</xdr:col>
      <xdr:colOff>514350</xdr:colOff>
      <xdr:row>31</xdr:row>
      <xdr:rowOff>127000</xdr:rowOff>
    </xdr:from>
    <xdr:to>
      <xdr:col>17</xdr:col>
      <xdr:colOff>514350</xdr:colOff>
      <xdr:row>33</xdr:row>
      <xdr:rowOff>95250</xdr:rowOff>
    </xdr:to>
    <xdr:sp macro="" textlink="">
      <xdr:nvSpPr>
        <xdr:cNvPr id="5501671" name="Line 301"/>
        <xdr:cNvSpPr>
          <a:spLocks noChangeShapeType="1"/>
        </xdr:cNvSpPr>
      </xdr:nvSpPr>
      <xdr:spPr bwMode="auto">
        <a:xfrm flipH="1">
          <a:off x="14090650" y="5391150"/>
          <a:ext cx="0" cy="311150"/>
        </a:xfrm>
        <a:prstGeom prst="line">
          <a:avLst/>
        </a:prstGeom>
        <a:noFill/>
        <a:ln w="9525">
          <a:solidFill>
            <a:srgbClr val="000000"/>
          </a:solidFill>
          <a:round/>
          <a:headEnd/>
          <a:tailEnd/>
        </a:ln>
      </xdr:spPr>
    </xdr:sp>
    <xdr:clientData/>
  </xdr:twoCellAnchor>
  <xdr:twoCellAnchor>
    <xdr:from>
      <xdr:col>17</xdr:col>
      <xdr:colOff>0</xdr:colOff>
      <xdr:row>2</xdr:row>
      <xdr:rowOff>76200</xdr:rowOff>
    </xdr:from>
    <xdr:to>
      <xdr:col>17</xdr:col>
      <xdr:colOff>152400</xdr:colOff>
      <xdr:row>2</xdr:row>
      <xdr:rowOff>76200</xdr:rowOff>
    </xdr:to>
    <xdr:sp macro="" textlink="">
      <xdr:nvSpPr>
        <xdr:cNvPr id="5501672" name="Line 302"/>
        <xdr:cNvSpPr>
          <a:spLocks noChangeShapeType="1"/>
        </xdr:cNvSpPr>
      </xdr:nvSpPr>
      <xdr:spPr bwMode="auto">
        <a:xfrm>
          <a:off x="13576300" y="419100"/>
          <a:ext cx="152400" cy="0"/>
        </a:xfrm>
        <a:prstGeom prst="line">
          <a:avLst/>
        </a:prstGeom>
        <a:noFill/>
        <a:ln w="9525">
          <a:solidFill>
            <a:srgbClr val="000000"/>
          </a:solidFill>
          <a:round/>
          <a:headEnd/>
          <a:tailEnd/>
        </a:ln>
      </xdr:spPr>
    </xdr:sp>
    <xdr:clientData/>
  </xdr:twoCellAnchor>
  <xdr:twoCellAnchor>
    <xdr:from>
      <xdr:col>17</xdr:col>
      <xdr:colOff>1771650</xdr:colOff>
      <xdr:row>10</xdr:row>
      <xdr:rowOff>88900</xdr:rowOff>
    </xdr:from>
    <xdr:to>
      <xdr:col>20</xdr:col>
      <xdr:colOff>0</xdr:colOff>
      <xdr:row>10</xdr:row>
      <xdr:rowOff>88900</xdr:rowOff>
    </xdr:to>
    <xdr:sp macro="" textlink="">
      <xdr:nvSpPr>
        <xdr:cNvPr id="5501673" name="Line 303"/>
        <xdr:cNvSpPr>
          <a:spLocks noChangeShapeType="1"/>
        </xdr:cNvSpPr>
      </xdr:nvSpPr>
      <xdr:spPr bwMode="auto">
        <a:xfrm flipV="1">
          <a:off x="14712950" y="1847850"/>
          <a:ext cx="1949450" cy="0"/>
        </a:xfrm>
        <a:prstGeom prst="line">
          <a:avLst/>
        </a:prstGeom>
        <a:noFill/>
        <a:ln w="9525">
          <a:solidFill>
            <a:srgbClr val="92D050"/>
          </a:solidFill>
          <a:prstDash val="sysDot"/>
          <a:round/>
          <a:headEnd/>
          <a:tailEnd/>
        </a:ln>
      </xdr:spPr>
    </xdr:sp>
    <xdr:clientData/>
  </xdr:twoCellAnchor>
  <xdr:twoCellAnchor>
    <xdr:from>
      <xdr:col>18</xdr:col>
      <xdr:colOff>190500</xdr:colOff>
      <xdr:row>12</xdr:row>
      <xdr:rowOff>76200</xdr:rowOff>
    </xdr:from>
    <xdr:to>
      <xdr:col>20</xdr:col>
      <xdr:colOff>0</xdr:colOff>
      <xdr:row>12</xdr:row>
      <xdr:rowOff>76200</xdr:rowOff>
    </xdr:to>
    <xdr:sp macro="" textlink="">
      <xdr:nvSpPr>
        <xdr:cNvPr id="5501674" name="Line 304"/>
        <xdr:cNvSpPr>
          <a:spLocks noChangeShapeType="1"/>
        </xdr:cNvSpPr>
      </xdr:nvSpPr>
      <xdr:spPr bwMode="auto">
        <a:xfrm flipV="1">
          <a:off x="14903450" y="2178050"/>
          <a:ext cx="1758950" cy="0"/>
        </a:xfrm>
        <a:prstGeom prst="line">
          <a:avLst/>
        </a:prstGeom>
        <a:noFill/>
        <a:ln w="9525">
          <a:solidFill>
            <a:srgbClr val="92D050"/>
          </a:solidFill>
          <a:prstDash val="sysDot"/>
          <a:round/>
          <a:headEnd/>
          <a:tailEnd/>
        </a:ln>
      </xdr:spPr>
    </xdr:sp>
    <xdr:clientData/>
  </xdr:twoCellAnchor>
  <xdr:twoCellAnchor>
    <xdr:from>
      <xdr:col>19</xdr:col>
      <xdr:colOff>19050</xdr:colOff>
      <xdr:row>15</xdr:row>
      <xdr:rowOff>44450</xdr:rowOff>
    </xdr:from>
    <xdr:to>
      <xdr:col>19</xdr:col>
      <xdr:colOff>787400</xdr:colOff>
      <xdr:row>15</xdr:row>
      <xdr:rowOff>44450</xdr:rowOff>
    </xdr:to>
    <xdr:sp macro="" textlink="">
      <xdr:nvSpPr>
        <xdr:cNvPr id="5501675" name="Line 305"/>
        <xdr:cNvSpPr>
          <a:spLocks noChangeShapeType="1"/>
        </xdr:cNvSpPr>
      </xdr:nvSpPr>
      <xdr:spPr bwMode="auto">
        <a:xfrm flipV="1">
          <a:off x="15868650" y="2641600"/>
          <a:ext cx="768350" cy="0"/>
        </a:xfrm>
        <a:prstGeom prst="line">
          <a:avLst/>
        </a:prstGeom>
        <a:noFill/>
        <a:ln w="9525">
          <a:solidFill>
            <a:srgbClr val="92D050"/>
          </a:solidFill>
          <a:prstDash val="sysDot"/>
          <a:round/>
          <a:headEnd/>
          <a:tailEnd/>
        </a:ln>
      </xdr:spPr>
    </xdr:sp>
    <xdr:clientData/>
  </xdr:twoCellAnchor>
  <xdr:twoCellAnchor>
    <xdr:from>
      <xdr:col>19</xdr:col>
      <xdr:colOff>19050</xdr:colOff>
      <xdr:row>19</xdr:row>
      <xdr:rowOff>25400</xdr:rowOff>
    </xdr:from>
    <xdr:to>
      <xdr:col>19</xdr:col>
      <xdr:colOff>806450</xdr:colOff>
      <xdr:row>19</xdr:row>
      <xdr:rowOff>25400</xdr:rowOff>
    </xdr:to>
    <xdr:sp macro="" textlink="">
      <xdr:nvSpPr>
        <xdr:cNvPr id="5501676" name="Line 308"/>
        <xdr:cNvSpPr>
          <a:spLocks noChangeShapeType="1"/>
        </xdr:cNvSpPr>
      </xdr:nvSpPr>
      <xdr:spPr bwMode="auto">
        <a:xfrm flipH="1" flipV="1">
          <a:off x="15868650" y="3282950"/>
          <a:ext cx="787400" cy="0"/>
        </a:xfrm>
        <a:prstGeom prst="line">
          <a:avLst/>
        </a:prstGeom>
        <a:noFill/>
        <a:ln w="9525">
          <a:solidFill>
            <a:srgbClr val="92D050"/>
          </a:solidFill>
          <a:prstDash val="sysDot"/>
          <a:round/>
          <a:headEnd type="none" w="sm" len="sm"/>
          <a:tailEnd type="none" w="sm" len="sm"/>
        </a:ln>
      </xdr:spPr>
    </xdr:sp>
    <xdr:clientData/>
  </xdr:twoCellAnchor>
  <xdr:twoCellAnchor>
    <xdr:from>
      <xdr:col>15</xdr:col>
      <xdr:colOff>812800</xdr:colOff>
      <xdr:row>28</xdr:row>
      <xdr:rowOff>88900</xdr:rowOff>
    </xdr:from>
    <xdr:to>
      <xdr:col>16</xdr:col>
      <xdr:colOff>323850</xdr:colOff>
      <xdr:row>28</xdr:row>
      <xdr:rowOff>88900</xdr:rowOff>
    </xdr:to>
    <xdr:sp macro="" textlink="">
      <xdr:nvSpPr>
        <xdr:cNvPr id="5501677" name="Line 310"/>
        <xdr:cNvSpPr>
          <a:spLocks noChangeShapeType="1"/>
        </xdr:cNvSpPr>
      </xdr:nvSpPr>
      <xdr:spPr bwMode="auto">
        <a:xfrm>
          <a:off x="12763500" y="4838700"/>
          <a:ext cx="323850" cy="0"/>
        </a:xfrm>
        <a:prstGeom prst="line">
          <a:avLst/>
        </a:prstGeom>
        <a:noFill/>
        <a:ln w="9525">
          <a:solidFill>
            <a:srgbClr val="000000"/>
          </a:solidFill>
          <a:round/>
          <a:headEnd/>
          <a:tailEnd/>
        </a:ln>
      </xdr:spPr>
    </xdr:sp>
    <xdr:clientData/>
  </xdr:twoCellAnchor>
  <xdr:twoCellAnchor>
    <xdr:from>
      <xdr:col>16</xdr:col>
      <xdr:colOff>234950</xdr:colOff>
      <xdr:row>27</xdr:row>
      <xdr:rowOff>127000</xdr:rowOff>
    </xdr:from>
    <xdr:to>
      <xdr:col>17</xdr:col>
      <xdr:colOff>69850</xdr:colOff>
      <xdr:row>27</xdr:row>
      <xdr:rowOff>127000</xdr:rowOff>
    </xdr:to>
    <xdr:sp macro="" textlink="">
      <xdr:nvSpPr>
        <xdr:cNvPr id="5501678" name="Line 277"/>
        <xdr:cNvSpPr>
          <a:spLocks noChangeShapeType="1"/>
        </xdr:cNvSpPr>
      </xdr:nvSpPr>
      <xdr:spPr bwMode="auto">
        <a:xfrm>
          <a:off x="12998450" y="4705350"/>
          <a:ext cx="647700" cy="0"/>
        </a:xfrm>
        <a:prstGeom prst="line">
          <a:avLst/>
        </a:prstGeom>
        <a:noFill/>
        <a:ln w="6350">
          <a:solidFill>
            <a:srgbClr val="000000"/>
          </a:solidFill>
          <a:round/>
          <a:headEnd/>
          <a:tailEnd/>
        </a:ln>
      </xdr:spPr>
    </xdr:sp>
    <xdr:clientData/>
  </xdr:twoCellAnchor>
  <xdr:twoCellAnchor>
    <xdr:from>
      <xdr:col>17</xdr:col>
      <xdr:colOff>412750</xdr:colOff>
      <xdr:row>28</xdr:row>
      <xdr:rowOff>127000</xdr:rowOff>
    </xdr:from>
    <xdr:to>
      <xdr:col>19</xdr:col>
      <xdr:colOff>82550</xdr:colOff>
      <xdr:row>28</xdr:row>
      <xdr:rowOff>127000</xdr:rowOff>
    </xdr:to>
    <xdr:sp macro="" textlink="">
      <xdr:nvSpPr>
        <xdr:cNvPr id="5501679" name="Line 280"/>
        <xdr:cNvSpPr>
          <a:spLocks noChangeShapeType="1"/>
        </xdr:cNvSpPr>
      </xdr:nvSpPr>
      <xdr:spPr bwMode="auto">
        <a:xfrm flipV="1">
          <a:off x="13989050" y="4876800"/>
          <a:ext cx="1943100" cy="0"/>
        </a:xfrm>
        <a:prstGeom prst="line">
          <a:avLst/>
        </a:prstGeom>
        <a:noFill/>
        <a:ln w="6350">
          <a:solidFill>
            <a:srgbClr val="000000"/>
          </a:solidFill>
          <a:round/>
          <a:headEnd/>
          <a:tailEnd/>
        </a:ln>
      </xdr:spPr>
    </xdr:sp>
    <xdr:clientData/>
  </xdr:twoCellAnchor>
  <xdr:twoCellAnchor>
    <xdr:from>
      <xdr:col>18</xdr:col>
      <xdr:colOff>165100</xdr:colOff>
      <xdr:row>30</xdr:row>
      <xdr:rowOff>44450</xdr:rowOff>
    </xdr:from>
    <xdr:to>
      <xdr:col>18</xdr:col>
      <xdr:colOff>927100</xdr:colOff>
      <xdr:row>30</xdr:row>
      <xdr:rowOff>44450</xdr:rowOff>
    </xdr:to>
    <xdr:sp macro="" textlink="">
      <xdr:nvSpPr>
        <xdr:cNvPr id="5501680" name="Line 280"/>
        <xdr:cNvSpPr>
          <a:spLocks noChangeShapeType="1"/>
        </xdr:cNvSpPr>
      </xdr:nvSpPr>
      <xdr:spPr bwMode="auto">
        <a:xfrm>
          <a:off x="14878050" y="5137150"/>
          <a:ext cx="762000" cy="0"/>
        </a:xfrm>
        <a:prstGeom prst="line">
          <a:avLst/>
        </a:prstGeom>
        <a:noFill/>
        <a:ln w="6350">
          <a:solidFill>
            <a:srgbClr val="000000"/>
          </a:solidFill>
          <a:round/>
          <a:headEnd/>
          <a:tailEnd/>
        </a:ln>
      </xdr:spPr>
    </xdr:sp>
    <xdr:clientData/>
  </xdr:twoCellAnchor>
  <xdr:twoCellAnchor>
    <xdr:from>
      <xdr:col>17</xdr:col>
      <xdr:colOff>1047750</xdr:colOff>
      <xdr:row>20</xdr:row>
      <xdr:rowOff>0</xdr:rowOff>
    </xdr:from>
    <xdr:to>
      <xdr:col>18</xdr:col>
      <xdr:colOff>158750</xdr:colOff>
      <xdr:row>30</xdr:row>
      <xdr:rowOff>44450</xdr:rowOff>
    </xdr:to>
    <xdr:sp macro="" textlink="">
      <xdr:nvSpPr>
        <xdr:cNvPr id="5501681" name="Rectangle 139"/>
        <xdr:cNvSpPr>
          <a:spLocks noChangeArrowheads="1"/>
        </xdr:cNvSpPr>
      </xdr:nvSpPr>
      <xdr:spPr bwMode="auto">
        <a:xfrm>
          <a:off x="14624050" y="3422650"/>
          <a:ext cx="247650" cy="1714500"/>
        </a:xfrm>
        <a:prstGeom prst="rect">
          <a:avLst/>
        </a:prstGeom>
        <a:noFill/>
        <a:ln w="9525" algn="ctr">
          <a:solidFill>
            <a:srgbClr val="00B0F0"/>
          </a:solidFill>
          <a:prstDash val="sysDash"/>
          <a:round/>
          <a:headEnd/>
          <a:tailEnd/>
        </a:ln>
      </xdr:spPr>
    </xdr:sp>
    <xdr:clientData/>
  </xdr:twoCellAnchor>
  <xdr:twoCellAnchor>
    <xdr:from>
      <xdr:col>18</xdr:col>
      <xdr:colOff>927100</xdr:colOff>
      <xdr:row>1</xdr:row>
      <xdr:rowOff>12700</xdr:rowOff>
    </xdr:from>
    <xdr:to>
      <xdr:col>18</xdr:col>
      <xdr:colOff>927100</xdr:colOff>
      <xdr:row>29</xdr:row>
      <xdr:rowOff>69850</xdr:rowOff>
    </xdr:to>
    <xdr:sp macro="" textlink="">
      <xdr:nvSpPr>
        <xdr:cNvPr id="5501682" name="Line 270"/>
        <xdr:cNvSpPr>
          <a:spLocks noChangeShapeType="1"/>
        </xdr:cNvSpPr>
      </xdr:nvSpPr>
      <xdr:spPr bwMode="auto">
        <a:xfrm flipH="1">
          <a:off x="15640050" y="184150"/>
          <a:ext cx="0" cy="4806950"/>
        </a:xfrm>
        <a:prstGeom prst="line">
          <a:avLst/>
        </a:prstGeom>
        <a:noFill/>
        <a:ln w="6350">
          <a:solidFill>
            <a:srgbClr val="000000"/>
          </a:solidFill>
          <a:round/>
          <a:headEnd type="triangle" w="sm" len="lg"/>
          <a:tailEnd type="triangle" w="sm" len="lg"/>
        </a:ln>
      </xdr:spPr>
    </xdr:sp>
    <xdr:clientData/>
  </xdr:twoCellAnchor>
  <xdr:twoCellAnchor>
    <xdr:from>
      <xdr:col>17</xdr:col>
      <xdr:colOff>12700</xdr:colOff>
      <xdr:row>33</xdr:row>
      <xdr:rowOff>95250</xdr:rowOff>
    </xdr:from>
    <xdr:to>
      <xdr:col>17</xdr:col>
      <xdr:colOff>520700</xdr:colOff>
      <xdr:row>33</xdr:row>
      <xdr:rowOff>95250</xdr:rowOff>
    </xdr:to>
    <xdr:sp macro="" textlink="">
      <xdr:nvSpPr>
        <xdr:cNvPr id="5501683" name="Line 301"/>
        <xdr:cNvSpPr>
          <a:spLocks noChangeShapeType="1"/>
        </xdr:cNvSpPr>
      </xdr:nvSpPr>
      <xdr:spPr bwMode="auto">
        <a:xfrm>
          <a:off x="13589000" y="5702300"/>
          <a:ext cx="508000" cy="0"/>
        </a:xfrm>
        <a:prstGeom prst="line">
          <a:avLst/>
        </a:prstGeom>
        <a:noFill/>
        <a:ln w="9525">
          <a:solidFill>
            <a:srgbClr val="000000"/>
          </a:solidFill>
          <a:round/>
          <a:headEnd/>
          <a:tailEnd/>
        </a:ln>
      </xdr:spPr>
    </xdr:sp>
    <xdr:clientData/>
  </xdr:twoCellAnchor>
  <xdr:twoCellAnchor>
    <xdr:from>
      <xdr:col>18</xdr:col>
      <xdr:colOff>787400</xdr:colOff>
      <xdr:row>1</xdr:row>
      <xdr:rowOff>19050</xdr:rowOff>
    </xdr:from>
    <xdr:to>
      <xdr:col>18</xdr:col>
      <xdr:colOff>787400</xdr:colOff>
      <xdr:row>30</xdr:row>
      <xdr:rowOff>38100</xdr:rowOff>
    </xdr:to>
    <xdr:sp macro="" textlink="">
      <xdr:nvSpPr>
        <xdr:cNvPr id="5501684" name="Line 270"/>
        <xdr:cNvSpPr>
          <a:spLocks noChangeShapeType="1"/>
        </xdr:cNvSpPr>
      </xdr:nvSpPr>
      <xdr:spPr bwMode="auto">
        <a:xfrm>
          <a:off x="15500350" y="190500"/>
          <a:ext cx="0" cy="4940300"/>
        </a:xfrm>
        <a:prstGeom prst="line">
          <a:avLst/>
        </a:prstGeom>
        <a:noFill/>
        <a:ln w="6350">
          <a:solidFill>
            <a:srgbClr val="000000"/>
          </a:solidFill>
          <a:round/>
          <a:headEnd type="triangle" w="sm" len="lg"/>
          <a:tailEnd type="triangle" w="sm" len="lg"/>
        </a:ln>
      </xdr:spPr>
    </xdr:sp>
    <xdr:clientData/>
  </xdr:twoCellAnchor>
  <xdr:twoCellAnchor>
    <xdr:from>
      <xdr:col>7</xdr:col>
      <xdr:colOff>438150</xdr:colOff>
      <xdr:row>108</xdr:row>
      <xdr:rowOff>152400</xdr:rowOff>
    </xdr:from>
    <xdr:to>
      <xdr:col>9</xdr:col>
      <xdr:colOff>657225</xdr:colOff>
      <xdr:row>110</xdr:row>
      <xdr:rowOff>0</xdr:rowOff>
    </xdr:to>
    <xdr:sp macro="[0]!Calcul_auto" textlink="">
      <xdr:nvSpPr>
        <xdr:cNvPr id="2" name="Rectangle à coins arrondis 1"/>
        <xdr:cNvSpPr/>
      </xdr:nvSpPr>
      <xdr:spPr bwMode="auto">
        <a:xfrm>
          <a:off x="6276975" y="18002250"/>
          <a:ext cx="1114425" cy="171450"/>
        </a:xfrm>
        <a:prstGeom prst="roundRect">
          <a:avLst/>
        </a:pr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ctr"/>
          <a:r>
            <a:rPr lang="fr-FR" sz="1100">
              <a:solidFill>
                <a:schemeClr val="bg1"/>
              </a:solidFill>
            </a:rPr>
            <a:t>calcul auto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xdr:colOff>
      <xdr:row>12</xdr:row>
      <xdr:rowOff>1</xdr:rowOff>
    </xdr:from>
    <xdr:to>
      <xdr:col>9</xdr:col>
      <xdr:colOff>0</xdr:colOff>
      <xdr:row>16</xdr:row>
      <xdr:rowOff>171450</xdr:rowOff>
    </xdr:to>
    <xdr:graphicFrame macro="">
      <xdr:nvGraphicFramePr>
        <xdr:cNvPr id="4" name="Graphique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914399</xdr:colOff>
      <xdr:row>17</xdr:row>
      <xdr:rowOff>0</xdr:rowOff>
    </xdr:from>
    <xdr:to>
      <xdr:col>9</xdr:col>
      <xdr:colOff>0</xdr:colOff>
      <xdr:row>35</xdr:row>
      <xdr:rowOff>0</xdr:rowOff>
    </xdr:to>
    <xdr:graphicFrame macro="">
      <xdr:nvGraphicFramePr>
        <xdr:cNvPr id="5"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lasci/Desktop/StabTraj_SPACIETA_INFINITY_MARK_II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lasci/Desktop/CSpace2023/Fusex/FX02/FX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bilito"/>
      <sheetName val="Trajecto"/>
      <sheetName val="Courbes"/>
      <sheetName val="Calculs"/>
      <sheetName val="Propu"/>
      <sheetName val="Abaco"/>
      <sheetName val="Info"/>
      <sheetName val="Ctrl"/>
      <sheetName val="Fiche de vol"/>
    </sheetNames>
    <sheetDataSet>
      <sheetData sheetId="0"/>
      <sheetData sheetId="1"/>
      <sheetData sheetId="2"/>
      <sheetData sheetId="3"/>
      <sheetData sheetId="4"/>
      <sheetData sheetId="5"/>
      <sheetData sheetId="6"/>
      <sheetData sheetId="7">
        <row r="85">
          <cell r="H85">
            <v>0.36967050000000001</v>
          </cell>
        </row>
        <row r="150">
          <cell r="M150">
            <v>0.35081499999999999</v>
          </cell>
        </row>
      </sheetData>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bilito"/>
      <sheetName val="Trajecto"/>
      <sheetName val="Courbes"/>
      <sheetName val="Propu"/>
      <sheetName val="Calculs"/>
      <sheetName val="Abaco"/>
      <sheetName val="Info"/>
      <sheetName val="Controle"/>
      <sheetName val="Fiche de vol"/>
    </sheetNames>
    <sheetDataSet>
      <sheetData sheetId="0"/>
      <sheetData sheetId="1"/>
      <sheetData sheetId="2"/>
      <sheetData sheetId="3"/>
      <sheetData sheetId="4"/>
      <sheetData sheetId="5"/>
      <sheetData sheetId="6"/>
      <sheetData sheetId="7">
        <row r="5">
          <cell r="E5" t="str">
            <v>Barasinga (Pro54-5G C)</v>
          </cell>
        </row>
      </sheetData>
      <sheetData sheetId="8"/>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omments" Target="../comments2.xml"/><Relationship Id="rId5" Type="http://schemas.openxmlformats.org/officeDocument/2006/relationships/image" Target="../media/image6.emf"/><Relationship Id="rId10" Type="http://schemas.openxmlformats.org/officeDocument/2006/relationships/ctrlProp" Target="../ctrlProps/ctrlProp18.xml"/><Relationship Id="rId4" Type="http://schemas.openxmlformats.org/officeDocument/2006/relationships/oleObject" Target="../embeddings/oleObject1.bin"/><Relationship Id="rId9"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14.emf"/><Relationship Id="rId42" Type="http://schemas.openxmlformats.org/officeDocument/2006/relationships/oleObject" Target="../embeddings/oleObject20.bin"/><Relationship Id="rId47" Type="http://schemas.openxmlformats.org/officeDocument/2006/relationships/image" Target="../media/image27.emf"/><Relationship Id="rId63" Type="http://schemas.openxmlformats.org/officeDocument/2006/relationships/image" Target="../media/image35.emf"/><Relationship Id="rId68" Type="http://schemas.openxmlformats.org/officeDocument/2006/relationships/oleObject" Target="../embeddings/oleObject33.bin"/><Relationship Id="rId16" Type="http://schemas.openxmlformats.org/officeDocument/2006/relationships/oleObject" Target="../embeddings/oleObject7.bin"/><Relationship Id="rId11" Type="http://schemas.openxmlformats.org/officeDocument/2006/relationships/image" Target="../media/image9.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22.emf"/><Relationship Id="rId40" Type="http://schemas.openxmlformats.org/officeDocument/2006/relationships/oleObject" Target="../embeddings/oleObject19.bin"/><Relationship Id="rId45" Type="http://schemas.openxmlformats.org/officeDocument/2006/relationships/image" Target="../media/image26.emf"/><Relationship Id="rId53" Type="http://schemas.openxmlformats.org/officeDocument/2006/relationships/image" Target="../media/image30.emf"/><Relationship Id="rId58" Type="http://schemas.openxmlformats.org/officeDocument/2006/relationships/oleObject" Target="../embeddings/oleObject28.bin"/><Relationship Id="rId66" Type="http://schemas.openxmlformats.org/officeDocument/2006/relationships/oleObject" Target="../embeddings/oleObject32.bin"/><Relationship Id="rId74" Type="http://schemas.openxmlformats.org/officeDocument/2006/relationships/oleObject" Target="../embeddings/oleObject36.bin"/><Relationship Id="rId5" Type="http://schemas.openxmlformats.org/officeDocument/2006/relationships/vmlDrawing" Target="../drawings/vmlDrawing3.vml"/><Relationship Id="rId61" Type="http://schemas.openxmlformats.org/officeDocument/2006/relationships/image" Target="../media/image34.emf"/><Relationship Id="rId19" Type="http://schemas.openxmlformats.org/officeDocument/2006/relationships/image" Target="../media/image13.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7.emf"/><Relationship Id="rId30" Type="http://schemas.openxmlformats.org/officeDocument/2006/relationships/oleObject" Target="../embeddings/oleObject14.bin"/><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oleObject" Target="../embeddings/oleObject23.bin"/><Relationship Id="rId56" Type="http://schemas.openxmlformats.org/officeDocument/2006/relationships/oleObject" Target="../embeddings/oleObject27.bin"/><Relationship Id="rId64" Type="http://schemas.openxmlformats.org/officeDocument/2006/relationships/oleObject" Target="../embeddings/oleObject31.bin"/><Relationship Id="rId69" Type="http://schemas.openxmlformats.org/officeDocument/2006/relationships/image" Target="../media/image38.emf"/><Relationship Id="rId77" Type="http://schemas.openxmlformats.org/officeDocument/2006/relationships/image" Target="../media/image42.emf"/><Relationship Id="rId8" Type="http://schemas.openxmlformats.org/officeDocument/2006/relationships/oleObject" Target="../embeddings/oleObject3.bin"/><Relationship Id="rId51" Type="http://schemas.openxmlformats.org/officeDocument/2006/relationships/image" Target="../media/image29.emf"/><Relationship Id="rId72" Type="http://schemas.openxmlformats.org/officeDocument/2006/relationships/oleObject" Target="../embeddings/oleObject35.bin"/><Relationship Id="rId3" Type="http://schemas.openxmlformats.org/officeDocument/2006/relationships/printerSettings" Target="../printerSettings/printerSettings5.bin"/><Relationship Id="rId12" Type="http://schemas.openxmlformats.org/officeDocument/2006/relationships/oleObject" Target="../embeddings/oleObject5.bin"/><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oleObject" Target="../embeddings/oleObject18.bin"/><Relationship Id="rId46" Type="http://schemas.openxmlformats.org/officeDocument/2006/relationships/oleObject" Target="../embeddings/oleObject22.bin"/><Relationship Id="rId59" Type="http://schemas.openxmlformats.org/officeDocument/2006/relationships/image" Target="../media/image33.emf"/><Relationship Id="rId67" Type="http://schemas.openxmlformats.org/officeDocument/2006/relationships/image" Target="../media/image37.emf"/><Relationship Id="rId20" Type="http://schemas.openxmlformats.org/officeDocument/2006/relationships/oleObject" Target="../embeddings/oleObject9.bin"/><Relationship Id="rId41" Type="http://schemas.openxmlformats.org/officeDocument/2006/relationships/image" Target="../media/image24.emf"/><Relationship Id="rId54" Type="http://schemas.openxmlformats.org/officeDocument/2006/relationships/oleObject" Target="../embeddings/oleObject26.bin"/><Relationship Id="rId62" Type="http://schemas.openxmlformats.org/officeDocument/2006/relationships/oleObject" Target="../embeddings/oleObject30.bin"/><Relationship Id="rId70" Type="http://schemas.openxmlformats.org/officeDocument/2006/relationships/oleObject" Target="../embeddings/oleObject34.bin"/><Relationship Id="rId75" Type="http://schemas.openxmlformats.org/officeDocument/2006/relationships/image" Target="../media/image41.emf"/><Relationship Id="rId1" Type="http://schemas.openxmlformats.org/officeDocument/2006/relationships/hyperlink" Target="http://en.wikipedia.org/wiki/Template:Numerical_integrators" TargetMode="External"/><Relationship Id="rId6" Type="http://schemas.openxmlformats.org/officeDocument/2006/relationships/oleObject" Target="../embeddings/oleObject2.bin"/><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8.emf"/><Relationship Id="rId57" Type="http://schemas.openxmlformats.org/officeDocument/2006/relationships/image" Target="../media/image32.emf"/><Relationship Id="rId10" Type="http://schemas.openxmlformats.org/officeDocument/2006/relationships/oleObject" Target="../embeddings/oleObject4.bin"/><Relationship Id="rId31" Type="http://schemas.openxmlformats.org/officeDocument/2006/relationships/image" Target="../media/image19.emf"/><Relationship Id="rId44" Type="http://schemas.openxmlformats.org/officeDocument/2006/relationships/oleObject" Target="../embeddings/oleObject21.bin"/><Relationship Id="rId52" Type="http://schemas.openxmlformats.org/officeDocument/2006/relationships/oleObject" Target="../embeddings/oleObject25.bin"/><Relationship Id="rId60" Type="http://schemas.openxmlformats.org/officeDocument/2006/relationships/oleObject" Target="../embeddings/oleObject29.bin"/><Relationship Id="rId65" Type="http://schemas.openxmlformats.org/officeDocument/2006/relationships/image" Target="../media/image36.emf"/><Relationship Id="rId73" Type="http://schemas.openxmlformats.org/officeDocument/2006/relationships/image" Target="../media/image40.emf"/><Relationship Id="rId4" Type="http://schemas.openxmlformats.org/officeDocument/2006/relationships/drawing" Target="../drawings/drawing5.xml"/><Relationship Id="rId9" Type="http://schemas.openxmlformats.org/officeDocument/2006/relationships/image" Target="../media/image8.emf"/><Relationship Id="rId13" Type="http://schemas.openxmlformats.org/officeDocument/2006/relationships/image" Target="../media/image10.emf"/><Relationship Id="rId18" Type="http://schemas.openxmlformats.org/officeDocument/2006/relationships/oleObject" Target="../embeddings/oleObject8.bin"/><Relationship Id="rId39" Type="http://schemas.openxmlformats.org/officeDocument/2006/relationships/image" Target="../media/image23.emf"/><Relationship Id="rId34" Type="http://schemas.openxmlformats.org/officeDocument/2006/relationships/oleObject" Target="../embeddings/oleObject16.bin"/><Relationship Id="rId50" Type="http://schemas.openxmlformats.org/officeDocument/2006/relationships/oleObject" Target="../embeddings/oleObject24.bin"/><Relationship Id="rId55" Type="http://schemas.openxmlformats.org/officeDocument/2006/relationships/image" Target="../media/image31.emf"/><Relationship Id="rId76" Type="http://schemas.openxmlformats.org/officeDocument/2006/relationships/oleObject" Target="../embeddings/oleObject37.bin"/><Relationship Id="rId7" Type="http://schemas.openxmlformats.org/officeDocument/2006/relationships/image" Target="../media/image7.emf"/><Relationship Id="rId71" Type="http://schemas.openxmlformats.org/officeDocument/2006/relationships/image" Target="../media/image39.emf"/><Relationship Id="rId2" Type="http://schemas.openxmlformats.org/officeDocument/2006/relationships/hyperlink" Target="http://www.planete-sciences.org/espace/basedoc/" TargetMode="External"/><Relationship Id="rId29" Type="http://schemas.openxmlformats.org/officeDocument/2006/relationships/image" Target="../media/image18.emf"/></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image" Target="../media/image43.emf"/><Relationship Id="rId4" Type="http://schemas.openxmlformats.org/officeDocument/2006/relationships/oleObject" Target="../embeddings/oleObject38.bin"/></Relationships>
</file>

<file path=xl/worksheets/_rels/sheet7.xml.rels><?xml version="1.0" encoding="UTF-8" standalone="yes"?>
<Relationships xmlns="http://schemas.openxmlformats.org/package/2006/relationships"><Relationship Id="rId3" Type="http://schemas.openxmlformats.org/officeDocument/2006/relationships/hyperlink" Target="http://creativecommons.org/licenses/by-sa/3.0/" TargetMode="External"/><Relationship Id="rId7" Type="http://schemas.openxmlformats.org/officeDocument/2006/relationships/comments" Target="../comments4.xml"/><Relationship Id="rId2" Type="http://schemas.openxmlformats.org/officeDocument/2006/relationships/hyperlink" Target="mailto:espace@planete-sciences.org" TargetMode="External"/><Relationship Id="rId1" Type="http://schemas.openxmlformats.org/officeDocument/2006/relationships/hyperlink" Target="http://www.planete-sciences.org/espace/basedoc/" TargetMode="External"/><Relationship Id="rId6" Type="http://schemas.openxmlformats.org/officeDocument/2006/relationships/vmlDrawing" Target="../drawings/vmlDrawing5.v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W361"/>
  <sheetViews>
    <sheetView showGridLines="0" zoomScaleNormal="100" zoomScaleSheetLayoutView="100" workbookViewId="0">
      <selection activeCell="C10" sqref="C10:D10"/>
    </sheetView>
  </sheetViews>
  <sheetFormatPr baseColWidth="10" defaultColWidth="11.42578125" defaultRowHeight="12.75" x14ac:dyDescent="0.2"/>
  <cols>
    <col min="1" max="1" width="2.140625" style="35" customWidth="1"/>
    <col min="2" max="2" width="16.28515625" style="35" customWidth="1"/>
    <col min="3" max="3" width="12.85546875" style="52" customWidth="1"/>
    <col min="4" max="4" width="12.85546875" style="35" customWidth="1"/>
    <col min="5" max="5" width="4.140625" style="119" customWidth="1"/>
    <col min="6" max="6" width="10.140625" style="56" bestFit="1" customWidth="1"/>
    <col min="7" max="7" width="10" style="56" bestFit="1" customWidth="1"/>
    <col min="8" max="9" width="8.5703125" style="56" customWidth="1"/>
    <col min="10" max="10" width="5.42578125" style="35" customWidth="1"/>
    <col min="11" max="11" width="2.140625" style="35" customWidth="1"/>
    <col min="12" max="12" width="17" style="35" customWidth="1"/>
    <col min="13" max="13" width="8.5703125" style="35" customWidth="1"/>
    <col min="14" max="15" width="4.28515625" style="35" customWidth="1"/>
    <col min="16" max="16" width="8.5703125" style="35" customWidth="1"/>
    <col min="17" max="18" width="2.140625" style="35" customWidth="1"/>
    <col min="19" max="16384" width="11.42578125" style="35"/>
  </cols>
  <sheetData>
    <row r="1" spans="1:20" ht="12.75" customHeight="1" x14ac:dyDescent="0.2">
      <c r="A1" s="29"/>
      <c r="B1" s="30"/>
      <c r="C1" s="31"/>
      <c r="D1" s="30"/>
      <c r="E1" s="113"/>
      <c r="F1" s="32"/>
      <c r="G1" s="32"/>
      <c r="H1" s="32"/>
      <c r="I1" s="32"/>
      <c r="J1" s="30"/>
      <c r="K1" s="30"/>
      <c r="L1" s="30"/>
      <c r="M1" s="30"/>
      <c r="N1" s="30"/>
      <c r="O1" s="30"/>
      <c r="P1" s="30"/>
      <c r="Q1" s="33"/>
      <c r="R1" s="34"/>
    </row>
    <row r="2" spans="1:20" ht="12.75" customHeight="1" x14ac:dyDescent="0.2">
      <c r="A2" s="36"/>
      <c r="B2" s="34"/>
      <c r="C2" s="781" t="s">
        <v>54</v>
      </c>
      <c r="D2" s="781"/>
      <c r="E2" s="114"/>
      <c r="F2" s="37"/>
      <c r="G2" s="37"/>
      <c r="H2" s="37"/>
      <c r="I2" s="37"/>
      <c r="J2" s="34"/>
      <c r="K2" s="34"/>
      <c r="L2" s="180" t="str">
        <f>"Language/Langue"</f>
        <v>Language/Langue</v>
      </c>
      <c r="M2" s="757" t="s">
        <v>1</v>
      </c>
      <c r="N2" s="757"/>
      <c r="O2" s="757"/>
      <c r="P2" s="758"/>
      <c r="Q2" s="38"/>
      <c r="R2" s="34"/>
    </row>
    <row r="3" spans="1:20" ht="12.75" customHeight="1" x14ac:dyDescent="0.2">
      <c r="A3" s="36"/>
      <c r="B3" s="34"/>
      <c r="C3" s="781"/>
      <c r="D3" s="781"/>
      <c r="E3" s="114"/>
      <c r="F3" s="37"/>
      <c r="G3" s="37"/>
      <c r="H3" s="37"/>
      <c r="I3" s="37"/>
      <c r="J3" s="34"/>
      <c r="K3" s="34"/>
      <c r="L3" s="768"/>
      <c r="M3" s="768"/>
      <c r="N3" s="214"/>
      <c r="O3" s="34"/>
      <c r="P3" s="34"/>
      <c r="Q3" s="38"/>
      <c r="R3" s="34"/>
    </row>
    <row r="4" spans="1:20" ht="12.75" customHeight="1" x14ac:dyDescent="0.2">
      <c r="A4" s="36"/>
      <c r="B4" s="34"/>
      <c r="C4" s="782" t="str">
        <f>IF(Lang="Français","Stabilité de fusée à ailerons",IF(Lang="English","Stability for rocket with fins",""))</f>
        <v>Stabilité de fusée à ailerons</v>
      </c>
      <c r="D4" s="782"/>
      <c r="E4" s="114"/>
      <c r="F4" s="37"/>
      <c r="G4" s="37"/>
      <c r="H4" s="37"/>
      <c r="I4" s="37"/>
      <c r="J4" s="34"/>
      <c r="K4" s="34"/>
      <c r="L4" s="45"/>
      <c r="M4" s="757" t="s">
        <v>602</v>
      </c>
      <c r="N4" s="757"/>
      <c r="O4" s="757"/>
      <c r="P4" s="758"/>
      <c r="Q4" s="38"/>
      <c r="R4" s="34"/>
    </row>
    <row r="5" spans="1:20" ht="12.75" customHeight="1" x14ac:dyDescent="0.25">
      <c r="A5" s="36"/>
      <c r="B5" s="39"/>
      <c r="C5" s="796"/>
      <c r="D5" s="796"/>
      <c r="E5" s="114"/>
      <c r="F5" s="37"/>
      <c r="G5" s="37"/>
      <c r="H5" s="37"/>
      <c r="I5" s="37"/>
      <c r="J5" s="34"/>
      <c r="K5" s="34"/>
      <c r="L5" s="45"/>
      <c r="M5" s="788" t="s">
        <v>157</v>
      </c>
      <c r="N5" s="789"/>
      <c r="O5" s="771" t="s">
        <v>158</v>
      </c>
      <c r="P5" s="771"/>
      <c r="Q5" s="40"/>
      <c r="R5" s="34"/>
    </row>
    <row r="6" spans="1:20" ht="12.75" customHeight="1" thickBot="1" x14ac:dyDescent="0.25">
      <c r="A6" s="36"/>
      <c r="B6" s="111"/>
      <c r="C6" s="806" t="str">
        <f>IF(Lang="Français","Remplir les cases jaunes",IF(Lang="English","Fill-in yellow cells only",""))</f>
        <v>Remplir les cases jaunes</v>
      </c>
      <c r="D6" s="806"/>
      <c r="E6" s="114"/>
      <c r="F6" s="37"/>
      <c r="G6" s="37"/>
      <c r="H6" s="37"/>
      <c r="I6" s="37"/>
      <c r="J6" s="34"/>
      <c r="K6" s="34"/>
      <c r="L6" s="172" t="str">
        <f>IF(Lang="Français","Longueur      'L'",IF(Lang="English","Length      'L'",""))</f>
        <v>Longueur      'L'</v>
      </c>
      <c r="M6" s="777">
        <v>188</v>
      </c>
      <c r="N6" s="778"/>
      <c r="O6" s="763">
        <v>50</v>
      </c>
      <c r="P6" s="763"/>
      <c r="Q6" s="40"/>
      <c r="R6" s="34"/>
    </row>
    <row r="7" spans="1:20" ht="12.75" customHeight="1" thickTop="1" thickBot="1" x14ac:dyDescent="0.25">
      <c r="A7" s="36"/>
      <c r="B7" s="42"/>
      <c r="C7" s="784" t="str">
        <f>IF(Lang="Français","Fusée",IF(Lang="English","Rocket",""))</f>
        <v>Fusée</v>
      </c>
      <c r="D7" s="785"/>
      <c r="E7" s="114"/>
      <c r="F7" s="37"/>
      <c r="G7" s="37"/>
      <c r="H7" s="37"/>
      <c r="I7" s="37"/>
      <c r="J7" s="34"/>
      <c r="K7" s="34"/>
      <c r="L7" s="172" t="str">
        <f>IF(Lang="Français","Diamètre     'D1'",IF(Lang="English","Diameter 'D1'",""))</f>
        <v>Diamètre     'D1'</v>
      </c>
      <c r="M7" s="777">
        <v>90</v>
      </c>
      <c r="N7" s="778"/>
      <c r="O7" s="763">
        <f>D2j</f>
        <v>100</v>
      </c>
      <c r="P7" s="763"/>
      <c r="Q7" s="40"/>
      <c r="R7" s="34"/>
    </row>
    <row r="8" spans="1:20" ht="12.75" customHeight="1" thickTop="1" x14ac:dyDescent="0.2">
      <c r="A8" s="36"/>
      <c r="B8" s="171" t="str">
        <f>IF(Lang="Français","Nom",IF(Lang="English","Name",""))</f>
        <v>Nom</v>
      </c>
      <c r="C8" s="807" t="s">
        <v>604</v>
      </c>
      <c r="D8" s="807"/>
      <c r="E8" s="115"/>
      <c r="F8" s="37"/>
      <c r="G8" s="37"/>
      <c r="H8" s="37"/>
      <c r="I8" s="37"/>
      <c r="J8" s="34"/>
      <c r="K8" s="44"/>
      <c r="L8" s="172" t="str">
        <f>IF(Lang="Français","Diamètre     'D2'",IF(Lang="English","Diameter 'D2'",""))</f>
        <v>Diamètre     'D2'</v>
      </c>
      <c r="M8" s="777">
        <v>100</v>
      </c>
      <c r="N8" s="778"/>
      <c r="O8" s="763">
        <v>100</v>
      </c>
      <c r="P8" s="763"/>
      <c r="Q8" s="40"/>
      <c r="R8" s="34"/>
    </row>
    <row r="9" spans="1:20" ht="12.75" customHeight="1" x14ac:dyDescent="0.2">
      <c r="A9" s="36"/>
      <c r="B9" s="171" t="s">
        <v>4</v>
      </c>
      <c r="C9" s="808" t="s">
        <v>603</v>
      </c>
      <c r="D9" s="808"/>
      <c r="E9" s="115"/>
      <c r="F9" s="37"/>
      <c r="G9" s="37"/>
      <c r="H9" s="37"/>
      <c r="I9" s="37"/>
      <c r="J9" s="34"/>
      <c r="K9" s="44"/>
      <c r="L9" s="172" t="str">
        <f>IF(Lang="Français","Implantation 'x'",IF(Lang="English","Basement 'x'",""))</f>
        <v>Implantation 'x'</v>
      </c>
      <c r="M9" s="777">
        <v>40</v>
      </c>
      <c r="N9" s="778"/>
      <c r="O9" s="763">
        <v>500</v>
      </c>
      <c r="P9" s="763"/>
      <c r="Q9" s="40"/>
      <c r="R9" s="34"/>
    </row>
    <row r="10" spans="1:20" ht="12.75" customHeight="1" x14ac:dyDescent="0.2">
      <c r="A10" s="36"/>
      <c r="B10" s="172" t="s">
        <v>55</v>
      </c>
      <c r="C10" s="786" t="s">
        <v>598</v>
      </c>
      <c r="D10" s="787"/>
      <c r="E10" s="115"/>
      <c r="F10" s="37"/>
      <c r="G10" s="37"/>
      <c r="H10" s="37"/>
      <c r="I10" s="37"/>
      <c r="J10" s="34"/>
      <c r="K10" s="44"/>
      <c r="L10" s="34"/>
      <c r="M10" s="34"/>
      <c r="N10" s="34"/>
      <c r="O10" s="34"/>
      <c r="P10" s="34"/>
      <c r="Q10" s="40"/>
      <c r="R10" s="34"/>
    </row>
    <row r="11" spans="1:20" ht="12.75" customHeight="1" x14ac:dyDescent="0.2">
      <c r="A11" s="36"/>
      <c r="B11" s="172" t="str">
        <f>IF(Lang="Français","Masse",IF(Lang="English","Weight",""))</f>
        <v>Masse</v>
      </c>
      <c r="C11" s="260">
        <v>7730</v>
      </c>
      <c r="D11" s="47" t="s">
        <v>425</v>
      </c>
      <c r="E11" s="116"/>
      <c r="F11" s="37"/>
      <c r="G11" s="37"/>
      <c r="H11" s="37"/>
      <c r="I11" s="37"/>
      <c r="J11" s="34"/>
      <c r="K11" s="45"/>
      <c r="L11" s="136"/>
      <c r="M11" s="262" t="str">
        <f>IF(Lang="Français","Propu plein",IF(Lang="English","Loaded Motor",""))</f>
        <v>Propu plein</v>
      </c>
      <c r="N11" s="769" t="str">
        <f>IF(Lang="Français","Propu vide",IF(Lang="English","Empty Motor",""))</f>
        <v>Propu vide</v>
      </c>
      <c r="O11" s="770"/>
      <c r="P11" s="262" t="str">
        <f>IF(Lang="Français","Sans propu",IF(Lang="English","Without M",""))</f>
        <v>Sans propu</v>
      </c>
      <c r="Q11" s="40"/>
      <c r="R11" s="34"/>
      <c r="S11" s="446"/>
      <c r="T11" s="447" t="str">
        <f>IF(Lang="Français","Propulseur",IF(Lang="English","Motor",""))</f>
        <v>Propulseur</v>
      </c>
    </row>
    <row r="12" spans="1:20" ht="12.75" customHeight="1" x14ac:dyDescent="0.2">
      <c r="A12" s="36"/>
      <c r="B12" s="172" t="str">
        <f>IF(Lang="Français","Centre de Masse",IF(Lang="English","Center of Mass",""))</f>
        <v>Centre de Masse</v>
      </c>
      <c r="C12" s="48">
        <v>1180</v>
      </c>
      <c r="D12" s="47" t="s">
        <v>425</v>
      </c>
      <c r="E12" s="114"/>
      <c r="F12" s="37"/>
      <c r="G12" s="37"/>
      <c r="H12" s="37"/>
      <c r="I12" s="37"/>
      <c r="J12" s="34"/>
      <c r="K12" s="34"/>
      <c r="L12" s="137" t="str">
        <f>IF(Lang="Français","Masse propu",IF(Lang="English","Motor Mass",""))</f>
        <v>Masse propu</v>
      </c>
      <c r="M12" s="138">
        <f ca="1">MpropuPlein</f>
        <v>1.6850000000000001</v>
      </c>
      <c r="N12" s="761">
        <f ca="1">MpropuVide</f>
        <v>0.65200000000000002</v>
      </c>
      <c r="O12" s="762"/>
      <c r="P12" s="139" t="s">
        <v>14</v>
      </c>
      <c r="Q12" s="40"/>
      <c r="R12" s="34"/>
      <c r="S12" s="447" t="str">
        <f>IF(Lang="Français","Haut",IF(Lang="English","Top",""))</f>
        <v>Haut</v>
      </c>
      <c r="T12" s="448">
        <f ca="1">XpropuRef-Long_propu</f>
        <v>1716</v>
      </c>
    </row>
    <row r="13" spans="1:20" ht="12.75" customHeight="1" x14ac:dyDescent="0.2">
      <c r="A13" s="36"/>
      <c r="B13" s="172" t="str">
        <f>IF(Lang="Français","Longueur totale",IF(Lang="English","Total length",""))</f>
        <v>Longueur totale</v>
      </c>
      <c r="C13" s="777">
        <v>2195</v>
      </c>
      <c r="D13" s="778"/>
      <c r="E13" s="114"/>
      <c r="F13" s="37"/>
      <c r="G13" s="37"/>
      <c r="H13" s="37"/>
      <c r="I13" s="37"/>
      <c r="J13" s="34"/>
      <c r="K13" s="34"/>
      <c r="L13" s="137" t="str">
        <f>IF(Lang="Français","CdM propu",IF(Lang="English","Motor CoM",""))</f>
        <v>CdM propu</v>
      </c>
      <c r="M13" s="140">
        <f ca="1">XpropuPlein</f>
        <v>250</v>
      </c>
      <c r="N13" s="759">
        <f ca="1">XpropuVide</f>
        <v>240</v>
      </c>
      <c r="O13" s="760"/>
      <c r="P13" s="139" t="s">
        <v>14</v>
      </c>
      <c r="Q13" s="40"/>
      <c r="R13" s="34"/>
      <c r="S13" s="447" t="str">
        <f>IF(Lang="Français","Longueur",IF(Lang="English","Length",""))</f>
        <v>Longueur</v>
      </c>
      <c r="T13" s="448">
        <f ca="1">Long_propu</f>
        <v>488</v>
      </c>
    </row>
    <row r="14" spans="1:20" ht="12.75" customHeight="1" x14ac:dyDescent="0.2">
      <c r="A14" s="36"/>
      <c r="B14" s="172" t="str">
        <f>IF(Lang="Français","Diamètre Réf.",IF(Lang="English","Ref. Diameter",""))</f>
        <v>Diamètre Réf.</v>
      </c>
      <c r="C14" s="777">
        <v>100</v>
      </c>
      <c r="D14" s="778"/>
      <c r="E14" s="114"/>
      <c r="F14" s="37"/>
      <c r="G14" s="37"/>
      <c r="H14" s="37"/>
      <c r="I14" s="37"/>
      <c r="J14" s="34"/>
      <c r="K14" s="34"/>
      <c r="L14" s="137" t="str">
        <f>IF(Lang="Français","Masse fusée",IF(Lang="English","Rocket Mass",""))</f>
        <v>Masse fusée</v>
      </c>
      <c r="M14" s="141">
        <f ca="1">MasseSans+MpropuPlein</f>
        <v>9.4150000000000009</v>
      </c>
      <c r="N14" s="790">
        <f ca="1">MasseSans+MpropuVide</f>
        <v>8.3819999999999997</v>
      </c>
      <c r="O14" s="791"/>
      <c r="P14" s="138">
        <f>IF(OR(D11="sans propu",D11="without motor"),C11/1000,IF(OR(D11="avec propu vide",D11="with empty motor"),C11/1000-MpropuVide,IF(OR(D11="avec propu plein",D11="with loaded motor"),C11/1000-MpropuPlein,"Erreur")))</f>
        <v>7.73</v>
      </c>
      <c r="Q14" s="40"/>
      <c r="R14" s="34"/>
      <c r="S14" s="447" t="str">
        <f>IF(Lang="Français","Bas",IF(Lang="English","Base",""))</f>
        <v>Bas</v>
      </c>
      <c r="T14" s="448">
        <f>XpropuRef</f>
        <v>2204</v>
      </c>
    </row>
    <row r="15" spans="1:20" ht="12.75" customHeight="1" thickBot="1" x14ac:dyDescent="0.25">
      <c r="A15" s="36"/>
      <c r="B15" s="34"/>
      <c r="C15" s="42"/>
      <c r="D15" s="42"/>
      <c r="E15" s="114"/>
      <c r="F15" s="37"/>
      <c r="G15" s="37"/>
      <c r="H15" s="37"/>
      <c r="I15" s="37"/>
      <c r="J15" s="34"/>
      <c r="K15" s="34"/>
      <c r="L15" s="208" t="str">
        <f>IF(Lang="Français","CdM fusée",IF(Lang="English","Rocket CoM",""))</f>
        <v>CdM fusée</v>
      </c>
      <c r="M15" s="209">
        <f ca="1">(XcgSans*MasseSans+(XpropuRef-Long_propu+XpropuPlein)*MpropuPlein)/MassePlein</f>
        <v>1320.6702071163038</v>
      </c>
      <c r="N15" s="792">
        <f ca="1">(XcgSans*MasseSans+(XpropuRef-Long_propu+XpropuVide)*MpropuVide)/MasseVide</f>
        <v>1240.3617275113338</v>
      </c>
      <c r="O15" s="793"/>
      <c r="P15" s="142">
        <f>IF(OR(D12="sans propu",D12="without motor"),C12,IF(OR(D12="avec propu vide",D12="with empty motor"),(C12*MasseVide-(XpropuRef-Long_propu+XpropuVide)*MpropuVide)/MasseSans,IF(OR(D12="avec propu plein",D12="with loaded motor"),(C12*MassePlein-(XpropuRef-Long_propu+XpropuPlein)*MpropuPlein)/MasseSans,"Erreur")))</f>
        <v>1180</v>
      </c>
      <c r="Q15" s="40"/>
      <c r="R15" s="34"/>
    </row>
    <row r="16" spans="1:20" ht="12.75" customHeight="1" thickTop="1" thickBot="1" x14ac:dyDescent="0.25">
      <c r="A16" s="36"/>
      <c r="B16" s="34"/>
      <c r="C16" s="798" t="str">
        <f>IF(Lang="Français","Propulseur",IF(Lang="English","Motor",""))</f>
        <v>Propulseur</v>
      </c>
      <c r="D16" s="799"/>
      <c r="E16" s="114"/>
      <c r="F16" s="37"/>
      <c r="G16" s="37"/>
      <c r="H16" s="37"/>
      <c r="I16" s="37"/>
      <c r="J16" s="34"/>
      <c r="K16" s="34"/>
      <c r="L16" s="123"/>
      <c r="M16" s="123"/>
      <c r="N16" s="123"/>
      <c r="O16" s="123"/>
      <c r="P16" s="123"/>
      <c r="Q16" s="40"/>
      <c r="R16" s="34"/>
      <c r="S16" s="446"/>
      <c r="T16" s="447" t="str">
        <f>IF(RIGHT(Type_masquage,1)=",",IF(Lang="Français","Ailerons","Fins"),IF(Lang="Français","Ailerons bas","Lower Fins"))</f>
        <v>Ailerons bas</v>
      </c>
    </row>
    <row r="17" spans="1:20" ht="12.75" customHeight="1" thickTop="1" x14ac:dyDescent="0.2">
      <c r="A17" s="36"/>
      <c r="B17" s="172" t="s">
        <v>55</v>
      </c>
      <c r="C17" s="800" t="s">
        <v>552</v>
      </c>
      <c r="D17" s="801"/>
      <c r="E17" s="114"/>
      <c r="F17" s="37"/>
      <c r="G17" s="37"/>
      <c r="H17" s="37"/>
      <c r="I17" s="37"/>
      <c r="J17" s="34"/>
      <c r="K17" s="34"/>
      <c r="L17" s="143"/>
      <c r="M17" s="794" t="s">
        <v>56</v>
      </c>
      <c r="N17" s="795"/>
      <c r="O17" s="772" t="s">
        <v>66</v>
      </c>
      <c r="P17" s="772"/>
      <c r="Q17" s="40"/>
      <c r="R17" s="34"/>
      <c r="S17" s="447" t="str">
        <f>IF(Lang="Français","Haut","Top")</f>
        <v>Haut</v>
      </c>
      <c r="T17" s="448">
        <f>X_ail-m_ail</f>
        <v>1895</v>
      </c>
    </row>
    <row r="18" spans="1:20" ht="12.75" customHeight="1" x14ac:dyDescent="0.2">
      <c r="A18" s="36"/>
      <c r="B18" s="172" t="str">
        <f>IF(Lang="Français","Position du bas",IF(Lang="English","Basement",""))</f>
        <v>Position du bas</v>
      </c>
      <c r="C18" s="763">
        <v>2204</v>
      </c>
      <c r="D18" s="763"/>
      <c r="F18" s="37"/>
      <c r="G18" s="37"/>
      <c r="H18" s="37"/>
      <c r="I18" s="37"/>
      <c r="J18" s="34"/>
      <c r="K18" s="50"/>
      <c r="L18" s="137" t="str">
        <f>IF(Lang="Français","Coiffe",IF(Lang="English","Nose Cone",""))</f>
        <v>Coiffe</v>
      </c>
      <c r="M18" s="766">
        <f>IF(LEFT(Forme_ogive,5)="Parab",1/2*Long_ogive,IF(LEFT(Forme_ogive,4)="Ogiv",7/15*Long_ogive,IF(LEFT(Forme_ogive,3)="Con",2/3*Long_ogive)))</f>
        <v>20</v>
      </c>
      <c r="N18" s="767"/>
      <c r="O18" s="773">
        <f>2*POWER(D_og/D_ref, 2)</f>
        <v>1.62</v>
      </c>
      <c r="P18" s="773"/>
      <c r="Q18" s="40"/>
      <c r="R18" s="34"/>
      <c r="S18" s="447" t="str">
        <f>IF(Lang="Français","Emplanture","Root edge")</f>
        <v>Emplanture</v>
      </c>
      <c r="T18" s="448">
        <f>m_ail</f>
        <v>290</v>
      </c>
    </row>
    <row r="19" spans="1:20" ht="12.75" customHeight="1" thickBot="1" x14ac:dyDescent="0.25">
      <c r="A19" s="36"/>
      <c r="B19" s="493" t="str">
        <f>IF(Propu="Cariacou","Cariacou :"," ")</f>
        <v xml:space="preserve"> </v>
      </c>
      <c r="C19" s="776" t="str">
        <f>IF(Propu="Pandora (Pro24-6G)",IF(Lang="Français","C'Space Seulement",IF(Lang="English","C'Space only","")),"")</f>
        <v/>
      </c>
      <c r="D19" s="776"/>
      <c r="E19" s="114"/>
      <c r="F19" s="37"/>
      <c r="G19" s="37"/>
      <c r="H19" s="37"/>
      <c r="I19" s="37"/>
      <c r="J19" s="34"/>
      <c r="K19" s="34"/>
      <c r="L19" s="137" t="str">
        <f>IF(Lang="Français","Ailerons",IF(Lang="English","Fins",""))</f>
        <v>Ailerons</v>
      </c>
      <c r="M19" s="766">
        <f>(XCpa*Cnail-0.5*XCpi*Cni)/Cnai</f>
        <v>1985.4958533707734</v>
      </c>
      <c r="N19" s="767"/>
      <c r="O19" s="802">
        <f>Cnail-Cni/2</f>
        <v>13.56819800270846</v>
      </c>
      <c r="P19" s="803"/>
      <c r="Q19" s="40"/>
      <c r="R19" s="34"/>
      <c r="S19" s="447" t="str">
        <f>IF(Lang="Français","Bas","Base")</f>
        <v>Bas</v>
      </c>
      <c r="T19" s="448">
        <f>X_ail</f>
        <v>2185</v>
      </c>
    </row>
    <row r="20" spans="1:20" ht="12.75" customHeight="1" thickTop="1" thickBot="1" x14ac:dyDescent="0.25">
      <c r="A20" s="36"/>
      <c r="B20" s="51"/>
      <c r="C20" s="804" t="str">
        <f>IF(Lang="Français","Coiffe",IF(Lang="English","Nose Cone",""))</f>
        <v>Coiffe</v>
      </c>
      <c r="D20" s="805"/>
      <c r="E20" s="114"/>
      <c r="F20" s="37"/>
      <c r="G20" s="37"/>
      <c r="H20" s="37"/>
      <c r="I20" s="37"/>
      <c r="J20" s="34"/>
      <c r="K20" s="34"/>
      <c r="L20" s="137" t="str">
        <f>IF(Lang="Français","Ail bas entier",IF(Lang="English","Total Lower Fins",""))</f>
        <v>Ail bas entier</v>
      </c>
      <c r="M20" s="766">
        <f>X_ail-m_ail+p_ail*(m_ail+2*n_ail)/(3*(m_ail+n_ail))+(m_ail+n_ail-m_ail*n_ail/(m_ail+n_ail))/6</f>
        <v>1984.4848484848485</v>
      </c>
      <c r="N20" s="767"/>
      <c r="O20" s="773">
        <f>4*Q_ail*POWER((E_ail/D_ref),2)*(1+D_ail/(2*E_ail+D_ail))/(1+SQRT(1+POWER(2*f_ail/(m_ail+n_ail),2)))</f>
        <v>14.948604812047884</v>
      </c>
      <c r="P20" s="773"/>
      <c r="Q20" s="40"/>
      <c r="R20" s="34"/>
    </row>
    <row r="21" spans="1:20" ht="12.75" customHeight="1" thickTop="1" x14ac:dyDescent="0.2">
      <c r="A21" s="36"/>
      <c r="B21" s="172" t="str">
        <f>IF(Lang="Français","Forme",IF(Lang="English","Shape",""))</f>
        <v>Forme</v>
      </c>
      <c r="C21" s="779" t="s">
        <v>601</v>
      </c>
      <c r="D21" s="780"/>
      <c r="E21" s="114"/>
      <c r="F21" s="37"/>
      <c r="G21" s="37"/>
      <c r="H21" s="37"/>
      <c r="I21" s="37"/>
      <c r="J21" s="34"/>
      <c r="K21" s="34"/>
      <c r="L21" s="137" t="str">
        <f>IF(Lang="Français","Ailerons haut",IF(Lang="English","Upper Fins",""))</f>
        <v>Ailerons haut</v>
      </c>
      <c r="M21" s="766">
        <f>IF(LEFT(Type_masquage,1)="M",0, X_can-m_can+p_can*(m_can+2*n_can)/(3*(m_can+n_can))+(m_can+n_can-m_can*n_can/(m_can+n_can))/6)</f>
        <v>487.5</v>
      </c>
      <c r="N21" s="767"/>
      <c r="O21" s="773">
        <f>IF(LEFT(Type_masquage,1)="M",0, 4*Q_can*POWER((E_can/D_ref),2)*(1+D_can/(2*E_can+D_can))/(1+SQRT(1+POWER(2*f_can/(m_can+n_can),2))))</f>
        <v>2.7157783669476157</v>
      </c>
      <c r="P21" s="773"/>
      <c r="Q21" s="40"/>
      <c r="R21" s="34"/>
    </row>
    <row r="22" spans="1:20" ht="12.75" customHeight="1" x14ac:dyDescent="0.2">
      <c r="A22" s="36"/>
      <c r="B22" s="172" t="str">
        <f>IF(Lang="Français","Hauteur",IF(Lang="English","Heigth",""))</f>
        <v>Hauteur</v>
      </c>
      <c r="C22" s="777">
        <v>40</v>
      </c>
      <c r="D22" s="778"/>
      <c r="E22" s="114"/>
      <c r="F22" s="37"/>
      <c r="G22" s="37"/>
      <c r="H22" s="37"/>
      <c r="I22" s="37"/>
      <c r="J22" s="34"/>
      <c r="K22" s="34"/>
      <c r="L22" s="137" t="str">
        <f>IF(Lang="Français","Partie masquée",IF(Lang="English","Interation zone",""))</f>
        <v>Partie masquée</v>
      </c>
      <c r="M22" s="783">
        <f>IF(LEFT(Type_masquage,1)="B", X_int-m_int+p_int*(m_int+2*n_int)/(3*(m_int+n_int))+(m_int+n_int-m_int*n_int/(m_int+n_int))/6, 0 )</f>
        <v>1974.5475500152022</v>
      </c>
      <c r="N22" s="783"/>
      <c r="O22" s="802">
        <f>IF(LEFT(Type_masquage,1)="B", 4*Q_int*POWER((E_int/D_ref),2)*(1+D_int/(2*E_int+D_int))/(1+SQRT(1+POWER(2*f_int/(m_int+n_int),2))), 0 )</f>
        <v>2.7608136186788492</v>
      </c>
      <c r="P22" s="803"/>
      <c r="Q22" s="40"/>
      <c r="R22" s="34"/>
    </row>
    <row r="23" spans="1:20" ht="12.75" customHeight="1" x14ac:dyDescent="0.2">
      <c r="A23" s="36"/>
      <c r="B23" s="172" t="str">
        <f>IF(Lang="Français","Diamètre",IF(Lang="English","Diameter",""))</f>
        <v>Diamètre</v>
      </c>
      <c r="C23" s="777">
        <v>90</v>
      </c>
      <c r="D23" s="778"/>
      <c r="E23" s="114"/>
      <c r="F23" s="37"/>
      <c r="G23" s="37"/>
      <c r="H23" s="37"/>
      <c r="I23" s="37"/>
      <c r="J23" s="34"/>
      <c r="K23" s="34"/>
      <c r="L23" s="137" t="s">
        <v>157</v>
      </c>
      <c r="M23" s="766">
        <f>IF(OR(RIGHT(Nb_diam,1)=",",D2j=0),0, X_j+l_j/3*(1+1/(1+D1j/D2j)) )</f>
        <v>135.64912280701753</v>
      </c>
      <c r="N23" s="767"/>
      <c r="O23" s="773">
        <f>IF(OR(RIGHT(Nb_diam,1)=",",D2j=0),0,2*(POWER(D2j/D_ref,2)-POWER(D1j/D_ref,2)))</f>
        <v>0.37999999999999989</v>
      </c>
      <c r="P23" s="773"/>
      <c r="Q23" s="40"/>
      <c r="R23" s="34"/>
    </row>
    <row r="24" spans="1:20" ht="12.75" customHeight="1" thickBot="1" x14ac:dyDescent="0.25">
      <c r="A24" s="36"/>
      <c r="E24" s="114"/>
      <c r="F24" s="37"/>
      <c r="G24" s="37"/>
      <c r="H24" s="37"/>
      <c r="I24" s="37"/>
      <c r="J24" s="34"/>
      <c r="K24" s="34"/>
      <c r="L24" s="137" t="s">
        <v>158</v>
      </c>
      <c r="M24" s="766">
        <f>IF( OR(RIGHT(Nb_diam,1)=",",D2r=0), 0, X_r+l_r/3*(1+1/(1+D1r/D2r)) )</f>
        <v>525</v>
      </c>
      <c r="N24" s="767"/>
      <c r="O24" s="773">
        <f>IF( OR(RIGHT(Nb_diam,1)=",",D2r=0), 0, 2*(POWER(D2r/D_ref,2)-POWER(D1r/D_ref,2)) )</f>
        <v>0</v>
      </c>
      <c r="P24" s="773"/>
      <c r="Q24" s="40"/>
      <c r="R24" s="34"/>
    </row>
    <row r="25" spans="1:20" ht="12.75" customHeight="1" thickTop="1" thickBot="1" x14ac:dyDescent="0.25">
      <c r="A25" s="36"/>
      <c r="B25" s="41"/>
      <c r="C25" s="211" t="str">
        <f>IF(LEFT(Type_masquage,1)="M",IF(Lang="Français","Ailerons","Fins"),IF(Lang="Français","Ailerons bas","Lower Fins"))</f>
        <v>Ailerons bas</v>
      </c>
      <c r="D25" s="212" t="str">
        <f>IF(Lang="Français","Ailerons haut",IF(Lang="English","Upper Fins",""))</f>
        <v>Ailerons haut</v>
      </c>
      <c r="E25" s="213" t="s">
        <v>152</v>
      </c>
      <c r="F25" s="37"/>
      <c r="G25" s="37"/>
      <c r="H25" s="37"/>
      <c r="I25" s="37"/>
      <c r="J25" s="34"/>
      <c r="K25" s="53"/>
      <c r="L25" s="54"/>
      <c r="M25" s="54"/>
      <c r="N25" s="54"/>
      <c r="O25" s="34"/>
      <c r="P25" s="34"/>
      <c r="Q25" s="40"/>
      <c r="R25" s="54"/>
      <c r="S25" s="449" t="str">
        <f ca="1">IF(AND(Portee_balistique&gt;200,LEFT(Type_propu,3)="Min"),IF(Lang="Français","Fusée trop lègère !","Rocket too light"),"")</f>
        <v/>
      </c>
    </row>
    <row r="26" spans="1:20" ht="12.75" customHeight="1" thickTop="1" x14ac:dyDescent="0.2">
      <c r="A26" s="36"/>
      <c r="B26" s="41"/>
      <c r="C26" s="774" t="s">
        <v>427</v>
      </c>
      <c r="D26" s="775"/>
      <c r="E26" s="117"/>
      <c r="F26" s="55">
        <f ca="1">TODAY()</f>
        <v>45126</v>
      </c>
      <c r="G26" s="170" t="s">
        <v>63</v>
      </c>
      <c r="H26" s="797" t="str">
        <f>IF(Lang="Français","Résultats",IF(Lang="English","Results",""))</f>
        <v>Résultats</v>
      </c>
      <c r="I26" s="797"/>
      <c r="J26" s="170" t="s">
        <v>64</v>
      </c>
      <c r="K26" s="43"/>
      <c r="L26" s="54"/>
      <c r="M26" s="54"/>
      <c r="N26" s="54"/>
      <c r="O26" s="34"/>
      <c r="P26" s="34"/>
      <c r="Q26" s="40"/>
      <c r="R26" s="54"/>
      <c r="S26" s="449" t="str">
        <f ca="1">IF(AND(Vsortie_de_rampe&lt;18, OR(LEFT(Type_fusee,1)=",",LEFT(Type_fusee,4)="Mini",LEFT(Type_fusee,1)="R")),IF(Lang="Français","Fusée trop lourde ou rampe trop courte !","Rocket too heavy or launch pad too small!"),"")</f>
        <v/>
      </c>
    </row>
    <row r="27" spans="1:20" ht="12.75" customHeight="1" x14ac:dyDescent="0.2">
      <c r="A27" s="36"/>
      <c r="B27" s="627" t="str">
        <f>IF(Lang="Français"," Emplanture  'm'",IF(Lang="English"," Root edge  'm'",""))</f>
        <v xml:space="preserve"> Emplanture  'm'</v>
      </c>
      <c r="C27" s="210">
        <v>290</v>
      </c>
      <c r="D27" s="210">
        <v>150</v>
      </c>
      <c r="E27" s="179">
        <f>m_ail</f>
        <v>290</v>
      </c>
      <c r="F27" s="134" t="s">
        <v>65</v>
      </c>
      <c r="G27" s="133">
        <f>IF(RIGHT(Type_fusee,1)=".",10, IF(OR(LEFT(Type_fusee,1)="R",LEFT(Type_fusee,1)=",",LEFT(Type_fusee,4)="Mini"),10, IF(LEFT(Type_fusee,5)="Micro",10, IF(RIGHT(Type_fusee,1)=" ",1))))</f>
        <v>10</v>
      </c>
      <c r="H27" s="764">
        <f>Long_tot/D_ref</f>
        <v>21.95</v>
      </c>
      <c r="I27" s="765"/>
      <c r="J27" s="133">
        <f>IF(RIGHT(Type_fusee,1)=".",35, IF(OR(LEFT(Type_fusee,1)="R",LEFT(Type_fusee,1)=",",LEFT(Type_fusee,4)="Mini"),20, IF(LEFT(Type_fusee,5)="Micro",30, IF(RIGHT(Type_fusee,1)=" ",100))))</f>
        <v>35</v>
      </c>
      <c r="K27" s="43"/>
      <c r="L27" s="54"/>
      <c r="M27" s="54"/>
      <c r="N27" s="54"/>
      <c r="O27" s="34"/>
      <c r="P27" s="34"/>
      <c r="Q27" s="40"/>
      <c r="R27" s="54"/>
      <c r="S27" s="449" t="str">
        <f>IF(Finesse&lt;CritFinessemin, IF(Lang="Français","Fusée trop courte !","Rocket too short!"), "" ) &amp; IF(Finesse&gt;CritFinessemax, IF(Lang="Français","Fusée trop longue !","Rocket too long!"), "" )</f>
        <v/>
      </c>
    </row>
    <row r="28" spans="1:20" ht="12.75" customHeight="1" x14ac:dyDescent="0.2">
      <c r="A28" s="36"/>
      <c r="B28" s="627" t="str">
        <f>IF(Lang="Français"," Saumon       'n'",IF(Lang="English"," Tip edge    'n'",""))</f>
        <v xml:space="preserve"> Saumon       'n'</v>
      </c>
      <c r="C28" s="48">
        <v>150</v>
      </c>
      <c r="D28" s="48">
        <v>150</v>
      </c>
      <c r="E28" s="179">
        <f>n_ail+(m_ail-n_ail)*(1-E_int/E_ail)</f>
        <v>236.24</v>
      </c>
      <c r="F28" s="134" t="str">
        <f>IF(Lang="Français","Portance","Lift")</f>
        <v>Portance</v>
      </c>
      <c r="G28" s="133">
        <f>IF(RIGHT(Type_fusee,1)=".",15,IF(OR(LEFT(Type_fusee,1)="R",LEFT(Type_fusee,1)=",",LEFT(Type_fusee,4)="Mini"),15, IF(LEFT(Type_fusee,5)="Micro",15, IF(RIGHT(Type_fusee,1)=" ",15))))</f>
        <v>15</v>
      </c>
      <c r="H28" s="596">
        <f>Cnai+Cnc+Cno+Cnj+Cnr</f>
        <v>18.283976369656074</v>
      </c>
      <c r="I28" s="596">
        <f>Cnail+Cnc+Cno+Cnj+Cnr</f>
        <v>19.6643831789955</v>
      </c>
      <c r="J28" s="133">
        <f>IF(RIGHT(Type_fusee,1)=".",40, IF(OR(LEFT(Type_fusee,1)="R",LEFT(Type_fusee,1)=",",LEFT(Type_fusee,4)="Mini"),30, IF(LEFT(Type_fusee,5)="Micro",30, IF(RIGHT(Type_fusee,1)=" ",30))))</f>
        <v>40</v>
      </c>
      <c r="K28" s="43"/>
      <c r="L28" s="54"/>
      <c r="M28" s="54"/>
      <c r="N28" s="54"/>
      <c r="O28" s="34"/>
      <c r="P28" s="34"/>
      <c r="Q28" s="40"/>
      <c r="R28" s="54"/>
      <c r="S28" s="449" t="str">
        <f>IF(Cn&lt;CritCnmin, IF(Lang="Français","Ailerons trop petits !","Fins too small!"), "" ) &amp; IF(Cn&gt;CritCnmax, IF(Lang="Français","Ailerons trop grands !","Fins too big!"), "" )</f>
        <v/>
      </c>
    </row>
    <row r="29" spans="1:20" ht="12.75" customHeight="1" x14ac:dyDescent="0.2">
      <c r="A29" s="36"/>
      <c r="B29" s="627" t="str">
        <f>IF(Lang="Français"," Flèche          'p'"," Offset         'p'")</f>
        <v xml:space="preserve"> Flèche          'p'</v>
      </c>
      <c r="C29" s="48">
        <v>73</v>
      </c>
      <c r="D29" s="48">
        <v>0</v>
      </c>
      <c r="E29" s="179">
        <f>p_ail*E_int/E_ail</f>
        <v>28.032</v>
      </c>
      <c r="F29" s="604" t="str">
        <f>IF(Lang="Français","MargeStat.","StatMargin")</f>
        <v>MargeStat.</v>
      </c>
      <c r="G29" s="598">
        <f>IF(RIGHT(Type_fusee,1)=".",2, IF(OR(LEFT(Type_fusee,1)="R",LEFT(Type_fusee,1)=",",LEFT(Type_fusee,4)="Mini"),1.5, IF(LEFT(Type_fusee,5)="Micro",1, IF(RIGHT(Type_fusee,1)=" ",1))))</f>
        <v>2</v>
      </c>
      <c r="H29" s="126">
        <f ca="1">(XCp-XcgPlein)/D_ref</f>
        <v>2.2973047813562699</v>
      </c>
      <c r="I29" s="127">
        <f ca="1">(XCp0-XcgVide)/D_ref</f>
        <v>3.3981335823664631</v>
      </c>
      <c r="J29" s="598">
        <f>IF(RIGHT(Type_fusee,1)=".",6, IF(OR(LEFT(Type_fusee,1)="R",LEFT(Type_fusee,1)=",",LEFT(Type_fusee,4)="Mini"),6, IF(LEFT(Type_fusee,5)="Micro",3, IF(RIGHT(Type_fusee,1)=" ",3))))</f>
        <v>6</v>
      </c>
      <c r="K29" s="43"/>
      <c r="L29" s="34"/>
      <c r="M29" s="34"/>
      <c r="N29" s="34"/>
      <c r="O29" s="34"/>
      <c r="P29" s="34"/>
      <c r="Q29" s="40"/>
      <c r="R29" s="54"/>
      <c r="S29" s="449" t="str">
        <f ca="1">IF(MS_min&lt;CritMsmin, IF(Lang="Français","Abaisser les ailerons ou rehausser le CdM !","Lower the fins or move up the center of mass!"), "" ) &amp; IF(MS_max&gt;CritMsmax, IF(Lang="Français","Rehausser les ailerons ou abaisser le CdM !","Move up the fins or lower the center of mass!"), "" )</f>
        <v/>
      </c>
    </row>
    <row r="30" spans="1:20" ht="12.75" customHeight="1" x14ac:dyDescent="0.2">
      <c r="A30" s="36"/>
      <c r="B30" s="627" t="str">
        <f>IF(Lang="Français"," Envergure     'E'",IF(Lang="English"," Span          'E'",""))</f>
        <v xml:space="preserve"> Envergure     'E'</v>
      </c>
      <c r="C30" s="48">
        <v>125</v>
      </c>
      <c r="D30" s="48">
        <v>48</v>
      </c>
      <c r="E30" s="179">
        <f>IF(D_can/2+E_can&lt;=D_ail/2,0, IF(D_can/2+E_can&gt;=D_ail/2+E_ail,E_ail,  D_can/2+E_can - D_ail/2  ) )</f>
        <v>48</v>
      </c>
      <c r="F30" s="605" t="str">
        <f>IF(Lang="Français","Couple","Torque")</f>
        <v>Couple</v>
      </c>
      <c r="G30" s="599">
        <f>IF(RIGHT(Type_fusee,1)=".",40, IF(OR(LEFT(Type_fusee,1)="R",LEFT(Type_fusee,1)=",",LEFT(Type_fusee,4)="Mini"),30, IF(LEFT(Type_fusee,5)="Micro",15, IF(RIGHT(Type_fusee,1)=" ",15))))</f>
        <v>40</v>
      </c>
      <c r="H30" s="128">
        <f ca="1">MS_min*Cn</f>
        <v>42.00386633621595</v>
      </c>
      <c r="I30" s="125">
        <f ca="1">MS_max*Cn0</f>
        <v>66.822200857066804</v>
      </c>
      <c r="J30" s="599">
        <f>IF(RIGHT(Type_fusee,1)=".",100, IF(OR(LEFT(Type_fusee,1)="R",LEFT(Type_fusee,1)=",",LEFT(Type_fusee,4)="Mini"),100, IF(LEFT(Type_fusee,5)="Micro",100, IF(RIGHT(Type_fusee,1)=" ",90))))</f>
        <v>100</v>
      </c>
      <c r="K30" s="43"/>
      <c r="L30" s="34"/>
      <c r="M30" s="34"/>
      <c r="N30" s="34"/>
      <c r="O30" s="34"/>
      <c r="P30" s="34"/>
      <c r="Q30" s="40"/>
      <c r="R30" s="54"/>
      <c r="S30" s="449" t="str">
        <f ca="1">IF(MS_Cn_min&lt;CritMsCnmin, IF(Lang="Français","Ailerons trop petits ou trop haut /CdM !","Fins too small or too high /CoM!"), "" ) &amp; IF(MS_Cn_max&gt;CritMsCnmax, IF(Lang="Français","Ailerons trop grands ou trop bas  /CdM !","Fins too big or too low / CoM!"), "" )</f>
        <v/>
      </c>
    </row>
    <row r="31" spans="1:20" ht="12.75" customHeight="1" x14ac:dyDescent="0.2">
      <c r="A31" s="36"/>
      <c r="B31" s="628" t="str">
        <f>IF(Lang="Français"," Epaisseur     'ep'",IF(Lang="English"," Thickness  'ep'",""))</f>
        <v xml:space="preserve"> Epaisseur     'ep'</v>
      </c>
      <c r="C31" s="48">
        <v>2</v>
      </c>
      <c r="D31" s="48">
        <v>45</v>
      </c>
      <c r="E31" s="179">
        <f>ep_ail</f>
        <v>2</v>
      </c>
      <c r="F31" s="135" t="s">
        <v>56</v>
      </c>
      <c r="G31" s="132"/>
      <c r="H31" s="597">
        <f>(Cnai*XCpai+Cnc*XCpc+Cnj*XCpj+Cnr*XCpr+Cno*XCpo)/(Cnai+Cnc+Cnr+Cnj+Cno)</f>
        <v>1550.4006852519308</v>
      </c>
      <c r="I31" s="597">
        <f>(Cnail*XCpa+Cnc*XCpc+Cnj*XCpj+Cnr*XCpr+Cno*XCpo)/(Cnail+Cnc+Cnr+Cnj+Cno)</f>
        <v>1580.1750857479801</v>
      </c>
      <c r="J31" s="131"/>
      <c r="K31" s="43"/>
      <c r="L31" s="34"/>
      <c r="M31" s="34"/>
      <c r="N31" s="34"/>
      <c r="O31" s="34"/>
      <c r="P31" s="34"/>
      <c r="Q31" s="40"/>
      <c r="R31" s="54"/>
      <c r="S31" s="449"/>
    </row>
    <row r="32" spans="1:20" ht="12.75" customHeight="1" x14ac:dyDescent="0.2">
      <c r="A32" s="36"/>
      <c r="B32" s="627" t="str">
        <f>IF(Lang="Français"," Nombre            ",IF(Lang="English"," Number of fins",""))</f>
        <v xml:space="preserve"> Nombre            </v>
      </c>
      <c r="C32" s="49">
        <v>4</v>
      </c>
      <c r="D32" s="49">
        <v>4</v>
      </c>
      <c r="E32" s="179">
        <f>IF(Q_ail=Q_can,Q_ail,FALSE)</f>
        <v>4</v>
      </c>
      <c r="F32" s="135" t="s">
        <v>67</v>
      </c>
      <c r="G32" s="132"/>
      <c r="H32" s="129">
        <f ca="1">(XCp-XcgPlein)/Long_tot*100</f>
        <v>10.466081008456809</v>
      </c>
      <c r="I32" s="130">
        <f ca="1">(XCp-XcgVide)/Long_tot*100</f>
        <v>14.124781673831297</v>
      </c>
      <c r="J32" s="131"/>
      <c r="K32" s="43"/>
      <c r="L32" s="34"/>
      <c r="M32" s="34"/>
      <c r="N32" s="34"/>
      <c r="O32" s="34"/>
      <c r="P32" s="34"/>
      <c r="Q32" s="40"/>
      <c r="R32" s="54"/>
    </row>
    <row r="33" spans="1:23" ht="12.75" customHeight="1" x14ac:dyDescent="0.2">
      <c r="A33" s="36"/>
      <c r="B33" s="627" t="str">
        <f>IF(Lang="Français"," Position du bas",IF(Lang="English"," Basement",""))</f>
        <v xml:space="preserve"> Position du bas</v>
      </c>
      <c r="C33" s="48">
        <v>2185</v>
      </c>
      <c r="D33" s="48">
        <v>600</v>
      </c>
      <c r="E33" s="179">
        <f>X_ail</f>
        <v>2185</v>
      </c>
      <c r="F33" s="37"/>
      <c r="G33" s="34"/>
      <c r="H33" s="753" t="str">
        <f ca="1">IF(AND(CritCnmin&lt;Cn,Cn0&lt;CritCnmax,CritMsmin&lt;MS_min,MS_max&lt;CritMsmax,CritMsCnmin&lt;MS_Cn_min,MS_Cn_max&lt;CritMsCnmax),"STABLE",IF(OR(Cn&lt;CritCnmin,MS_min&lt;CritMsmin,MS_Cn_min&lt;CritMsCnmin),"INSTABLE",IF(Lang="Français","SURSTABLE","OVERSTABLE")))</f>
        <v>STABLE</v>
      </c>
      <c r="I33" s="754"/>
      <c r="J33" s="46"/>
      <c r="K33" s="43"/>
      <c r="L33" s="34"/>
      <c r="M33" s="34"/>
      <c r="N33" s="34"/>
      <c r="O33" s="34"/>
      <c r="P33" s="34"/>
      <c r="Q33" s="40"/>
      <c r="R33" s="54"/>
    </row>
    <row r="34" spans="1:23" ht="12.75" customHeight="1" x14ac:dyDescent="0.2">
      <c r="A34" s="36"/>
      <c r="B34" s="627" t="str">
        <f>IF(Lang="Français"," Diamètre         ",IF(Lang="English"," Diameter at Fins",""))</f>
        <v xml:space="preserve"> Diamètre         </v>
      </c>
      <c r="C34" s="48">
        <f>D_ref</f>
        <v>100</v>
      </c>
      <c r="D34" s="48">
        <f>D_ref</f>
        <v>100</v>
      </c>
      <c r="E34" s="179">
        <f>D_ail</f>
        <v>100</v>
      </c>
      <c r="F34" s="37"/>
      <c r="G34" s="34"/>
      <c r="H34" s="755"/>
      <c r="I34" s="756"/>
      <c r="J34" s="34"/>
      <c r="K34" s="43"/>
      <c r="L34" s="34"/>
      <c r="M34" s="34"/>
      <c r="N34" s="34"/>
      <c r="O34" s="34"/>
      <c r="P34" s="34"/>
      <c r="Q34" s="40"/>
      <c r="R34" s="54"/>
    </row>
    <row r="35" spans="1:23" ht="12.75" customHeight="1" x14ac:dyDescent="0.2">
      <c r="A35" s="36"/>
      <c r="B35" s="627" t="str">
        <f>IF(Lang="Français"," Ligne mi-corde f",IF(Lang="English"," Mid-chord line f",""))</f>
        <v xml:space="preserve"> Ligne mi-corde f</v>
      </c>
      <c r="C35" s="178">
        <f>SQRT(POWER(p_ail+n_ail/2-m_ail/2,2)+POWER(E_ail,2))</f>
        <v>125.03599481749245</v>
      </c>
      <c r="D35" s="178">
        <f>SQRT(POWER(p_can+n_can/2-m_can/2,2)+POWER(E_can,2))</f>
        <v>48</v>
      </c>
      <c r="E35" s="179">
        <f>SQRT(POWER(p_int+n_int/2-m_int/2,2)+POWER(E_int,2))</f>
        <v>48.013822009917099</v>
      </c>
      <c r="F35" s="37"/>
      <c r="G35" s="37"/>
      <c r="H35" s="37"/>
      <c r="I35" s="37"/>
      <c r="J35" s="34"/>
      <c r="K35" s="43"/>
      <c r="L35" s="34"/>
      <c r="M35" s="34"/>
      <c r="N35" s="34"/>
      <c r="O35" s="34"/>
      <c r="P35" s="34"/>
      <c r="Q35" s="40"/>
      <c r="R35" s="54"/>
      <c r="W35" s="35" t="str">
        <f>RIGHT(Type_fusee,1="R")</f>
        <v/>
      </c>
    </row>
    <row r="36" spans="1:23" ht="12.75" customHeight="1" thickBot="1" x14ac:dyDescent="0.25">
      <c r="A36" s="57"/>
      <c r="B36" s="216" t="str">
        <f>IF(Lang="Français","Commentaire libre :",IF(Lang="English","Free comment:",""))</f>
        <v>Commentaire libre :</v>
      </c>
      <c r="C36" s="58"/>
      <c r="D36" s="59"/>
      <c r="E36" s="118"/>
      <c r="F36" s="89"/>
      <c r="G36" s="89"/>
      <c r="H36" s="89"/>
      <c r="I36" s="89"/>
      <c r="J36" s="60"/>
      <c r="K36" s="59"/>
      <c r="L36" s="450" t="s">
        <v>271</v>
      </c>
      <c r="M36" s="453" t="str">
        <f>IF(ROUND(SUM(Propu!5:1228),0)=395253,"propu OK","propu NOK")</f>
        <v>propu OK</v>
      </c>
      <c r="N36" s="452" t="str">
        <f>IF(Lang="Français","fichier initial","Initial file")</f>
        <v>fichier initial</v>
      </c>
      <c r="O36" s="453"/>
      <c r="P36" s="451"/>
      <c r="Q36" s="341" t="s">
        <v>546</v>
      </c>
      <c r="R36" s="54"/>
    </row>
    <row r="37" spans="1:23" ht="12.75" customHeight="1" x14ac:dyDescent="0.2">
      <c r="R37" s="61"/>
    </row>
    <row r="38" spans="1:23" x14ac:dyDescent="0.2">
      <c r="L38" s="265" t="str">
        <f>IF(Lang="Français","Maintenant que votre fusée est stable, vérifiez sa trajectoire via la feuille","Now your rocket is stable, check its trajectory on sheet")</f>
        <v>Maintenant que votre fusée est stable, vérifiez sa trajectoire via la feuille</v>
      </c>
      <c r="M38" s="568" t="s">
        <v>181</v>
      </c>
    </row>
    <row r="39" spans="1:23" x14ac:dyDescent="0.2">
      <c r="H39" s="264"/>
      <c r="O39" s="56"/>
      <c r="P39" s="56"/>
    </row>
    <row r="40" spans="1:23" x14ac:dyDescent="0.2">
      <c r="F40" s="35"/>
      <c r="H40" s="61"/>
      <c r="I40" s="62"/>
      <c r="J40" s="61"/>
      <c r="N40" s="61"/>
      <c r="Q40" s="61"/>
      <c r="S40" s="594"/>
    </row>
    <row r="41" spans="1:23" x14ac:dyDescent="0.2">
      <c r="F41" s="35"/>
      <c r="G41" s="591"/>
      <c r="H41" s="592"/>
      <c r="I41" s="62"/>
      <c r="J41" s="61"/>
      <c r="N41" s="61"/>
      <c r="Q41" s="61"/>
      <c r="R41" s="61"/>
    </row>
    <row r="42" spans="1:23" x14ac:dyDescent="0.2">
      <c r="F42" s="35"/>
      <c r="H42" s="61"/>
      <c r="I42" s="62"/>
      <c r="J42" s="61"/>
      <c r="N42" s="61"/>
      <c r="Q42" s="61"/>
      <c r="R42" s="61"/>
    </row>
    <row r="43" spans="1:23" x14ac:dyDescent="0.2">
      <c r="F43" s="35"/>
      <c r="H43" s="61"/>
      <c r="I43" s="62"/>
      <c r="J43" s="61"/>
      <c r="N43" s="61"/>
      <c r="Q43" s="61"/>
      <c r="R43" s="61"/>
    </row>
    <row r="44" spans="1:23" x14ac:dyDescent="0.2">
      <c r="F44" s="35"/>
      <c r="H44" s="61"/>
      <c r="I44" s="62"/>
      <c r="J44" s="61"/>
      <c r="N44" s="61"/>
      <c r="O44" s="34"/>
      <c r="P44" s="34"/>
      <c r="Q44" s="61"/>
      <c r="R44" s="61"/>
    </row>
    <row r="45" spans="1:23" x14ac:dyDescent="0.2">
      <c r="F45" s="35"/>
      <c r="H45" s="61"/>
      <c r="I45" s="62"/>
      <c r="J45" s="61"/>
      <c r="N45" s="61"/>
      <c r="O45" s="34"/>
      <c r="P45" s="34"/>
      <c r="Q45" s="61"/>
      <c r="R45" s="61"/>
    </row>
    <row r="46" spans="1:23" x14ac:dyDescent="0.2">
      <c r="F46" s="35"/>
      <c r="H46" s="61"/>
      <c r="I46" s="62"/>
      <c r="J46" s="61"/>
      <c r="L46" s="61"/>
      <c r="M46" s="61"/>
      <c r="N46" s="61"/>
      <c r="O46" s="34"/>
      <c r="P46" s="34"/>
      <c r="Q46" s="61"/>
      <c r="R46" s="61"/>
    </row>
    <row r="47" spans="1:23" x14ac:dyDescent="0.2">
      <c r="F47" s="35"/>
      <c r="H47" s="61"/>
      <c r="I47" s="62"/>
      <c r="J47" s="61"/>
      <c r="L47" s="61"/>
      <c r="M47" s="61"/>
      <c r="N47" s="61"/>
      <c r="O47" s="34"/>
      <c r="P47" s="34"/>
      <c r="Q47" s="61"/>
      <c r="R47" s="61"/>
    </row>
    <row r="48" spans="1:23" x14ac:dyDescent="0.2">
      <c r="F48" s="35"/>
      <c r="H48" s="61"/>
      <c r="I48" s="62"/>
      <c r="J48" s="61"/>
      <c r="L48" s="61"/>
      <c r="M48" s="61"/>
      <c r="N48" s="61"/>
      <c r="O48" s="34"/>
      <c r="P48" s="34"/>
      <c r="Q48" s="61"/>
      <c r="R48" s="61"/>
    </row>
    <row r="49" spans="2:18" x14ac:dyDescent="0.2">
      <c r="F49" s="35"/>
      <c r="H49" s="61"/>
      <c r="I49" s="62"/>
      <c r="J49" s="61"/>
      <c r="L49" s="61"/>
      <c r="M49" s="61"/>
      <c r="N49" s="61"/>
      <c r="O49" s="34"/>
      <c r="P49" s="34"/>
      <c r="Q49" s="61"/>
      <c r="R49" s="61"/>
    </row>
    <row r="50" spans="2:18" x14ac:dyDescent="0.2">
      <c r="F50" s="35"/>
      <c r="H50" s="61"/>
      <c r="I50" s="62"/>
      <c r="J50" s="61"/>
      <c r="L50" s="61"/>
      <c r="M50" s="61"/>
      <c r="N50" s="61"/>
      <c r="O50" s="34"/>
      <c r="P50" s="34"/>
      <c r="Q50" s="61"/>
      <c r="R50" s="61"/>
    </row>
    <row r="51" spans="2:18" x14ac:dyDescent="0.2">
      <c r="F51" s="35"/>
      <c r="H51" s="61"/>
      <c r="I51" s="62"/>
      <c r="J51" s="61"/>
      <c r="L51" s="61"/>
      <c r="M51" s="61"/>
      <c r="N51" s="61"/>
      <c r="O51" s="34"/>
      <c r="P51" s="34"/>
      <c r="Q51" s="61"/>
      <c r="R51" s="61"/>
    </row>
    <row r="52" spans="2:18" x14ac:dyDescent="0.2">
      <c r="H52" s="61"/>
      <c r="I52" s="62"/>
      <c r="J52" s="61"/>
      <c r="L52" s="61"/>
      <c r="M52" s="61"/>
      <c r="N52" s="61"/>
      <c r="O52" s="34"/>
      <c r="P52" s="34"/>
      <c r="Q52" s="61"/>
      <c r="R52" s="61"/>
    </row>
    <row r="53" spans="2:18" x14ac:dyDescent="0.2">
      <c r="H53" s="61"/>
      <c r="I53" s="62"/>
      <c r="J53" s="61"/>
      <c r="L53" s="61"/>
      <c r="M53" s="61"/>
      <c r="N53" s="61"/>
      <c r="Q53" s="61"/>
      <c r="R53" s="61"/>
    </row>
    <row r="54" spans="2:18" x14ac:dyDescent="0.2">
      <c r="H54" s="61"/>
      <c r="I54" s="62"/>
      <c r="J54" s="61"/>
      <c r="L54" s="61"/>
      <c r="M54" s="61"/>
      <c r="N54" s="61"/>
      <c r="Q54" s="61"/>
      <c r="R54" s="61"/>
    </row>
    <row r="55" spans="2:18" x14ac:dyDescent="0.2">
      <c r="H55" s="61"/>
      <c r="I55" s="62"/>
      <c r="J55" s="61"/>
      <c r="L55" s="61"/>
      <c r="M55" s="61"/>
      <c r="N55" s="61"/>
      <c r="Q55" s="61"/>
      <c r="R55" s="61"/>
    </row>
    <row r="56" spans="2:18" x14ac:dyDescent="0.2">
      <c r="C56" s="35"/>
      <c r="H56" s="61"/>
      <c r="I56" s="62"/>
      <c r="J56" s="61"/>
      <c r="L56" s="61"/>
      <c r="M56" s="61"/>
      <c r="N56" s="61"/>
      <c r="Q56" s="61"/>
      <c r="R56" s="61"/>
    </row>
    <row r="57" spans="2:18" x14ac:dyDescent="0.2">
      <c r="H57" s="61"/>
      <c r="I57" s="62"/>
      <c r="J57" s="61"/>
      <c r="L57" s="61"/>
      <c r="M57" s="61"/>
      <c r="N57" s="61"/>
      <c r="Q57" s="61"/>
      <c r="R57" s="61"/>
    </row>
    <row r="58" spans="2:18" x14ac:dyDescent="0.2">
      <c r="B58" s="52"/>
      <c r="H58" s="61"/>
      <c r="I58" s="62"/>
      <c r="J58" s="61"/>
      <c r="L58" s="61"/>
      <c r="M58" s="61"/>
      <c r="N58" s="61"/>
      <c r="Q58" s="61"/>
      <c r="R58" s="61"/>
    </row>
    <row r="59" spans="2:18" x14ac:dyDescent="0.2">
      <c r="B59" s="52"/>
      <c r="H59" s="61"/>
      <c r="I59" s="62"/>
      <c r="J59" s="61"/>
      <c r="L59" s="61"/>
      <c r="M59" s="61"/>
      <c r="N59" s="61"/>
      <c r="Q59" s="61"/>
      <c r="R59" s="61"/>
    </row>
    <row r="60" spans="2:18" x14ac:dyDescent="0.2">
      <c r="B60" s="52"/>
      <c r="H60" s="61"/>
      <c r="I60" s="62"/>
      <c r="J60" s="61"/>
      <c r="L60" s="61"/>
      <c r="M60" s="61"/>
      <c r="N60" s="61"/>
      <c r="Q60" s="61"/>
      <c r="R60" s="61"/>
    </row>
    <row r="61" spans="2:18" x14ac:dyDescent="0.2">
      <c r="B61" s="52"/>
      <c r="H61" s="61"/>
      <c r="I61" s="62"/>
      <c r="J61" s="61"/>
      <c r="L61" s="61"/>
      <c r="M61" s="61"/>
      <c r="N61" s="61"/>
      <c r="Q61" s="61"/>
      <c r="R61" s="61"/>
    </row>
    <row r="62" spans="2:18" x14ac:dyDescent="0.2">
      <c r="B62" s="52"/>
      <c r="H62" s="61"/>
      <c r="I62" s="62"/>
      <c r="J62" s="61"/>
      <c r="L62" s="61"/>
      <c r="M62" s="61"/>
      <c r="N62" s="61"/>
      <c r="Q62" s="61"/>
      <c r="R62" s="61"/>
    </row>
    <row r="63" spans="2:18" x14ac:dyDescent="0.2">
      <c r="B63" s="52"/>
      <c r="H63" s="61"/>
      <c r="I63" s="62"/>
      <c r="J63" s="61"/>
      <c r="L63" s="61"/>
      <c r="M63" s="61"/>
      <c r="N63" s="61"/>
      <c r="Q63" s="61"/>
      <c r="R63" s="61"/>
    </row>
    <row r="64" spans="2:18" x14ac:dyDescent="0.2">
      <c r="B64" s="52"/>
      <c r="H64" s="61"/>
      <c r="I64" s="62"/>
      <c r="J64" s="61"/>
      <c r="L64" s="61"/>
      <c r="M64" s="61"/>
      <c r="N64" s="61"/>
      <c r="Q64" s="61"/>
      <c r="R64" s="61"/>
    </row>
    <row r="65" spans="2:18" x14ac:dyDescent="0.2">
      <c r="B65" s="52"/>
      <c r="H65" s="61"/>
      <c r="I65" s="62"/>
      <c r="J65" s="61"/>
      <c r="L65" s="61"/>
      <c r="M65" s="61"/>
      <c r="N65" s="61"/>
      <c r="Q65" s="61"/>
      <c r="R65" s="61"/>
    </row>
    <row r="66" spans="2:18" x14ac:dyDescent="0.2">
      <c r="B66" s="52"/>
      <c r="H66" s="61"/>
      <c r="I66" s="62"/>
      <c r="J66" s="61"/>
      <c r="L66" s="61"/>
      <c r="M66" s="61"/>
      <c r="N66" s="61"/>
      <c r="Q66" s="61"/>
      <c r="R66" s="61"/>
    </row>
    <row r="67" spans="2:18" x14ac:dyDescent="0.2">
      <c r="C67" s="35"/>
      <c r="H67" s="61"/>
      <c r="I67" s="62"/>
      <c r="J67" s="61"/>
      <c r="L67" s="61"/>
      <c r="M67" s="61"/>
      <c r="N67" s="61"/>
      <c r="Q67" s="61"/>
      <c r="R67" s="61"/>
    </row>
    <row r="68" spans="2:18" x14ac:dyDescent="0.2">
      <c r="C68" s="35"/>
      <c r="H68" s="61"/>
      <c r="I68" s="62"/>
      <c r="J68" s="61"/>
      <c r="L68" s="61"/>
      <c r="M68" s="61"/>
      <c r="N68" s="61"/>
      <c r="Q68" s="61"/>
      <c r="R68" s="61"/>
    </row>
    <row r="69" spans="2:18" x14ac:dyDescent="0.2">
      <c r="C69" s="35"/>
      <c r="H69" s="61"/>
      <c r="I69" s="62"/>
      <c r="J69" s="61"/>
      <c r="L69" s="61"/>
      <c r="M69" s="61"/>
      <c r="N69" s="61"/>
      <c r="Q69" s="61"/>
      <c r="R69" s="61"/>
    </row>
    <row r="70" spans="2:18" x14ac:dyDescent="0.2">
      <c r="C70" s="35"/>
      <c r="H70" s="61"/>
      <c r="I70" s="62"/>
      <c r="J70" s="61"/>
      <c r="L70" s="61"/>
      <c r="M70" s="61"/>
      <c r="N70" s="61"/>
      <c r="Q70" s="61"/>
      <c r="R70" s="61"/>
    </row>
    <row r="71" spans="2:18" x14ac:dyDescent="0.2">
      <c r="C71" s="35"/>
      <c r="H71" s="61"/>
      <c r="I71" s="62"/>
      <c r="J71" s="61"/>
      <c r="L71" s="61"/>
      <c r="M71" s="61"/>
      <c r="N71" s="61"/>
      <c r="Q71" s="61"/>
      <c r="R71" s="61"/>
    </row>
    <row r="72" spans="2:18" x14ac:dyDescent="0.2">
      <c r="C72" s="35"/>
      <c r="H72" s="61"/>
      <c r="I72" s="62"/>
      <c r="J72" s="61"/>
      <c r="L72" s="61"/>
      <c r="M72" s="61"/>
      <c r="N72" s="61"/>
      <c r="Q72" s="61"/>
      <c r="R72" s="61"/>
    </row>
    <row r="73" spans="2:18" x14ac:dyDescent="0.2">
      <c r="C73" s="35"/>
      <c r="H73" s="61"/>
      <c r="I73" s="62"/>
      <c r="J73" s="61"/>
      <c r="L73" s="61"/>
      <c r="M73" s="61"/>
      <c r="N73" s="61"/>
      <c r="Q73" s="61"/>
      <c r="R73" s="61"/>
    </row>
    <row r="74" spans="2:18" x14ac:dyDescent="0.2">
      <c r="C74" s="35"/>
      <c r="H74" s="61"/>
      <c r="I74" s="62"/>
      <c r="J74" s="61"/>
      <c r="L74" s="61"/>
      <c r="M74" s="61"/>
      <c r="N74" s="61"/>
      <c r="Q74" s="61"/>
      <c r="R74" s="61"/>
    </row>
    <row r="75" spans="2:18" x14ac:dyDescent="0.2">
      <c r="C75" s="35"/>
      <c r="H75" s="61"/>
      <c r="I75" s="62"/>
      <c r="J75" s="61"/>
      <c r="L75" s="61"/>
      <c r="M75" s="61"/>
      <c r="N75" s="61"/>
      <c r="Q75" s="61"/>
      <c r="R75" s="61"/>
    </row>
    <row r="76" spans="2:18" x14ac:dyDescent="0.2">
      <c r="C76" s="35"/>
      <c r="H76" s="61"/>
      <c r="I76" s="62"/>
      <c r="J76" s="61"/>
      <c r="L76" s="61"/>
      <c r="M76" s="61"/>
      <c r="N76" s="61"/>
      <c r="Q76" s="61"/>
      <c r="R76" s="61"/>
    </row>
    <row r="77" spans="2:18" x14ac:dyDescent="0.2">
      <c r="C77" s="35"/>
      <c r="H77" s="61"/>
      <c r="I77" s="62"/>
      <c r="J77" s="61"/>
      <c r="L77" s="61"/>
      <c r="M77" s="61"/>
      <c r="N77" s="61"/>
      <c r="Q77" s="61"/>
      <c r="R77" s="61"/>
    </row>
    <row r="78" spans="2:18" x14ac:dyDescent="0.2">
      <c r="C78" s="35"/>
      <c r="H78" s="61"/>
      <c r="I78" s="62"/>
      <c r="J78" s="61"/>
      <c r="L78" s="61"/>
      <c r="M78" s="61"/>
      <c r="N78" s="61"/>
      <c r="Q78" s="61"/>
      <c r="R78" s="61"/>
    </row>
    <row r="79" spans="2:18" x14ac:dyDescent="0.2">
      <c r="C79" s="35"/>
      <c r="H79" s="61"/>
      <c r="I79" s="62"/>
      <c r="J79" s="61"/>
      <c r="L79" s="61"/>
      <c r="M79" s="61"/>
      <c r="N79" s="61"/>
      <c r="Q79" s="61"/>
      <c r="R79" s="61"/>
    </row>
    <row r="80" spans="2:18" x14ac:dyDescent="0.2">
      <c r="C80" s="35"/>
      <c r="H80" s="61"/>
      <c r="I80" s="62"/>
      <c r="J80" s="61"/>
      <c r="L80" s="61"/>
      <c r="M80" s="61"/>
      <c r="N80" s="61"/>
      <c r="Q80" s="61"/>
      <c r="R80" s="61"/>
    </row>
    <row r="81" spans="2:18" x14ac:dyDescent="0.2">
      <c r="C81" s="35"/>
      <c r="H81" s="61"/>
      <c r="I81" s="62"/>
      <c r="J81" s="61"/>
      <c r="L81" s="61"/>
      <c r="M81" s="61"/>
      <c r="N81" s="61"/>
      <c r="Q81" s="61"/>
      <c r="R81" s="61"/>
    </row>
    <row r="82" spans="2:18" x14ac:dyDescent="0.2">
      <c r="C82" s="35"/>
      <c r="H82" s="61"/>
      <c r="I82" s="62"/>
      <c r="J82" s="61"/>
      <c r="L82" s="61"/>
      <c r="M82" s="61"/>
      <c r="N82" s="61"/>
      <c r="Q82" s="61"/>
      <c r="R82" s="61"/>
    </row>
    <row r="83" spans="2:18" x14ac:dyDescent="0.2">
      <c r="C83" s="35"/>
      <c r="H83" s="61"/>
      <c r="I83" s="62"/>
      <c r="J83" s="61"/>
      <c r="L83" s="61"/>
      <c r="M83" s="61"/>
      <c r="N83" s="61"/>
      <c r="Q83" s="61"/>
      <c r="R83" s="61"/>
    </row>
    <row r="84" spans="2:18" x14ac:dyDescent="0.2">
      <c r="C84" s="35"/>
      <c r="H84" s="61"/>
      <c r="I84" s="62"/>
      <c r="J84" s="61"/>
      <c r="L84" s="61"/>
      <c r="M84" s="61"/>
      <c r="N84" s="61"/>
      <c r="Q84" s="61"/>
      <c r="R84" s="61"/>
    </row>
    <row r="85" spans="2:18" x14ac:dyDescent="0.2">
      <c r="C85" s="35"/>
      <c r="H85" s="61"/>
      <c r="I85" s="62"/>
      <c r="J85" s="61"/>
      <c r="L85" s="61"/>
      <c r="M85" s="61"/>
      <c r="N85" s="61"/>
      <c r="Q85" s="61"/>
      <c r="R85" s="61"/>
    </row>
    <row r="86" spans="2:18" x14ac:dyDescent="0.2">
      <c r="C86" s="35"/>
      <c r="H86" s="61"/>
      <c r="I86" s="62"/>
      <c r="J86" s="61"/>
      <c r="L86" s="61"/>
      <c r="M86" s="61"/>
      <c r="N86" s="61"/>
      <c r="Q86" s="61"/>
      <c r="R86" s="61"/>
    </row>
    <row r="87" spans="2:18" x14ac:dyDescent="0.2">
      <c r="C87" s="35"/>
      <c r="H87" s="61"/>
      <c r="I87" s="62"/>
      <c r="J87" s="61"/>
      <c r="L87" s="61"/>
      <c r="M87" s="61"/>
      <c r="N87" s="61"/>
      <c r="Q87" s="61"/>
      <c r="R87" s="61"/>
    </row>
    <row r="88" spans="2:18" x14ac:dyDescent="0.2">
      <c r="C88" s="35"/>
      <c r="H88" s="61"/>
      <c r="I88" s="62"/>
      <c r="J88" s="61"/>
      <c r="L88" s="61"/>
      <c r="M88" s="61"/>
      <c r="N88" s="61"/>
      <c r="Q88" s="61"/>
      <c r="R88" s="61"/>
    </row>
    <row r="89" spans="2:18" x14ac:dyDescent="0.2">
      <c r="C89" s="35"/>
      <c r="H89" s="61"/>
      <c r="I89" s="62"/>
      <c r="J89" s="61"/>
      <c r="L89" s="61"/>
      <c r="M89" s="61"/>
      <c r="N89" s="61"/>
      <c r="Q89" s="61"/>
      <c r="R89" s="61"/>
    </row>
    <row r="90" spans="2:18" x14ac:dyDescent="0.2">
      <c r="C90" s="35"/>
      <c r="H90" s="61"/>
      <c r="I90" s="62"/>
      <c r="J90" s="61"/>
      <c r="L90" s="61"/>
      <c r="M90" s="61"/>
      <c r="N90" s="61"/>
      <c r="Q90" s="61"/>
      <c r="R90" s="61"/>
    </row>
    <row r="91" spans="2:18" x14ac:dyDescent="0.2">
      <c r="B91" s="35" t="str">
        <f>IF(Lang="Français","Textes pour les listes déroulantes et graphiques :",IF(Lang="English","Texts for drop-down lists &amp; graphics :",""))</f>
        <v>Textes pour les listes déroulantes et graphiques :</v>
      </c>
      <c r="H91" s="61"/>
      <c r="I91" s="62"/>
      <c r="J91" s="61"/>
      <c r="L91" s="61"/>
      <c r="M91" s="61"/>
      <c r="N91" s="61"/>
      <c r="Q91" s="61"/>
      <c r="R91" s="61"/>
    </row>
    <row r="92" spans="2:18" x14ac:dyDescent="0.2">
      <c r="H92" s="61"/>
      <c r="I92" s="62"/>
      <c r="J92" s="61"/>
      <c r="L92" s="61"/>
      <c r="M92" s="61"/>
      <c r="N92" s="61"/>
      <c r="Q92" s="61"/>
      <c r="R92" s="61"/>
    </row>
    <row r="93" spans="2:18" x14ac:dyDescent="0.2">
      <c r="B93" s="37" t="s">
        <v>1</v>
      </c>
      <c r="H93" s="61"/>
      <c r="I93" s="62"/>
      <c r="J93" s="61"/>
      <c r="L93" s="61"/>
      <c r="M93" s="61"/>
      <c r="N93" s="61"/>
      <c r="Q93" s="61"/>
      <c r="R93" s="61"/>
    </row>
    <row r="94" spans="2:18" x14ac:dyDescent="0.2">
      <c r="B94" s="63" t="s">
        <v>68</v>
      </c>
      <c r="H94" s="61"/>
      <c r="I94" s="62"/>
      <c r="J94" s="61"/>
      <c r="L94" s="61"/>
      <c r="M94" s="61"/>
      <c r="N94" s="61"/>
      <c r="Q94" s="61"/>
      <c r="R94" s="61"/>
    </row>
    <row r="95" spans="2:18" x14ac:dyDescent="0.2">
      <c r="B95" s="63"/>
      <c r="H95" s="61"/>
      <c r="I95" s="62"/>
      <c r="J95" s="61"/>
      <c r="L95" s="61"/>
      <c r="M95" s="61"/>
      <c r="N95" s="61"/>
      <c r="Q95" s="61"/>
      <c r="R95" s="61"/>
    </row>
    <row r="96" spans="2:18" x14ac:dyDescent="0.2">
      <c r="B96" s="37" t="str">
        <f>IF(Lang="Français","Fusée à eau  ",IF(Lang="English","Water-rocket  ",""))</f>
        <v xml:space="preserve">Fusée à eau  </v>
      </c>
      <c r="H96" s="61"/>
      <c r="I96" s="62"/>
      <c r="J96" s="61"/>
      <c r="L96" s="61"/>
      <c r="M96" s="61"/>
      <c r="N96" s="61"/>
      <c r="Q96" s="61"/>
      <c r="R96" s="61"/>
    </row>
    <row r="97" spans="2:18" x14ac:dyDescent="0.2">
      <c r="B97" s="37" t="str">
        <f>IF(Lang="Français","Microfusée",IF(Lang="English","Micro-rocket",""))</f>
        <v>Microfusée</v>
      </c>
      <c r="H97" s="61"/>
      <c r="I97" s="62"/>
      <c r="J97" s="61"/>
      <c r="L97" s="61"/>
      <c r="M97" s="61"/>
      <c r="N97" s="61"/>
      <c r="Q97" s="61"/>
      <c r="R97" s="61"/>
    </row>
    <row r="98" spans="2:18" x14ac:dyDescent="0.2">
      <c r="B98" s="37" t="str">
        <f>IF(Lang="Français","Minifusée",IF(Lang="English","Mini-rocket",""))</f>
        <v>Minifusée</v>
      </c>
      <c r="H98" s="61"/>
      <c r="I98" s="62"/>
      <c r="J98" s="61"/>
      <c r="L98" s="61"/>
      <c r="M98" s="61"/>
      <c r="N98" s="61"/>
      <c r="Q98" s="61"/>
      <c r="R98" s="61"/>
    </row>
    <row r="99" spans="2:18" x14ac:dyDescent="0.2">
      <c r="B99" s="37" t="s">
        <v>399</v>
      </c>
      <c r="H99" s="61"/>
      <c r="I99" s="62"/>
      <c r="J99" s="61"/>
      <c r="L99" s="61"/>
      <c r="M99" s="61"/>
      <c r="N99" s="61"/>
      <c r="Q99" s="61"/>
      <c r="R99" s="61"/>
    </row>
    <row r="100" spans="2:18" x14ac:dyDescent="0.2">
      <c r="B100" s="37" t="str">
        <f>IF(Lang="Français","Fusée expérimentale.",IF(Lang="English","Experimental Rocket.",""))</f>
        <v>Fusée expérimentale.</v>
      </c>
      <c r="H100" s="61"/>
      <c r="I100" s="62"/>
      <c r="J100" s="61"/>
      <c r="L100" s="61"/>
      <c r="M100" s="61"/>
      <c r="N100" s="61"/>
      <c r="Q100" s="61"/>
      <c r="R100" s="61"/>
    </row>
    <row r="101" spans="2:18" x14ac:dyDescent="0.2">
      <c r="B101" s="37" t="s">
        <v>400</v>
      </c>
      <c r="H101" s="61"/>
      <c r="I101" s="62"/>
      <c r="J101" s="61"/>
      <c r="L101" s="61"/>
      <c r="M101" s="61"/>
      <c r="N101" s="61"/>
      <c r="Q101" s="61"/>
      <c r="R101" s="61"/>
    </row>
    <row r="102" spans="2:18" x14ac:dyDescent="0.2">
      <c r="B102" s="37"/>
      <c r="H102" s="61"/>
      <c r="I102" s="62"/>
      <c r="J102" s="61"/>
      <c r="L102" s="61"/>
      <c r="M102" s="61"/>
      <c r="N102" s="61"/>
      <c r="Q102" s="61"/>
      <c r="R102" s="61"/>
    </row>
    <row r="103" spans="2:18" x14ac:dyDescent="0.2">
      <c r="B103" s="37" t="str">
        <f>IF(Lang="Français","sans propu",IF(Lang="English","without motor",""))</f>
        <v>sans propu</v>
      </c>
      <c r="H103" s="61"/>
      <c r="I103" s="62"/>
      <c r="J103" s="61"/>
      <c r="L103" s="61"/>
      <c r="M103" s="61"/>
      <c r="N103" s="61"/>
      <c r="Q103" s="61"/>
      <c r="R103" s="61"/>
    </row>
    <row r="104" spans="2:18" x14ac:dyDescent="0.2">
      <c r="B104" s="37" t="str">
        <f>IF(Lang="Français","avec propu vide",IF(Lang="English","with empty motor",""))</f>
        <v>avec propu vide</v>
      </c>
      <c r="H104" s="61"/>
      <c r="I104" s="62"/>
      <c r="J104" s="61"/>
      <c r="L104" s="61"/>
      <c r="M104" s="61"/>
      <c r="N104" s="61"/>
      <c r="Q104" s="61"/>
      <c r="R104" s="61"/>
    </row>
    <row r="105" spans="2:18" x14ac:dyDescent="0.2">
      <c r="B105" s="37" t="str">
        <f>IF(Lang="Français","avec propu plein",IF(Lang="English","with loaded motor",""))</f>
        <v>avec propu plein</v>
      </c>
      <c r="H105" s="61"/>
      <c r="I105" s="62"/>
      <c r="J105" s="61"/>
      <c r="L105" s="61"/>
      <c r="M105" s="61"/>
      <c r="N105" s="61"/>
      <c r="Q105" s="61"/>
      <c r="R105" s="61"/>
    </row>
    <row r="106" spans="2:18" x14ac:dyDescent="0.2">
      <c r="B106" s="37"/>
      <c r="H106" s="61"/>
      <c r="I106" s="62"/>
      <c r="J106" s="61"/>
      <c r="L106" s="61"/>
      <c r="M106" s="61"/>
      <c r="N106" s="61"/>
      <c r="Q106" s="61"/>
      <c r="R106" s="61"/>
    </row>
    <row r="107" spans="2:18" x14ac:dyDescent="0.2">
      <c r="B107" s="37" t="str">
        <f>IF(Lang="Français","Parabolique (arrondie)",IF(Lang="English","Parabola (rounded)",""))</f>
        <v>Parabolique (arrondie)</v>
      </c>
      <c r="H107" s="61"/>
      <c r="I107" s="62"/>
      <c r="J107" s="61"/>
      <c r="L107" s="61"/>
      <c r="M107" s="61"/>
      <c r="N107" s="61"/>
      <c r="Q107" s="61"/>
      <c r="R107" s="61"/>
    </row>
    <row r="108" spans="2:18" x14ac:dyDescent="0.2">
      <c r="B108" s="63" t="str">
        <f>IF(Lang="Français","Ogivale (pointue)",IF(Lang="English","Ogive (sharp)",""))</f>
        <v>Ogivale (pointue)</v>
      </c>
      <c r="H108" s="61"/>
      <c r="I108" s="62"/>
      <c r="J108" s="61"/>
      <c r="L108" s="61"/>
      <c r="M108" s="61"/>
      <c r="N108" s="61"/>
      <c r="Q108" s="61"/>
      <c r="R108" s="61"/>
    </row>
    <row r="109" spans="2:18" x14ac:dyDescent="0.2">
      <c r="B109" s="37" t="str">
        <f>IF(Lang="Français","Conique (droite)",IF(Lang="English","Cone (straight)",""))</f>
        <v>Conique (droite)</v>
      </c>
      <c r="H109" s="61"/>
      <c r="I109" s="62"/>
      <c r="J109" s="61"/>
      <c r="L109" s="61"/>
      <c r="M109" s="61"/>
      <c r="N109" s="61"/>
      <c r="Q109" s="61"/>
      <c r="R109" s="61"/>
    </row>
    <row r="110" spans="2:18" x14ac:dyDescent="0.2">
      <c r="B110" s="64"/>
      <c r="H110" s="61"/>
      <c r="I110" s="62"/>
      <c r="J110" s="61"/>
      <c r="L110" s="61"/>
      <c r="M110" s="61"/>
      <c r="N110" s="61"/>
      <c r="Q110" s="61"/>
      <c r="R110" s="61"/>
    </row>
    <row r="111" spans="2:18" x14ac:dyDescent="0.2">
      <c r="B111" s="65" t="s">
        <v>426</v>
      </c>
      <c r="H111" s="61"/>
      <c r="I111" s="62"/>
      <c r="J111" s="61"/>
      <c r="L111" s="61"/>
      <c r="M111" s="61"/>
      <c r="N111" s="61"/>
      <c r="Q111" s="61"/>
      <c r="R111" s="61"/>
    </row>
    <row r="112" spans="2:18" x14ac:dyDescent="0.2">
      <c r="B112" s="65" t="s">
        <v>427</v>
      </c>
      <c r="H112" s="61"/>
      <c r="I112" s="62"/>
      <c r="J112" s="61"/>
      <c r="L112" s="61"/>
      <c r="M112" s="61"/>
      <c r="N112" s="61"/>
      <c r="Q112" s="61"/>
      <c r="R112" s="61"/>
    </row>
    <row r="113" spans="2:18" x14ac:dyDescent="0.2">
      <c r="B113" s="64"/>
      <c r="H113" s="61"/>
      <c r="I113" s="62"/>
      <c r="J113" s="61"/>
      <c r="L113" s="61"/>
      <c r="M113" s="61"/>
      <c r="N113" s="61"/>
      <c r="Q113" s="61"/>
      <c r="R113" s="61"/>
    </row>
    <row r="114" spans="2:18" x14ac:dyDescent="0.2">
      <c r="B114" s="65" t="str">
        <f>IF(Lang="Français","Fusée mono-diamètre,",IF(Lang="English","Mono-diameter rocket,",""))</f>
        <v>Fusée mono-diamètre,</v>
      </c>
      <c r="H114" s="61"/>
      <c r="I114" s="62"/>
      <c r="J114" s="61"/>
      <c r="L114" s="61"/>
      <c r="M114" s="61"/>
      <c r="N114" s="61"/>
      <c r="Q114" s="61"/>
      <c r="R114" s="61"/>
    </row>
    <row r="115" spans="2:18" x14ac:dyDescent="0.2">
      <c r="B115" s="65" t="str">
        <f>IF(Lang="Français","Plusieurs diamètres.",IF(Lang="English","Many diameters rocket.",""))</f>
        <v>Plusieurs diamètres.</v>
      </c>
      <c r="H115" s="61"/>
      <c r="I115" s="62"/>
      <c r="J115" s="61"/>
      <c r="L115" s="61"/>
      <c r="M115" s="61"/>
      <c r="N115" s="61"/>
      <c r="Q115" s="61"/>
      <c r="R115" s="61"/>
    </row>
    <row r="116" spans="2:18" x14ac:dyDescent="0.2">
      <c r="B116" s="65"/>
      <c r="H116" s="61"/>
      <c r="I116" s="62"/>
      <c r="J116" s="61"/>
      <c r="L116" s="61"/>
      <c r="M116" s="61"/>
      <c r="N116" s="61"/>
      <c r="Q116" s="61"/>
      <c r="R116" s="61"/>
    </row>
    <row r="117" spans="2:18" x14ac:dyDescent="0.2">
      <c r="B117" s="261" t="str">
        <f>IF(Lang="Français","Diagramme des critères de stabilité","Stability criterions diagram")</f>
        <v>Diagramme des critères de stabilité</v>
      </c>
      <c r="H117" s="61"/>
      <c r="I117" s="62"/>
      <c r="J117" s="61"/>
      <c r="L117" s="61"/>
      <c r="M117" s="61"/>
      <c r="N117" s="61"/>
      <c r="Q117" s="61"/>
      <c r="R117" s="61"/>
    </row>
    <row r="118" spans="2:18" x14ac:dyDescent="0.2">
      <c r="B118" s="261" t="str">
        <f>IF(Lang="Français","Marge Statique (MS)","Static Margin")</f>
        <v>Marge Statique (MS)</v>
      </c>
      <c r="H118" s="61"/>
      <c r="I118" s="62"/>
      <c r="J118" s="61"/>
      <c r="L118" s="61"/>
      <c r="M118" s="61"/>
      <c r="N118" s="61"/>
      <c r="Q118" s="61"/>
      <c r="R118" s="61"/>
    </row>
    <row r="119" spans="2:18" x14ac:dyDescent="0.2">
      <c r="B119" s="261" t="str">
        <f>IF(Lang="Français","Portance Cnα","Lift Cnα")</f>
        <v>Portance Cnα</v>
      </c>
      <c r="H119" s="61"/>
      <c r="I119" s="62"/>
      <c r="J119" s="61"/>
      <c r="L119" s="61"/>
      <c r="M119" s="61"/>
      <c r="N119" s="61"/>
      <c r="Q119" s="61"/>
      <c r="R119" s="61"/>
    </row>
    <row r="120" spans="2:18" x14ac:dyDescent="0.2">
      <c r="B120" s="65"/>
      <c r="H120" s="61"/>
      <c r="I120" s="62"/>
      <c r="J120" s="61"/>
      <c r="L120" s="61"/>
      <c r="M120" s="61"/>
      <c r="N120" s="61"/>
      <c r="Q120" s="61"/>
      <c r="R120" s="61"/>
    </row>
    <row r="121" spans="2:18" x14ac:dyDescent="0.2">
      <c r="B121" s="35" t="str">
        <f>IF(Lang="Français","Données pour les graphiques :",IF(Lang="English","Data for plots:",""))</f>
        <v>Données pour les graphiques :</v>
      </c>
      <c r="H121" s="61"/>
      <c r="I121" s="62"/>
      <c r="J121" s="61"/>
      <c r="L121" s="61"/>
      <c r="M121" s="61"/>
      <c r="N121" s="61"/>
      <c r="Q121" s="61"/>
      <c r="R121" s="61"/>
    </row>
    <row r="122" spans="2:18" x14ac:dyDescent="0.2">
      <c r="H122" s="61"/>
      <c r="I122" s="62"/>
      <c r="J122" s="61"/>
      <c r="L122" s="61"/>
      <c r="M122" s="61"/>
      <c r="N122" s="61"/>
      <c r="Q122" s="61"/>
      <c r="R122" s="61"/>
    </row>
    <row r="123" spans="2:18" x14ac:dyDescent="0.2">
      <c r="B123" s="66"/>
      <c r="C123" s="66" t="s">
        <v>69</v>
      </c>
      <c r="D123" s="66" t="s">
        <v>70</v>
      </c>
      <c r="E123" s="120" t="s">
        <v>71</v>
      </c>
      <c r="K123" s="66"/>
      <c r="R123" s="61"/>
    </row>
    <row r="124" spans="2:18" x14ac:dyDescent="0.2">
      <c r="B124" s="66" t="s">
        <v>73</v>
      </c>
      <c r="C124" s="67">
        <f>-Long_ogive</f>
        <v>-40</v>
      </c>
      <c r="D124" s="67">
        <v>0</v>
      </c>
      <c r="E124" s="121">
        <f t="shared" ref="E124:E136" si="0">-D124</f>
        <v>0</v>
      </c>
      <c r="K124" s="67"/>
    </row>
    <row r="125" spans="2:18" x14ac:dyDescent="0.2">
      <c r="B125" s="66" t="s">
        <v>73</v>
      </c>
      <c r="C125" s="67">
        <f>-Long_ogive</f>
        <v>-40</v>
      </c>
      <c r="D125" s="67">
        <f>D_og/2</f>
        <v>45</v>
      </c>
      <c r="E125" s="121">
        <f t="shared" si="0"/>
        <v>-45</v>
      </c>
      <c r="K125" s="67"/>
    </row>
    <row r="126" spans="2:18" x14ac:dyDescent="0.2">
      <c r="B126" s="66" t="s">
        <v>74</v>
      </c>
      <c r="C126" s="67">
        <f>IF(AND(RIGHT(Nb_diam,1)=".",X_j), -X_j, C125 )</f>
        <v>-40</v>
      </c>
      <c r="D126" s="67">
        <f>IF(AND(RIGHT(Nb_diam,1)=".",X_j), D1j/2, D125 )</f>
        <v>45</v>
      </c>
      <c r="E126" s="121">
        <f t="shared" si="0"/>
        <v>-45</v>
      </c>
      <c r="K126" s="67"/>
    </row>
    <row r="127" spans="2:18" x14ac:dyDescent="0.2">
      <c r="B127" s="66" t="s">
        <v>75</v>
      </c>
      <c r="C127" s="67">
        <f>IF(AND(RIGHT(Nb_diam,1)=".",X_j), -X_j-l_j, C126 )</f>
        <v>-228</v>
      </c>
      <c r="D127" s="67">
        <f>IF(AND(RIGHT(Nb_diam,1)=".",X_j), D2j/2, D126 )</f>
        <v>50</v>
      </c>
      <c r="E127" s="121">
        <f t="shared" si="0"/>
        <v>-50</v>
      </c>
      <c r="K127" s="67"/>
    </row>
    <row r="128" spans="2:18" x14ac:dyDescent="0.2">
      <c r="B128" s="66" t="s">
        <v>76</v>
      </c>
      <c r="C128" s="67">
        <f>IF(AND(RIGHT(Nb_diam,1)=".",X_r), -X_r, C127 )</f>
        <v>-500</v>
      </c>
      <c r="D128" s="67">
        <f>IF(AND(RIGHT(Nb_diam,1)=".",X_r), D1r/2, D127 )</f>
        <v>50</v>
      </c>
      <c r="E128" s="121">
        <f t="shared" si="0"/>
        <v>-50</v>
      </c>
      <c r="K128" s="67"/>
    </row>
    <row r="129" spans="2:11" x14ac:dyDescent="0.2">
      <c r="B129" s="66" t="s">
        <v>77</v>
      </c>
      <c r="C129" s="67">
        <f>IF(AND(RIGHT(Nb_diam,1)=".",X_r), -X_r-l_r, C128 )</f>
        <v>-550</v>
      </c>
      <c r="D129" s="67">
        <f>IF(AND(RIGHT(Nb_diam,1)=".",X_r), D2r/2, D128 )</f>
        <v>50</v>
      </c>
      <c r="E129" s="121">
        <f t="shared" si="0"/>
        <v>-50</v>
      </c>
      <c r="K129" s="67"/>
    </row>
    <row r="130" spans="2:11" x14ac:dyDescent="0.2">
      <c r="B130" s="66" t="s">
        <v>78</v>
      </c>
      <c r="C130" s="67">
        <f>-Long_tot</f>
        <v>-2195</v>
      </c>
      <c r="D130" s="67">
        <f>D129</f>
        <v>50</v>
      </c>
      <c r="E130" s="121">
        <f t="shared" si="0"/>
        <v>-50</v>
      </c>
      <c r="K130" s="67"/>
    </row>
    <row r="131" spans="2:11" x14ac:dyDescent="0.2">
      <c r="B131" s="66" t="s">
        <v>78</v>
      </c>
      <c r="C131" s="67">
        <f>-Long_tot</f>
        <v>-2195</v>
      </c>
      <c r="D131" s="67">
        <v>0</v>
      </c>
      <c r="E131" s="121">
        <f t="shared" si="0"/>
        <v>0</v>
      </c>
      <c r="K131" s="67"/>
    </row>
    <row r="132" spans="2:11" x14ac:dyDescent="0.2">
      <c r="B132" s="217" t="s">
        <v>79</v>
      </c>
      <c r="C132" s="231">
        <f>-X_ail+m_ail</f>
        <v>-1895</v>
      </c>
      <c r="D132" s="231">
        <f>D_ail/2</f>
        <v>50</v>
      </c>
      <c r="E132" s="232">
        <f t="shared" si="0"/>
        <v>-50</v>
      </c>
      <c r="K132" s="67"/>
    </row>
    <row r="133" spans="2:11" x14ac:dyDescent="0.2">
      <c r="B133" s="219" t="s">
        <v>80</v>
      </c>
      <c r="C133" s="233">
        <f>-X_ail+m_ail-p_ail</f>
        <v>-1968</v>
      </c>
      <c r="D133" s="233">
        <f>D_ail/2+E_ail</f>
        <v>175</v>
      </c>
      <c r="E133" s="234">
        <f t="shared" si="0"/>
        <v>-175</v>
      </c>
      <c r="K133" s="67"/>
    </row>
    <row r="134" spans="2:11" x14ac:dyDescent="0.2">
      <c r="B134" s="219" t="s">
        <v>81</v>
      </c>
      <c r="C134" s="233">
        <f>-X_ail+m_ail-p_ail-n_ail</f>
        <v>-2118</v>
      </c>
      <c r="D134" s="233">
        <f>D_ail/2+E_ail</f>
        <v>175</v>
      </c>
      <c r="E134" s="234">
        <f t="shared" si="0"/>
        <v>-175</v>
      </c>
      <c r="K134" s="67"/>
    </row>
    <row r="135" spans="2:11" x14ac:dyDescent="0.2">
      <c r="B135" s="219" t="s">
        <v>82</v>
      </c>
      <c r="C135" s="233">
        <f>-X_ail</f>
        <v>-2185</v>
      </c>
      <c r="D135" s="233">
        <f>D_ail/2</f>
        <v>50</v>
      </c>
      <c r="E135" s="234">
        <f t="shared" si="0"/>
        <v>-50</v>
      </c>
      <c r="K135" s="67"/>
    </row>
    <row r="136" spans="2:11" x14ac:dyDescent="0.2">
      <c r="B136" s="221" t="s">
        <v>79</v>
      </c>
      <c r="C136" s="235">
        <f>-X_ail+m_ail</f>
        <v>-1895</v>
      </c>
      <c r="D136" s="235">
        <f>D_ail/2</f>
        <v>50</v>
      </c>
      <c r="E136" s="236">
        <f t="shared" si="0"/>
        <v>-50</v>
      </c>
      <c r="K136" s="67"/>
    </row>
    <row r="137" spans="2:11" x14ac:dyDescent="0.2">
      <c r="B137" s="226" t="str">
        <f>IF(E_ail&gt;0,IF(Lang="Français","Envergure","Span"),"")</f>
        <v>Envergure</v>
      </c>
      <c r="C137" s="231">
        <f>MIN(-X_ail,-X_ail+m_ail-p_ail-n_ail)-Long_tot/30</f>
        <v>-2258.1666666666665</v>
      </c>
      <c r="D137" s="242">
        <f>-D_ail/2-E_ail</f>
        <v>-175</v>
      </c>
      <c r="E137" s="247"/>
      <c r="K137" s="67"/>
    </row>
    <row r="138" spans="2:11" x14ac:dyDescent="0.2">
      <c r="B138" s="229" t="s">
        <v>167</v>
      </c>
      <c r="C138" s="233">
        <f>MIN(-X_ail,-X_ail+m_ail-p_ail-n_ail)-Long_tot/30</f>
        <v>-2258.1666666666665</v>
      </c>
      <c r="D138" s="243">
        <f>-D_ail/2-E_ail/2</f>
        <v>-112.5</v>
      </c>
      <c r="E138" s="247"/>
      <c r="K138" s="67"/>
    </row>
    <row r="139" spans="2:11" x14ac:dyDescent="0.2">
      <c r="B139" s="248" t="s">
        <v>163</v>
      </c>
      <c r="C139" s="235">
        <f>MIN(-X_ail,-X_ail+m_ail-p_ail-n_ail)-Long_tot/30</f>
        <v>-2258.1666666666665</v>
      </c>
      <c r="D139" s="244">
        <f>-D_ail/2</f>
        <v>-50</v>
      </c>
      <c r="E139" s="247"/>
      <c r="K139" s="67"/>
    </row>
    <row r="140" spans="2:11" x14ac:dyDescent="0.2">
      <c r="B140" s="226" t="str">
        <f>IF(Lang="Français","Emplanture","Root edge")</f>
        <v>Emplanture</v>
      </c>
      <c r="C140" s="231">
        <f>-X_ail+m_ail</f>
        <v>-1895</v>
      </c>
      <c r="D140" s="242">
        <f>D_ail/2+E_ail+Long_tot/20</f>
        <v>284.75</v>
      </c>
      <c r="E140" s="247"/>
      <c r="K140" s="67"/>
    </row>
    <row r="141" spans="2:11" x14ac:dyDescent="0.2">
      <c r="B141" s="229" t="s">
        <v>169</v>
      </c>
      <c r="C141" s="233">
        <f>-X_ail+m_ail/2</f>
        <v>-2040</v>
      </c>
      <c r="D141" s="243">
        <f>D_ail/2+E_ail+Long_tot/20</f>
        <v>284.75</v>
      </c>
      <c r="E141" s="247"/>
      <c r="K141" s="67"/>
    </row>
    <row r="142" spans="2:11" x14ac:dyDescent="0.2">
      <c r="B142" s="248" t="s">
        <v>170</v>
      </c>
      <c r="C142" s="235">
        <f>-X_ail</f>
        <v>-2185</v>
      </c>
      <c r="D142" s="244">
        <f>D_ail/2+E_ail+Long_tot/20</f>
        <v>284.75</v>
      </c>
      <c r="E142" s="247"/>
      <c r="K142" s="67"/>
    </row>
    <row r="143" spans="2:11" x14ac:dyDescent="0.2">
      <c r="B143" s="226" t="str">
        <f>IF(p_ail&lt;&gt;0,IF(Lang="Français","Flèche","Offset"),"")</f>
        <v>Flèche</v>
      </c>
      <c r="C143" s="231">
        <f>-X_ail+m_ail</f>
        <v>-1895</v>
      </c>
      <c r="D143" s="242">
        <f>-D_ail/2-E_ail-Long_tot/30</f>
        <v>-248.16666666666669</v>
      </c>
      <c r="E143" s="247"/>
      <c r="K143" s="67"/>
    </row>
    <row r="144" spans="2:11" x14ac:dyDescent="0.2">
      <c r="B144" s="229" t="s">
        <v>166</v>
      </c>
      <c r="C144" s="233">
        <f>-X_ail+m_ail-p_ail/2</f>
        <v>-1931.5</v>
      </c>
      <c r="D144" s="243">
        <f>-D_ail/2-E_ail-Long_tot/30</f>
        <v>-248.16666666666669</v>
      </c>
      <c r="E144" s="247"/>
      <c r="K144" s="67"/>
    </row>
    <row r="145" spans="2:11" x14ac:dyDescent="0.2">
      <c r="B145" s="248" t="s">
        <v>164</v>
      </c>
      <c r="C145" s="235">
        <f>-X_ail+m_ail-p_ail</f>
        <v>-1968</v>
      </c>
      <c r="D145" s="244">
        <f>-D_ail/2-E_ail-Long_tot/30</f>
        <v>-248.16666666666669</v>
      </c>
      <c r="E145" s="247"/>
      <c r="K145" s="67"/>
    </row>
    <row r="146" spans="2:11" x14ac:dyDescent="0.2">
      <c r="B146" s="226" t="str">
        <f>IF(n_ail&gt;0,IF(Lang="Français","Saumon","Tip edge"),"")</f>
        <v>Saumon</v>
      </c>
      <c r="C146" s="231">
        <f>-X_ail+m_ail-p_ail</f>
        <v>-1968</v>
      </c>
      <c r="D146" s="242">
        <f>-D_ail/2-E_ail-Long_tot/20</f>
        <v>-284.75</v>
      </c>
      <c r="E146" s="247"/>
      <c r="K146" s="67"/>
    </row>
    <row r="147" spans="2:11" x14ac:dyDescent="0.2">
      <c r="B147" s="229" t="s">
        <v>168</v>
      </c>
      <c r="C147" s="233">
        <f>-X_ail+m_ail-p_ail-n_ail/2</f>
        <v>-2043</v>
      </c>
      <c r="D147" s="243">
        <f>-D_ail/2-E_ail-Long_tot/20</f>
        <v>-284.75</v>
      </c>
      <c r="E147" s="247"/>
      <c r="K147" s="67"/>
    </row>
    <row r="148" spans="2:11" x14ac:dyDescent="0.2">
      <c r="B148" s="248" t="s">
        <v>165</v>
      </c>
      <c r="C148" s="235">
        <f>-X_ail+m_ail-p_ail-n_ail</f>
        <v>-2118</v>
      </c>
      <c r="D148" s="244">
        <f>-D_ail/2-E_ail-Long_tot/20</f>
        <v>-284.75</v>
      </c>
      <c r="E148" s="247"/>
      <c r="K148" s="67"/>
    </row>
    <row r="149" spans="2:11" x14ac:dyDescent="0.2">
      <c r="B149" s="217" t="s">
        <v>83</v>
      </c>
      <c r="C149" s="231">
        <f ca="1">-XcgPlein</f>
        <v>-1320.6702071163038</v>
      </c>
      <c r="D149" s="242">
        <v>0</v>
      </c>
      <c r="E149" s="121"/>
      <c r="K149" s="67"/>
    </row>
    <row r="150" spans="2:11" x14ac:dyDescent="0.2">
      <c r="B150" s="221" t="s">
        <v>84</v>
      </c>
      <c r="C150" s="235">
        <f ca="1">-XcgVide</f>
        <v>-1240.3617275113338</v>
      </c>
      <c r="D150" s="244">
        <v>0</v>
      </c>
      <c r="E150" s="121"/>
      <c r="K150" s="67"/>
    </row>
    <row r="151" spans="2:11" x14ac:dyDescent="0.2">
      <c r="B151" s="217" t="s">
        <v>85</v>
      </c>
      <c r="C151" s="231">
        <f>-XCp</f>
        <v>-1550.4006852519308</v>
      </c>
      <c r="D151" s="242">
        <v>0</v>
      </c>
      <c r="E151" s="121"/>
      <c r="K151" s="67"/>
    </row>
    <row r="152" spans="2:11" x14ac:dyDescent="0.2">
      <c r="B152" s="221" t="s">
        <v>85</v>
      </c>
      <c r="C152" s="235">
        <f>-XCp</f>
        <v>-1550.4006852519308</v>
      </c>
      <c r="D152" s="244">
        <f>Cn*D_ref/CritCnmin</f>
        <v>121.89317579770717</v>
      </c>
      <c r="E152" s="121"/>
      <c r="K152" s="67"/>
    </row>
    <row r="153" spans="2:11" x14ac:dyDescent="0.2">
      <c r="B153" s="219" t="s">
        <v>424</v>
      </c>
      <c r="C153" s="233">
        <f>-XCp0</f>
        <v>-1580.1750857479801</v>
      </c>
      <c r="D153" s="243">
        <f>Cn0*D_ref/CritCnmin</f>
        <v>131.09588785996999</v>
      </c>
      <c r="E153" s="121"/>
      <c r="K153" s="67"/>
    </row>
    <row r="154" spans="2:11" x14ac:dyDescent="0.2">
      <c r="B154" s="219" t="s">
        <v>424</v>
      </c>
      <c r="C154" s="233">
        <f>-XCp0</f>
        <v>-1580.1750857479801</v>
      </c>
      <c r="D154" s="243">
        <v>0</v>
      </c>
      <c r="E154" s="121"/>
      <c r="K154" s="67"/>
    </row>
    <row r="155" spans="2:11" x14ac:dyDescent="0.2">
      <c r="B155" s="226" t="str">
        <f>IF(n_ail&gt;0,IF(Lang="Français","Marge Statique","Static Margin"),"")</f>
        <v>Marge Statique</v>
      </c>
      <c r="C155" s="231">
        <f ca="1">(-XcgPlein-XcgVide)/2</f>
        <v>-1280.5159673138187</v>
      </c>
      <c r="D155" s="242">
        <f>-D_ail/2-E_ail-Long_tot/20</f>
        <v>-284.75</v>
      </c>
      <c r="E155" s="121"/>
      <c r="K155" s="67"/>
    </row>
    <row r="156" spans="2:11" x14ac:dyDescent="0.2">
      <c r="B156" s="229" t="s">
        <v>171</v>
      </c>
      <c r="C156" s="233">
        <f ca="1">(C155+C157)/2</f>
        <v>-1415.4583262828746</v>
      </c>
      <c r="D156" s="243">
        <f>-D_ail/2-E_ail-Long_tot/20</f>
        <v>-284.75</v>
      </c>
      <c r="E156" s="121"/>
      <c r="K156" s="67"/>
    </row>
    <row r="157" spans="2:11" x14ac:dyDescent="0.2">
      <c r="B157" s="248" t="s">
        <v>172</v>
      </c>
      <c r="C157" s="235">
        <f>-XCp</f>
        <v>-1550.4006852519308</v>
      </c>
      <c r="D157" s="244">
        <f>-D_ail/2-E_ail-Long_tot/20</f>
        <v>-284.75</v>
      </c>
      <c r="E157" s="121"/>
      <c r="K157" s="67"/>
    </row>
    <row r="158" spans="2:11" x14ac:dyDescent="0.2">
      <c r="B158" s="217" t="s">
        <v>86</v>
      </c>
      <c r="C158" s="231">
        <f>IF(LEFT(Type_masquage,1)="M",0,-X_can+m_can)</f>
        <v>-450</v>
      </c>
      <c r="D158" s="231">
        <f>IF(LEFT(Type_masquage,1)="M",0,D_ail/2)</f>
        <v>50</v>
      </c>
      <c r="E158" s="232">
        <f t="shared" ref="E158:E167" si="1">-D158</f>
        <v>-50</v>
      </c>
      <c r="K158" s="67"/>
    </row>
    <row r="159" spans="2:11" x14ac:dyDescent="0.2">
      <c r="B159" s="219" t="s">
        <v>87</v>
      </c>
      <c r="C159" s="233">
        <f>IF(LEFT(Type_masquage,1)="M",0,-X_can+m_can-p_can)</f>
        <v>-450</v>
      </c>
      <c r="D159" s="233">
        <f>IF(LEFT(Type_masquage,1)="M",0,D_ail/2+E_can)</f>
        <v>98</v>
      </c>
      <c r="E159" s="234">
        <f t="shared" si="1"/>
        <v>-98</v>
      </c>
      <c r="K159" s="67"/>
    </row>
    <row r="160" spans="2:11" x14ac:dyDescent="0.2">
      <c r="B160" s="219" t="s">
        <v>88</v>
      </c>
      <c r="C160" s="233">
        <f>IF(LEFT(Type_masquage,1)="M",0,-X_can+m_can-p_can-n_can)</f>
        <v>-600</v>
      </c>
      <c r="D160" s="233">
        <f>IF(LEFT(Type_masquage,1)="M",0,D_ail/2+E_can)</f>
        <v>98</v>
      </c>
      <c r="E160" s="234">
        <f t="shared" si="1"/>
        <v>-98</v>
      </c>
      <c r="K160" s="67"/>
    </row>
    <row r="161" spans="2:11" x14ac:dyDescent="0.2">
      <c r="B161" s="219" t="s">
        <v>89</v>
      </c>
      <c r="C161" s="233">
        <f>IF(LEFT(Type_masquage,1)="M",0,-X_can)</f>
        <v>-600</v>
      </c>
      <c r="D161" s="233">
        <f>IF(LEFT(Type_masquage,1)="M",0,D_ail/2)</f>
        <v>50</v>
      </c>
      <c r="E161" s="234">
        <f t="shared" si="1"/>
        <v>-50</v>
      </c>
      <c r="K161" s="67"/>
    </row>
    <row r="162" spans="2:11" x14ac:dyDescent="0.2">
      <c r="B162" s="221" t="s">
        <v>86</v>
      </c>
      <c r="C162" s="235">
        <f>IF(LEFT(Type_masquage,1)="M",0,-X_can+m_can)</f>
        <v>-450</v>
      </c>
      <c r="D162" s="235">
        <f>IF(LEFT(Type_masquage,1)="M",0,D_ail/2)</f>
        <v>50</v>
      </c>
      <c r="E162" s="236">
        <f t="shared" si="1"/>
        <v>-50</v>
      </c>
      <c r="K162" s="67"/>
    </row>
    <row r="163" spans="2:11" x14ac:dyDescent="0.2">
      <c r="B163" s="217" t="s">
        <v>90</v>
      </c>
      <c r="C163" s="231">
        <f>IF(LEFT(Type_masquage,1)="B",-X_int+m_int,0)</f>
        <v>-1895</v>
      </c>
      <c r="D163" s="231">
        <f>IF(LEFT(Type_masquage,1)="B",D_int/2,0)</f>
        <v>50</v>
      </c>
      <c r="E163" s="232">
        <f t="shared" si="1"/>
        <v>-50</v>
      </c>
      <c r="K163" s="67"/>
    </row>
    <row r="164" spans="2:11" x14ac:dyDescent="0.2">
      <c r="B164" s="219" t="s">
        <v>91</v>
      </c>
      <c r="C164" s="233">
        <f>IF(LEFT(Type_masquage,1)="B",-X_int+m_int-p_int,0)</f>
        <v>-1923.0319999999999</v>
      </c>
      <c r="D164" s="233">
        <f>IF(LEFT(Type_masquage,1)="B",D_int/2+E_int,0)</f>
        <v>98</v>
      </c>
      <c r="E164" s="234">
        <f t="shared" si="1"/>
        <v>-98</v>
      </c>
      <c r="K164" s="67"/>
    </row>
    <row r="165" spans="2:11" x14ac:dyDescent="0.2">
      <c r="B165" s="219" t="s">
        <v>92</v>
      </c>
      <c r="C165" s="233">
        <f>IF(LEFT(Type_masquage,1)="B",-X_int+m_int-p_int-n_int,0)</f>
        <v>-2159.2719999999999</v>
      </c>
      <c r="D165" s="233">
        <f>IF(LEFT(Type_masquage,1)="B",D_int/2+E_int,0)</f>
        <v>98</v>
      </c>
      <c r="E165" s="234">
        <f t="shared" si="1"/>
        <v>-98</v>
      </c>
      <c r="K165" s="67"/>
    </row>
    <row r="166" spans="2:11" x14ac:dyDescent="0.2">
      <c r="B166" s="219" t="s">
        <v>93</v>
      </c>
      <c r="C166" s="233">
        <f>IF(LEFT(Type_masquage,1)="B",-X_int,0)</f>
        <v>-2185</v>
      </c>
      <c r="D166" s="233">
        <f>IF(LEFT(Type_masquage,1)="B",D_int/2,0)</f>
        <v>50</v>
      </c>
      <c r="E166" s="234">
        <f t="shared" si="1"/>
        <v>-50</v>
      </c>
      <c r="K166" s="67"/>
    </row>
    <row r="167" spans="2:11" x14ac:dyDescent="0.2">
      <c r="B167" s="221" t="s">
        <v>90</v>
      </c>
      <c r="C167" s="235">
        <f>IF(LEFT(Type_masquage,1)="B",-X_int+m_int,0)</f>
        <v>-1895</v>
      </c>
      <c r="D167" s="235">
        <f>IF(LEFT(Type_masquage,1)="B",D_int/2,0)</f>
        <v>50</v>
      </c>
      <c r="E167" s="236">
        <f t="shared" si="1"/>
        <v>-50</v>
      </c>
      <c r="K167" s="67"/>
    </row>
    <row r="168" spans="2:11" x14ac:dyDescent="0.2">
      <c r="B168" s="66" t="s">
        <v>94</v>
      </c>
      <c r="C168" s="67">
        <f>-MAX(Long_tot, X_ail-m_ail+p_ail+n_ail, (E_ail+D_ail/2)*3.2)*1.01</f>
        <v>-2216.9499999999998</v>
      </c>
      <c r="D168" s="67">
        <f>MAX(E_ail+D_ail/2, Long_tot/3)</f>
        <v>731.66666666666663</v>
      </c>
      <c r="E168" s="121"/>
      <c r="K168" s="67"/>
    </row>
    <row r="169" spans="2:11" x14ac:dyDescent="0.2">
      <c r="B169" s="66" t="s">
        <v>94</v>
      </c>
      <c r="C169" s="67">
        <f>C168</f>
        <v>-2216.9499999999998</v>
      </c>
      <c r="D169" s="67">
        <f>-D168</f>
        <v>-731.66666666666663</v>
      </c>
      <c r="E169" s="121"/>
      <c r="K169" s="67"/>
    </row>
    <row r="170" spans="2:11" x14ac:dyDescent="0.2">
      <c r="B170" s="217" t="s">
        <v>95</v>
      </c>
      <c r="C170" s="231">
        <f ca="1">-XpropuRef+Long_propu</f>
        <v>-1716</v>
      </c>
      <c r="D170" s="242">
        <f ca="1">-Diam_propu/2</f>
        <v>-27</v>
      </c>
      <c r="E170" s="121"/>
      <c r="K170" s="67"/>
    </row>
    <row r="171" spans="2:11" x14ac:dyDescent="0.2">
      <c r="B171" s="219" t="s">
        <v>96</v>
      </c>
      <c r="C171" s="233">
        <f ca="1">-XpropuRef+Long_propu</f>
        <v>-1716</v>
      </c>
      <c r="D171" s="243">
        <f ca="1">Diam_propu/2</f>
        <v>27</v>
      </c>
      <c r="E171" s="121"/>
      <c r="K171" s="67"/>
    </row>
    <row r="172" spans="2:11" x14ac:dyDescent="0.2">
      <c r="B172" s="219" t="s">
        <v>97</v>
      </c>
      <c r="C172" s="233">
        <f>-XpropuRef</f>
        <v>-2204</v>
      </c>
      <c r="D172" s="243">
        <f ca="1">Diam_propu/2</f>
        <v>27</v>
      </c>
      <c r="E172" s="121"/>
      <c r="K172" s="67"/>
    </row>
    <row r="173" spans="2:11" x14ac:dyDescent="0.2">
      <c r="B173" s="219" t="s">
        <v>98</v>
      </c>
      <c r="C173" s="233">
        <f>-XpropuRef</f>
        <v>-2204</v>
      </c>
      <c r="D173" s="243">
        <f ca="1">-Diam_propu/2</f>
        <v>-27</v>
      </c>
      <c r="E173" s="121"/>
      <c r="K173" s="67"/>
    </row>
    <row r="174" spans="2:11" x14ac:dyDescent="0.2">
      <c r="B174" s="221" t="s">
        <v>99</v>
      </c>
      <c r="C174" s="235">
        <f ca="1">-XpropuRef+Long_propu</f>
        <v>-1716</v>
      </c>
      <c r="D174" s="244">
        <f ca="1">-Diam_propu/2</f>
        <v>-27</v>
      </c>
      <c r="E174" s="121"/>
      <c r="F174" s="226" t="s">
        <v>160</v>
      </c>
      <c r="G174" s="227" t="s">
        <v>161</v>
      </c>
      <c r="H174" s="228" t="s">
        <v>162</v>
      </c>
      <c r="K174" s="67"/>
    </row>
    <row r="175" spans="2:11" x14ac:dyDescent="0.2">
      <c r="B175" s="217" t="s">
        <v>72</v>
      </c>
      <c r="C175" s="231">
        <v>0</v>
      </c>
      <c r="D175" s="231">
        <v>0</v>
      </c>
      <c r="E175" s="232">
        <f t="shared" ref="E175:E180" si="2">-D175</f>
        <v>0</v>
      </c>
      <c r="F175" s="229">
        <v>0</v>
      </c>
      <c r="G175" s="214">
        <v>0</v>
      </c>
      <c r="H175" s="223">
        <v>0</v>
      </c>
      <c r="K175" s="67"/>
    </row>
    <row r="176" spans="2:11" x14ac:dyDescent="0.2">
      <c r="B176" s="219" t="s">
        <v>73</v>
      </c>
      <c r="C176" s="233">
        <f>-Long_ogive*0.1</f>
        <v>-4</v>
      </c>
      <c r="D176" s="233">
        <f>IF(LEFT(Forme_ogive,5)="Parab",H176,IF(LEFT(Forme_ogive,4)="Ogiv",G176,IF(LEFT(Forme_ogive,3)="Con",F176)))</f>
        <v>22.5</v>
      </c>
      <c r="E176" s="234">
        <f t="shared" si="2"/>
        <v>-22.5</v>
      </c>
      <c r="F176" s="219">
        <f>D_og/2*0.1</f>
        <v>4.5</v>
      </c>
      <c r="G176" s="214">
        <f>D_og/2*0.2</f>
        <v>9</v>
      </c>
      <c r="H176" s="223">
        <f>D_og/2*0.5</f>
        <v>22.5</v>
      </c>
      <c r="K176" s="67"/>
    </row>
    <row r="177" spans="2:11" x14ac:dyDescent="0.2">
      <c r="B177" s="219" t="s">
        <v>73</v>
      </c>
      <c r="C177" s="233">
        <f>-Long_ogive/4</f>
        <v>-10</v>
      </c>
      <c r="D177" s="233">
        <f>IF(LEFT(Forme_ogive,5)="Parab",H177,IF(LEFT(Forme_ogive,4)="Ogiv",G177,IF(LEFT(Forme_ogive,3)="Con",F177)))</f>
        <v>31.499999999999996</v>
      </c>
      <c r="E177" s="234">
        <f t="shared" si="2"/>
        <v>-31.499999999999996</v>
      </c>
      <c r="F177" s="219">
        <f>D_og/2*1/4</f>
        <v>11.25</v>
      </c>
      <c r="G177" s="214">
        <f>D_og/2/2</f>
        <v>22.5</v>
      </c>
      <c r="H177" s="223">
        <f>D_og/2*0.7</f>
        <v>31.499999999999996</v>
      </c>
      <c r="K177" s="67"/>
    </row>
    <row r="178" spans="2:11" x14ac:dyDescent="0.2">
      <c r="B178" s="219" t="s">
        <v>73</v>
      </c>
      <c r="C178" s="233">
        <f>-Long_ogive/2</f>
        <v>-20</v>
      </c>
      <c r="D178" s="233">
        <f>IF(LEFT(Forme_ogive,5)="Parab",H178,IF(LEFT(Forme_ogive,4)="Ogiv",G178,IF(LEFT(Forme_ogive,3)="Con",F178)))</f>
        <v>39.6</v>
      </c>
      <c r="E178" s="234">
        <f t="shared" si="2"/>
        <v>-39.6</v>
      </c>
      <c r="F178" s="219">
        <f>D_og/2/2</f>
        <v>22.5</v>
      </c>
      <c r="G178" s="214">
        <f>D_og/2*3/4</f>
        <v>33.75</v>
      </c>
      <c r="H178" s="223">
        <f>D_og/2*0.88</f>
        <v>39.6</v>
      </c>
      <c r="K178" s="67"/>
    </row>
    <row r="179" spans="2:11" x14ac:dyDescent="0.2">
      <c r="B179" s="219" t="s">
        <v>73</v>
      </c>
      <c r="C179" s="233">
        <f>-Long_ogive*3/4</f>
        <v>-30</v>
      </c>
      <c r="D179" s="233">
        <f>IF(LEFT(Forme_ogive,5)="Parab",H179,IF(LEFT(Forme_ogive,4)="Ogiv",G179,IF(LEFT(Forme_ogive,3)="Con",F179)))</f>
        <v>42.75</v>
      </c>
      <c r="E179" s="234">
        <f t="shared" si="2"/>
        <v>-42.75</v>
      </c>
      <c r="F179" s="219">
        <f>D_og/2*3/4</f>
        <v>33.75</v>
      </c>
      <c r="G179" s="214">
        <f>D_og/2*0.9</f>
        <v>40.5</v>
      </c>
      <c r="H179" s="223">
        <f>D_og/2*0.95</f>
        <v>42.75</v>
      </c>
      <c r="K179" s="67"/>
    </row>
    <row r="180" spans="2:11" x14ac:dyDescent="0.2">
      <c r="B180" s="221" t="s">
        <v>73</v>
      </c>
      <c r="C180" s="235">
        <f>-Long_ogive</f>
        <v>-40</v>
      </c>
      <c r="D180" s="235">
        <f>D_og/2</f>
        <v>45</v>
      </c>
      <c r="E180" s="236">
        <f t="shared" si="2"/>
        <v>-45</v>
      </c>
      <c r="F180" s="221">
        <f>D_og/2</f>
        <v>45</v>
      </c>
      <c r="G180" s="230">
        <f>D_og/2</f>
        <v>45</v>
      </c>
      <c r="H180" s="224">
        <f>D_og/2</f>
        <v>45</v>
      </c>
      <c r="K180" s="56"/>
    </row>
    <row r="181" spans="2:11" x14ac:dyDescent="0.2">
      <c r="B181" s="66" t="s">
        <v>100</v>
      </c>
      <c r="C181" s="66" t="s">
        <v>101</v>
      </c>
      <c r="D181" s="217" t="s">
        <v>100</v>
      </c>
      <c r="E181" s="239" t="s">
        <v>101</v>
      </c>
      <c r="K181" s="66"/>
    </row>
    <row r="182" spans="2:11" x14ac:dyDescent="0.2">
      <c r="B182" s="217">
        <v>0</v>
      </c>
      <c r="C182" s="237">
        <f>CritCnmin</f>
        <v>15</v>
      </c>
      <c r="D182" s="219">
        <v>0.5</v>
      </c>
      <c r="E182" s="240">
        <f t="shared" ref="E182:E187" si="3">CritMsCnmin/D182</f>
        <v>80</v>
      </c>
      <c r="K182" s="66"/>
    </row>
    <row r="183" spans="2:11" x14ac:dyDescent="0.2">
      <c r="B183" s="221">
        <v>7</v>
      </c>
      <c r="C183" s="230">
        <f>CritCnmin</f>
        <v>15</v>
      </c>
      <c r="D183" s="219">
        <v>1</v>
      </c>
      <c r="E183" s="240">
        <f t="shared" si="3"/>
        <v>40</v>
      </c>
      <c r="K183" s="66"/>
    </row>
    <row r="184" spans="2:11" x14ac:dyDescent="0.2">
      <c r="B184" s="217">
        <v>0</v>
      </c>
      <c r="C184" s="237">
        <f>CritCnmax</f>
        <v>40</v>
      </c>
      <c r="D184" s="219">
        <v>2</v>
      </c>
      <c r="E184" s="240">
        <f t="shared" si="3"/>
        <v>20</v>
      </c>
      <c r="K184" s="66"/>
    </row>
    <row r="185" spans="2:11" x14ac:dyDescent="0.2">
      <c r="B185" s="221">
        <v>7</v>
      </c>
      <c r="C185" s="230">
        <f>CritCnmax</f>
        <v>40</v>
      </c>
      <c r="D185" s="219">
        <v>3</v>
      </c>
      <c r="E185" s="240">
        <f t="shared" si="3"/>
        <v>13.333333333333334</v>
      </c>
      <c r="K185" s="66"/>
    </row>
    <row r="186" spans="2:11" x14ac:dyDescent="0.2">
      <c r="B186" s="217">
        <f>CritMsmin</f>
        <v>2</v>
      </c>
      <c r="C186" s="237">
        <v>0</v>
      </c>
      <c r="D186" s="219">
        <v>5</v>
      </c>
      <c r="E186" s="240">
        <f t="shared" si="3"/>
        <v>8</v>
      </c>
      <c r="K186" s="66"/>
    </row>
    <row r="187" spans="2:11" x14ac:dyDescent="0.2">
      <c r="B187" s="221">
        <f>CritMsmin</f>
        <v>2</v>
      </c>
      <c r="C187" s="230">
        <v>55</v>
      </c>
      <c r="D187" s="219">
        <v>7</v>
      </c>
      <c r="E187" s="240">
        <f t="shared" si="3"/>
        <v>5.7142857142857144</v>
      </c>
      <c r="K187" s="66"/>
    </row>
    <row r="188" spans="2:11" x14ac:dyDescent="0.2">
      <c r="B188" s="217">
        <f>CritMsmax</f>
        <v>6</v>
      </c>
      <c r="C188" s="237">
        <v>0</v>
      </c>
      <c r="D188" s="219">
        <v>1</v>
      </c>
      <c r="E188" s="240">
        <f t="shared" ref="E188:E193" si="4">CritMsCnmax/D188</f>
        <v>100</v>
      </c>
      <c r="K188" s="66"/>
    </row>
    <row r="189" spans="2:11" x14ac:dyDescent="0.2">
      <c r="B189" s="221">
        <f>CritMsmax</f>
        <v>6</v>
      </c>
      <c r="C189" s="230">
        <v>55</v>
      </c>
      <c r="D189" s="219">
        <v>2</v>
      </c>
      <c r="E189" s="240">
        <f t="shared" si="4"/>
        <v>50</v>
      </c>
      <c r="K189" s="66"/>
    </row>
    <row r="190" spans="2:11" x14ac:dyDescent="0.2">
      <c r="B190" s="225">
        <f ca="1">MS_min</f>
        <v>2.2973047813562699</v>
      </c>
      <c r="C190" s="238">
        <f>Cn</f>
        <v>18.283976369656074</v>
      </c>
      <c r="D190" s="219">
        <v>3</v>
      </c>
      <c r="E190" s="240">
        <f t="shared" si="4"/>
        <v>33.333333333333336</v>
      </c>
      <c r="K190" s="66"/>
    </row>
    <row r="191" spans="2:11" x14ac:dyDescent="0.2">
      <c r="B191" s="600">
        <f ca="1">(XCp0-XcgPlein)/D_ref</f>
        <v>2.5950487863167631</v>
      </c>
      <c r="C191" s="601">
        <f>Cn0</f>
        <v>19.6643831789955</v>
      </c>
      <c r="D191" s="219">
        <v>4</v>
      </c>
      <c r="E191" s="240">
        <f t="shared" si="4"/>
        <v>25</v>
      </c>
      <c r="K191" s="66"/>
    </row>
    <row r="192" spans="2:11" x14ac:dyDescent="0.2">
      <c r="B192" s="600">
        <f ca="1">(XCp0-XcgVide)/D_ref</f>
        <v>3.3981335823664631</v>
      </c>
      <c r="C192" s="601">
        <f>Cn0</f>
        <v>19.6643831789955</v>
      </c>
      <c r="D192" s="219">
        <v>6</v>
      </c>
      <c r="E192" s="240">
        <f t="shared" si="4"/>
        <v>16.666666666666668</v>
      </c>
      <c r="K192" s="66"/>
    </row>
    <row r="193" spans="2:11" x14ac:dyDescent="0.2">
      <c r="B193" s="600">
        <f ca="1">(XCp-XcgVide)/D_ref</f>
        <v>3.1003895774059695</v>
      </c>
      <c r="C193" s="601">
        <f>Cn</f>
        <v>18.283976369656074</v>
      </c>
      <c r="D193" s="221">
        <v>7</v>
      </c>
      <c r="E193" s="241">
        <f t="shared" si="4"/>
        <v>14.285714285714286</v>
      </c>
      <c r="K193" s="66"/>
    </row>
    <row r="194" spans="2:11" x14ac:dyDescent="0.2">
      <c r="B194" s="600">
        <f ca="1">MS_min</f>
        <v>2.2973047813562699</v>
      </c>
      <c r="C194" s="602">
        <f>Cn</f>
        <v>18.283976369656074</v>
      </c>
      <c r="D194" s="214"/>
      <c r="E194" s="603"/>
      <c r="K194" s="66"/>
    </row>
    <row r="195" spans="2:11" x14ac:dyDescent="0.2">
      <c r="B195" s="217">
        <v>0</v>
      </c>
      <c r="C195" s="237">
        <f>(CritCnmin+CritCnmax)/2</f>
        <v>27.5</v>
      </c>
      <c r="D195" s="56"/>
      <c r="E195" s="122"/>
      <c r="K195" s="56"/>
    </row>
    <row r="196" spans="2:11" x14ac:dyDescent="0.2">
      <c r="B196" s="219">
        <f>MAX(CritMsmin,CritMsCnmin/C196)</f>
        <v>2</v>
      </c>
      <c r="C196" s="214">
        <f>(CritCnmin+CritCnmax)/2</f>
        <v>27.5</v>
      </c>
      <c r="D196" s="56"/>
      <c r="E196" s="122"/>
      <c r="K196" s="56"/>
    </row>
    <row r="197" spans="2:11" x14ac:dyDescent="0.2">
      <c r="B197" s="219">
        <f>MIN(CritMsmax,CritMsCnmax/C197)</f>
        <v>3.6363636363636362</v>
      </c>
      <c r="C197" s="223">
        <f>(CritCnmin+CritCnmax)/2</f>
        <v>27.5</v>
      </c>
    </row>
    <row r="198" spans="2:11" x14ac:dyDescent="0.2">
      <c r="B198" s="221">
        <v>7</v>
      </c>
      <c r="C198" s="224">
        <f>(CritCnmin+CritCnmax)/2</f>
        <v>27.5</v>
      </c>
    </row>
    <row r="199" spans="2:11" x14ac:dyDescent="0.2">
      <c r="B199" s="217">
        <f>(CritMsmin+CritMsmax)/2</f>
        <v>4</v>
      </c>
      <c r="C199" s="218">
        <v>0</v>
      </c>
    </row>
    <row r="200" spans="2:11" x14ac:dyDescent="0.2">
      <c r="B200" s="219">
        <f>(CritMsmin+CritMsmax)/2</f>
        <v>4</v>
      </c>
      <c r="C200" s="220">
        <f>MAX(CritCnmin,CritMsCnmin/B200)</f>
        <v>15</v>
      </c>
    </row>
    <row r="201" spans="2:11" x14ac:dyDescent="0.2">
      <c r="B201" s="219">
        <f>(CritMsmin+CritMsmax)/2</f>
        <v>4</v>
      </c>
      <c r="C201" s="220">
        <f>MIN(CritCnmax,CritMsCnmax/B201)</f>
        <v>25</v>
      </c>
    </row>
    <row r="202" spans="2:11" x14ac:dyDescent="0.2">
      <c r="B202" s="221">
        <f>(CritMsmin+CritMsmax)/2</f>
        <v>4</v>
      </c>
      <c r="C202" s="222">
        <v>55</v>
      </c>
    </row>
    <row r="203" spans="2:11" x14ac:dyDescent="0.2">
      <c r="D203" s="559"/>
    </row>
    <row r="204" spans="2:11" x14ac:dyDescent="0.2">
      <c r="B204" s="561" t="s">
        <v>407</v>
      </c>
      <c r="C204" s="52" t="b">
        <f ca="1">(OR(C205:C210))</f>
        <v>1</v>
      </c>
      <c r="D204" s="559"/>
    </row>
    <row r="205" spans="2:11" x14ac:dyDescent="0.2">
      <c r="B205" s="560" t="s">
        <v>404</v>
      </c>
      <c r="C205" s="559" t="b">
        <f ca="1">AND(Type_propu="H2O",RIGHT(Type_fusee,1)=" ")</f>
        <v>0</v>
      </c>
      <c r="D205" s="559"/>
    </row>
    <row r="206" spans="2:11" x14ac:dyDescent="0.2">
      <c r="B206" s="560" t="s">
        <v>119</v>
      </c>
      <c r="C206" s="559" t="b">
        <f ca="1">AND(Type_propu="Fusex",RIGHT(Type_fusee,1)=".")</f>
        <v>1</v>
      </c>
      <c r="D206" s="559"/>
    </row>
    <row r="207" spans="2:11" x14ac:dyDescent="0.2">
      <c r="B207" s="560" t="s">
        <v>405</v>
      </c>
      <c r="C207" s="559" t="b">
        <f ca="1">LEFT(Type_propu,5)=LEFT(Type_fusee,5)</f>
        <v>0</v>
      </c>
      <c r="D207" s="559"/>
    </row>
    <row r="208" spans="2:11" x14ac:dyDescent="0.2">
      <c r="B208" s="560" t="s">
        <v>406</v>
      </c>
      <c r="C208" s="559" t="b">
        <f ca="1">AND(RIGHT(Type_propu,1)="N",LEFT(Type_fusee,4)="Mini")</f>
        <v>0</v>
      </c>
      <c r="D208" s="559"/>
    </row>
    <row r="209" spans="1:3" x14ac:dyDescent="0.2">
      <c r="B209" s="560" t="s">
        <v>408</v>
      </c>
      <c r="C209" s="559" t="b">
        <f ca="1">AND(LEFT(Type_propu,5)="MiniR",LEFT(Type_fusee,1)="R")</f>
        <v>0</v>
      </c>
    </row>
    <row r="210" spans="1:3" x14ac:dyDescent="0.2">
      <c r="B210" s="560" t="s">
        <v>398</v>
      </c>
      <c r="C210" s="559" t="b">
        <f ca="1">AND(LEFT(Type_propu,4)="Mini",LEFT(Type_fusee,1)=",")</f>
        <v>0</v>
      </c>
    </row>
    <row r="223" spans="1:3" x14ac:dyDescent="0.2">
      <c r="A223" s="35" t="s">
        <v>465</v>
      </c>
    </row>
    <row r="226" spans="1:1" x14ac:dyDescent="0.2">
      <c r="A226" s="35" t="s">
        <v>478</v>
      </c>
    </row>
    <row r="228" spans="1:1" x14ac:dyDescent="0.2">
      <c r="A228" s="35" t="s">
        <v>479</v>
      </c>
    </row>
    <row r="230" spans="1:1" x14ac:dyDescent="0.2">
      <c r="A230" s="35" t="s">
        <v>480</v>
      </c>
    </row>
    <row r="232" spans="1:1" x14ac:dyDescent="0.2">
      <c r="A232" s="35" t="s">
        <v>481</v>
      </c>
    </row>
    <row r="233" spans="1:1" x14ac:dyDescent="0.2">
      <c r="A233" s="35" t="s">
        <v>482</v>
      </c>
    </row>
    <row r="234" spans="1:1" x14ac:dyDescent="0.2">
      <c r="A234" s="35" t="s">
        <v>483</v>
      </c>
    </row>
    <row r="235" spans="1:1" x14ac:dyDescent="0.2">
      <c r="A235" s="35" t="s">
        <v>484</v>
      </c>
    </row>
    <row r="236" spans="1:1" x14ac:dyDescent="0.2">
      <c r="A236" s="35" t="s">
        <v>485</v>
      </c>
    </row>
    <row r="237" spans="1:1" x14ac:dyDescent="0.2">
      <c r="A237" s="35" t="s">
        <v>486</v>
      </c>
    </row>
    <row r="238" spans="1:1" x14ac:dyDescent="0.2">
      <c r="A238" s="35" t="s">
        <v>184</v>
      </c>
    </row>
    <row r="239" spans="1:1" x14ac:dyDescent="0.2">
      <c r="A239" s="35" t="s">
        <v>487</v>
      </c>
    </row>
    <row r="240" spans="1:1" x14ac:dyDescent="0.2">
      <c r="A240" s="35" t="s">
        <v>488</v>
      </c>
    </row>
    <row r="241" spans="1:1" x14ac:dyDescent="0.2">
      <c r="A241" s="35" t="s">
        <v>184</v>
      </c>
    </row>
    <row r="242" spans="1:1" x14ac:dyDescent="0.2">
      <c r="A242" s="35" t="s">
        <v>489</v>
      </c>
    </row>
    <row r="244" spans="1:1" x14ac:dyDescent="0.2">
      <c r="A244" s="35" t="s">
        <v>490</v>
      </c>
    </row>
    <row r="246" spans="1:1" x14ac:dyDescent="0.2">
      <c r="A246" s="35" t="s">
        <v>491</v>
      </c>
    </row>
    <row r="248" spans="1:1" x14ac:dyDescent="0.2">
      <c r="A248" s="35" t="s">
        <v>492</v>
      </c>
    </row>
    <row r="249" spans="1:1" x14ac:dyDescent="0.2">
      <c r="A249" s="35" t="s">
        <v>493</v>
      </c>
    </row>
    <row r="250" spans="1:1" x14ac:dyDescent="0.2">
      <c r="A250" s="35" t="s">
        <v>494</v>
      </c>
    </row>
    <row r="251" spans="1:1" x14ac:dyDescent="0.2">
      <c r="A251" s="35" t="s">
        <v>495</v>
      </c>
    </row>
    <row r="252" spans="1:1" x14ac:dyDescent="0.2">
      <c r="A252" s="35" t="s">
        <v>496</v>
      </c>
    </row>
    <row r="254" spans="1:1" x14ac:dyDescent="0.2">
      <c r="A254" s="35" t="s">
        <v>497</v>
      </c>
    </row>
    <row r="255" spans="1:1" x14ac:dyDescent="0.2">
      <c r="A255" s="35" t="s">
        <v>498</v>
      </c>
    </row>
    <row r="256" spans="1:1" x14ac:dyDescent="0.2">
      <c r="A256" s="35" t="s">
        <v>499</v>
      </c>
    </row>
    <row r="257" spans="1:1" x14ac:dyDescent="0.2">
      <c r="A257" s="35" t="s">
        <v>500</v>
      </c>
    </row>
    <row r="258" spans="1:1" x14ac:dyDescent="0.2">
      <c r="A258" s="35" t="s">
        <v>501</v>
      </c>
    </row>
    <row r="261" spans="1:1" x14ac:dyDescent="0.2">
      <c r="A261" s="35" t="s">
        <v>502</v>
      </c>
    </row>
    <row r="262" spans="1:1" x14ac:dyDescent="0.2">
      <c r="A262" s="35" t="s">
        <v>503</v>
      </c>
    </row>
    <row r="263" spans="1:1" x14ac:dyDescent="0.2">
      <c r="A263" s="35" t="s">
        <v>504</v>
      </c>
    </row>
    <row r="264" spans="1:1" x14ac:dyDescent="0.2">
      <c r="A264" s="35" t="s">
        <v>505</v>
      </c>
    </row>
    <row r="265" spans="1:1" x14ac:dyDescent="0.2">
      <c r="A265" s="35" t="s">
        <v>506</v>
      </c>
    </row>
    <row r="267" spans="1:1" x14ac:dyDescent="0.2">
      <c r="A267" s="35" t="s">
        <v>499</v>
      </c>
    </row>
    <row r="268" spans="1:1" x14ac:dyDescent="0.2">
      <c r="A268" s="35" t="s">
        <v>500</v>
      </c>
    </row>
    <row r="269" spans="1:1" x14ac:dyDescent="0.2">
      <c r="A269" s="35" t="s">
        <v>507</v>
      </c>
    </row>
    <row r="272" spans="1:1" x14ac:dyDescent="0.2">
      <c r="A272" s="35" t="s">
        <v>467</v>
      </c>
    </row>
    <row r="273" spans="1:1" x14ac:dyDescent="0.2">
      <c r="A273" s="35" t="s">
        <v>468</v>
      </c>
    </row>
    <row r="275" spans="1:1" x14ac:dyDescent="0.2">
      <c r="A275" s="35" t="s">
        <v>508</v>
      </c>
    </row>
    <row r="277" spans="1:1" x14ac:dyDescent="0.2">
      <c r="A277" s="35" t="s">
        <v>507</v>
      </c>
    </row>
    <row r="280" spans="1:1" x14ac:dyDescent="0.2">
      <c r="A280" s="35" t="s">
        <v>469</v>
      </c>
    </row>
    <row r="281" spans="1:1" x14ac:dyDescent="0.2">
      <c r="A281" s="35" t="s">
        <v>470</v>
      </c>
    </row>
    <row r="282" spans="1:1" x14ac:dyDescent="0.2">
      <c r="A282" s="35" t="s">
        <v>509</v>
      </c>
    </row>
    <row r="283" spans="1:1" x14ac:dyDescent="0.2">
      <c r="A283" s="35" t="s">
        <v>510</v>
      </c>
    </row>
    <row r="284" spans="1:1" x14ac:dyDescent="0.2">
      <c r="A284" s="35" t="s">
        <v>507</v>
      </c>
    </row>
    <row r="285" spans="1:1" x14ac:dyDescent="0.2">
      <c r="A285" s="35" t="s">
        <v>471</v>
      </c>
    </row>
    <row r="287" spans="1:1" x14ac:dyDescent="0.2">
      <c r="A287" s="35" t="s">
        <v>511</v>
      </c>
    </row>
    <row r="288" spans="1:1" x14ac:dyDescent="0.2">
      <c r="A288" s="35" t="s">
        <v>509</v>
      </c>
    </row>
    <row r="289" spans="1:1" x14ac:dyDescent="0.2">
      <c r="A289" s="35" t="s">
        <v>512</v>
      </c>
    </row>
    <row r="291" spans="1:1" x14ac:dyDescent="0.2">
      <c r="A291" s="35" t="s">
        <v>507</v>
      </c>
    </row>
    <row r="294" spans="1:1" x14ac:dyDescent="0.2">
      <c r="A294" s="35" t="s">
        <v>513</v>
      </c>
    </row>
    <row r="295" spans="1:1" x14ac:dyDescent="0.2">
      <c r="A295" s="35" t="s">
        <v>514</v>
      </c>
    </row>
    <row r="296" spans="1:1" x14ac:dyDescent="0.2">
      <c r="A296" s="35" t="s">
        <v>515</v>
      </c>
    </row>
    <row r="298" spans="1:1" x14ac:dyDescent="0.2">
      <c r="A298" s="35" t="s">
        <v>507</v>
      </c>
    </row>
    <row r="301" spans="1:1" x14ac:dyDescent="0.2">
      <c r="A301" s="35" t="s">
        <v>516</v>
      </c>
    </row>
    <row r="302" spans="1:1" x14ac:dyDescent="0.2">
      <c r="A302" s="35" t="s">
        <v>517</v>
      </c>
    </row>
    <row r="304" spans="1:1" x14ac:dyDescent="0.2">
      <c r="A304" s="35" t="s">
        <v>518</v>
      </c>
    </row>
    <row r="305" spans="1:1" x14ac:dyDescent="0.2">
      <c r="A305" s="35" t="s">
        <v>519</v>
      </c>
    </row>
    <row r="306" spans="1:1" x14ac:dyDescent="0.2">
      <c r="A306" s="35" t="s">
        <v>507</v>
      </c>
    </row>
    <row r="309" spans="1:1" x14ac:dyDescent="0.2">
      <c r="A309" s="35" t="s">
        <v>516</v>
      </c>
    </row>
    <row r="310" spans="1:1" x14ac:dyDescent="0.2">
      <c r="A310" s="35" t="s">
        <v>520</v>
      </c>
    </row>
    <row r="311" spans="1:1" x14ac:dyDescent="0.2">
      <c r="A311" s="35" t="s">
        <v>516</v>
      </c>
    </row>
    <row r="312" spans="1:1" x14ac:dyDescent="0.2">
      <c r="A312" s="35" t="s">
        <v>521</v>
      </c>
    </row>
    <row r="314" spans="1:1" x14ac:dyDescent="0.2">
      <c r="A314" s="35" t="s">
        <v>522</v>
      </c>
    </row>
    <row r="316" spans="1:1" x14ac:dyDescent="0.2">
      <c r="A316" s="35" t="s">
        <v>507</v>
      </c>
    </row>
    <row r="319" spans="1:1" x14ac:dyDescent="0.2">
      <c r="A319" s="35" t="s">
        <v>516</v>
      </c>
    </row>
    <row r="320" spans="1:1" x14ac:dyDescent="0.2">
      <c r="A320" s="35" t="s">
        <v>523</v>
      </c>
    </row>
    <row r="321" spans="1:1" x14ac:dyDescent="0.2">
      <c r="A321" s="35" t="s">
        <v>524</v>
      </c>
    </row>
    <row r="322" spans="1:1" x14ac:dyDescent="0.2">
      <c r="A322" s="35" t="s">
        <v>525</v>
      </c>
    </row>
    <row r="324" spans="1:1" x14ac:dyDescent="0.2">
      <c r="A324" s="35" t="s">
        <v>507</v>
      </c>
    </row>
    <row r="326" spans="1:1" x14ac:dyDescent="0.2">
      <c r="A326" s="35" t="s">
        <v>466</v>
      </c>
    </row>
    <row r="329" spans="1:1" x14ac:dyDescent="0.2">
      <c r="A329" s="35" t="s">
        <v>472</v>
      </c>
    </row>
    <row r="330" spans="1:1" x14ac:dyDescent="0.2">
      <c r="A330" s="35" t="s">
        <v>473</v>
      </c>
    </row>
    <row r="331" spans="1:1" x14ac:dyDescent="0.2">
      <c r="A331" s="35" t="s">
        <v>526</v>
      </c>
    </row>
    <row r="332" spans="1:1" x14ac:dyDescent="0.2">
      <c r="A332" s="35" t="s">
        <v>527</v>
      </c>
    </row>
    <row r="333" spans="1:1" x14ac:dyDescent="0.2">
      <c r="A333" s="35" t="s">
        <v>528</v>
      </c>
    </row>
    <row r="334" spans="1:1" x14ac:dyDescent="0.2">
      <c r="A334" s="35" t="s">
        <v>529</v>
      </c>
    </row>
    <row r="335" spans="1:1" x14ac:dyDescent="0.2">
      <c r="A335" s="35" t="s">
        <v>530</v>
      </c>
    </row>
    <row r="336" spans="1:1" x14ac:dyDescent="0.2">
      <c r="A336" s="35" t="s">
        <v>483</v>
      </c>
    </row>
    <row r="337" spans="1:1" x14ac:dyDescent="0.2">
      <c r="A337" s="35" t="s">
        <v>474</v>
      </c>
    </row>
    <row r="340" spans="1:1" x14ac:dyDescent="0.2">
      <c r="A340" s="35" t="s">
        <v>475</v>
      </c>
    </row>
    <row r="342" spans="1:1" x14ac:dyDescent="0.2">
      <c r="A342" s="35" t="s">
        <v>531</v>
      </c>
    </row>
    <row r="343" spans="1:1" x14ac:dyDescent="0.2">
      <c r="A343" s="35" t="s">
        <v>532</v>
      </c>
    </row>
    <row r="344" spans="1:1" x14ac:dyDescent="0.2">
      <c r="A344" s="35" t="s">
        <v>533</v>
      </c>
    </row>
    <row r="345" spans="1:1" x14ac:dyDescent="0.2">
      <c r="A345" s="35" t="s">
        <v>534</v>
      </c>
    </row>
    <row r="346" spans="1:1" x14ac:dyDescent="0.2">
      <c r="A346" s="35" t="s">
        <v>535</v>
      </c>
    </row>
    <row r="347" spans="1:1" x14ac:dyDescent="0.2">
      <c r="A347" s="35" t="s">
        <v>483</v>
      </c>
    </row>
    <row r="348" spans="1:1" x14ac:dyDescent="0.2">
      <c r="A348" s="35" t="s">
        <v>476</v>
      </c>
    </row>
    <row r="349" spans="1:1" x14ac:dyDescent="0.2">
      <c r="A349" s="35" t="s">
        <v>536</v>
      </c>
    </row>
    <row r="350" spans="1:1" x14ac:dyDescent="0.2">
      <c r="A350" s="35" t="s">
        <v>537</v>
      </c>
    </row>
    <row r="352" spans="1:1" x14ac:dyDescent="0.2">
      <c r="A352" s="35" t="s">
        <v>507</v>
      </c>
    </row>
    <row r="355" spans="1:1" x14ac:dyDescent="0.2">
      <c r="A355" s="35" t="s">
        <v>466</v>
      </c>
    </row>
    <row r="361" spans="1:1" x14ac:dyDescent="0.2">
      <c r="A361" s="35" t="s">
        <v>477</v>
      </c>
    </row>
  </sheetData>
  <dataConsolidate/>
  <mergeCells count="56">
    <mergeCell ref="C5:D5"/>
    <mergeCell ref="H26:I26"/>
    <mergeCell ref="C16:D16"/>
    <mergeCell ref="C17:D17"/>
    <mergeCell ref="O21:P21"/>
    <mergeCell ref="M21:N21"/>
    <mergeCell ref="O19:P19"/>
    <mergeCell ref="O22:P22"/>
    <mergeCell ref="C20:D20"/>
    <mergeCell ref="C6:D6"/>
    <mergeCell ref="C13:D13"/>
    <mergeCell ref="C8:D8"/>
    <mergeCell ref="C9:D9"/>
    <mergeCell ref="O20:P20"/>
    <mergeCell ref="M23:N23"/>
    <mergeCell ref="M24:N24"/>
    <mergeCell ref="C2:D3"/>
    <mergeCell ref="C4:D4"/>
    <mergeCell ref="M22:N22"/>
    <mergeCell ref="M19:N19"/>
    <mergeCell ref="M9:N9"/>
    <mergeCell ref="M7:N7"/>
    <mergeCell ref="M8:N8"/>
    <mergeCell ref="C7:D7"/>
    <mergeCell ref="C10:D10"/>
    <mergeCell ref="M5:N5"/>
    <mergeCell ref="M6:N6"/>
    <mergeCell ref="M20:N20"/>
    <mergeCell ref="N14:O14"/>
    <mergeCell ref="N15:O15"/>
    <mergeCell ref="M17:N17"/>
    <mergeCell ref="C14:D14"/>
    <mergeCell ref="C26:D26"/>
    <mergeCell ref="C18:D18"/>
    <mergeCell ref="C19:D19"/>
    <mergeCell ref="O23:P23"/>
    <mergeCell ref="O24:P24"/>
    <mergeCell ref="C22:D22"/>
    <mergeCell ref="C21:D21"/>
    <mergeCell ref="C23:D23"/>
    <mergeCell ref="H33:I34"/>
    <mergeCell ref="M4:P4"/>
    <mergeCell ref="M2:P2"/>
    <mergeCell ref="N13:O13"/>
    <mergeCell ref="N12:O12"/>
    <mergeCell ref="O9:P9"/>
    <mergeCell ref="O8:P8"/>
    <mergeCell ref="O7:P7"/>
    <mergeCell ref="H27:I27"/>
    <mergeCell ref="M18:N18"/>
    <mergeCell ref="L3:M3"/>
    <mergeCell ref="N11:O11"/>
    <mergeCell ref="O6:P6"/>
    <mergeCell ref="O5:P5"/>
    <mergeCell ref="O17:P17"/>
    <mergeCell ref="O18:P18"/>
  </mergeCells>
  <phoneticPr fontId="8" type="noConversion"/>
  <conditionalFormatting sqref="B14:D14 B34:C34">
    <cfRule type="expression" dxfId="53" priority="36" stopIfTrue="1">
      <formula>AND(IF(RIGHT(Nb_diam,1)=",",1),IF(LEFT(Type_masquage,1)="M",1))</formula>
    </cfRule>
  </conditionalFormatting>
  <conditionalFormatting sqref="D25:E25 D27:E34 B35:E35 L20:P22">
    <cfRule type="expression" dxfId="52" priority="83" stopIfTrue="1">
      <formula>IF(LEFT(Type_masquage,1)="M",1)</formula>
    </cfRule>
  </conditionalFormatting>
  <conditionalFormatting sqref="H33:I34">
    <cfRule type="expression" dxfId="51" priority="50" stopIfTrue="1">
      <formula>$H$33="STABLE"</formula>
    </cfRule>
  </conditionalFormatting>
  <conditionalFormatting sqref="H27:I27">
    <cfRule type="expression" dxfId="50" priority="47" stopIfTrue="1">
      <formula>OR(Finesse&lt;CritFinessemin,Finesse&gt;CritFinessemax)</formula>
    </cfRule>
  </conditionalFormatting>
  <conditionalFormatting sqref="H28">
    <cfRule type="expression" dxfId="49" priority="46" stopIfTrue="1">
      <formula>OR(Cn&lt;CritCnmin,Cn&gt;CritCnmax)</formula>
    </cfRule>
  </conditionalFormatting>
  <conditionalFormatting sqref="H29">
    <cfRule type="expression" dxfId="48" priority="45" stopIfTrue="1">
      <formula>OR(MS_min&lt;CritMsmin,MS_min&gt;CritMsmax)</formula>
    </cfRule>
  </conditionalFormatting>
  <conditionalFormatting sqref="I29">
    <cfRule type="expression" dxfId="47" priority="44" stopIfTrue="1">
      <formula>OR(MS_max&lt;CritMsmin,MS_max&gt;CritMsmax)</formula>
    </cfRule>
  </conditionalFormatting>
  <conditionalFormatting sqref="H30">
    <cfRule type="expression" dxfId="46" priority="43" stopIfTrue="1">
      <formula>OR(MS_Cn_min&lt;CritMsCnmin,MS_Cn_min&gt;CritMsCnmax)</formula>
    </cfRule>
  </conditionalFormatting>
  <conditionalFormatting sqref="I30">
    <cfRule type="expression" dxfId="45" priority="42" stopIfTrue="1">
      <formula>OR(MS_Cn_max&lt;CritMsCnmin,MS_Cn_max&gt;CritMsCnmax)</formula>
    </cfRule>
  </conditionalFormatting>
  <conditionalFormatting sqref="L23:P24">
    <cfRule type="expression" dxfId="44" priority="64" stopIfTrue="1">
      <formula>IF(RIGHT(Nb_diam,1)=",",1)</formula>
    </cfRule>
  </conditionalFormatting>
  <conditionalFormatting sqref="L6:P9">
    <cfRule type="expression" dxfId="43" priority="48" stopIfTrue="1">
      <formula>IF(RIGHT(Nb_diam,1)=",",1)</formula>
    </cfRule>
  </conditionalFormatting>
  <conditionalFormatting sqref="M5:P5">
    <cfRule type="expression" dxfId="42" priority="38" stopIfTrue="1">
      <formula>IF(RIGHT(Nb_diam,1)=",",1)</formula>
    </cfRule>
  </conditionalFormatting>
  <conditionalFormatting sqref="C11">
    <cfRule type="cellIs" dxfId="41" priority="24" stopIfTrue="1" operator="equal">
      <formula>359</formula>
    </cfRule>
    <cfRule type="expression" dxfId="40" priority="27" stopIfTrue="1">
      <formula>OR(MasseSans&lt;MpropuVide, MasseSans&gt;20*MpropuPlein)</formula>
    </cfRule>
  </conditionalFormatting>
  <conditionalFormatting sqref="N36">
    <cfRule type="expression" dxfId="39" priority="26" stopIfTrue="1">
      <formula>ROUND(SUM(C2:P25)+SUM(C27:P35),0)=8637</formula>
    </cfRule>
  </conditionalFormatting>
  <conditionalFormatting sqref="O36 M36">
    <cfRule type="expression" dxfId="38" priority="141" stopIfTrue="1">
      <formula>$M$36="propu NOK"</formula>
    </cfRule>
  </conditionalFormatting>
  <conditionalFormatting sqref="C12">
    <cfRule type="cellIs" dxfId="37" priority="23" stopIfTrue="1" operator="equal">
      <formula>639</formula>
    </cfRule>
  </conditionalFormatting>
  <conditionalFormatting sqref="C13:D13 C18 C33">
    <cfRule type="cellIs" dxfId="36" priority="22" stopIfTrue="1" operator="equal">
      <formula>1001</formula>
    </cfRule>
  </conditionalFormatting>
  <conditionalFormatting sqref="C22:D22">
    <cfRule type="cellIs" dxfId="35" priority="21" stopIfTrue="1" operator="equal">
      <formula>199</formula>
    </cfRule>
  </conditionalFormatting>
  <conditionalFormatting sqref="C23:D23 C14 C34">
    <cfRule type="cellIs" dxfId="34" priority="20" stopIfTrue="1" operator="equal">
      <formula>59</formula>
    </cfRule>
  </conditionalFormatting>
  <conditionalFormatting sqref="C30">
    <cfRule type="cellIs" dxfId="33" priority="19" stopIfTrue="1" operator="equal">
      <formula>99</formula>
    </cfRule>
  </conditionalFormatting>
  <conditionalFormatting sqref="C28">
    <cfRule type="cellIs" dxfId="32" priority="18" stopIfTrue="1" operator="equal">
      <formula>59</formula>
    </cfRule>
  </conditionalFormatting>
  <conditionalFormatting sqref="C29 C27">
    <cfRule type="cellIs" dxfId="31" priority="17" stopIfTrue="1" operator="equal">
      <formula>109</formula>
    </cfRule>
  </conditionalFormatting>
  <conditionalFormatting sqref="D17">
    <cfRule type="expression" dxfId="30" priority="10" stopIfTrue="1">
      <formula>D202</formula>
    </cfRule>
  </conditionalFormatting>
  <conditionalFormatting sqref="C17">
    <cfRule type="expression" dxfId="29" priority="150" stopIfTrue="1">
      <formula>C204</formula>
    </cfRule>
  </conditionalFormatting>
  <conditionalFormatting sqref="L38:M38">
    <cfRule type="expression" dxfId="28" priority="232" stopIfTrue="1">
      <formula>OR(SUM($C$27:$C$32)=273, $H$33&lt;&gt;"STABLE")</formula>
    </cfRule>
  </conditionalFormatting>
  <conditionalFormatting sqref="I28">
    <cfRule type="expression" dxfId="27" priority="5" stopIfTrue="1">
      <formula>OR(Cn0&lt;CritCnmin,Cn0&gt;CritCnmax)</formula>
    </cfRule>
  </conditionalFormatting>
  <dataValidations count="13">
    <dataValidation type="whole" allowBlank="1" showInputMessage="1" showErrorMessage="1" error="Tapez un entier entre 3 et 6." sqref="C32:D32">
      <formula1>3</formula1>
      <formula2>6</formula2>
    </dataValidation>
    <dataValidation type="decimal" operator="notEqual" allowBlank="1" showInputMessage="1" showErrorMessage="1" error="Tapez uniquement la longueur, sans l'unité." sqref="C29:D29">
      <formula1>1E+100</formula1>
    </dataValidation>
    <dataValidation type="decimal" operator="greaterThanOrEqual" allowBlank="1" showInputMessage="1" showErrorMessage="1" error="Tapez uniquement la longueur, sans l'unité." sqref="C27:D28 C33:D34 C30:D31 M6:O9">
      <formula1>0</formula1>
    </dataValidation>
    <dataValidation type="list" showInputMessage="1" showErrorMessage="1" sqref="C26:D26">
      <formula1>Menu_Empennage</formula1>
    </dataValidation>
    <dataValidation type="list" showInputMessage="1" showErrorMessage="1" sqref="C17:D17">
      <formula1>Liste_propu</formula1>
    </dataValidation>
    <dataValidation type="list" showInputMessage="1" showErrorMessage="1" sqref="M2">
      <formula1>Menu_Lang</formula1>
    </dataValidation>
    <dataValidation type="decimal" showInputMessage="1" showErrorMessage="1" errorTitle="Masse de la Fusée" error="Tapez uniquement la masse, sans l'unité." sqref="C11">
      <formula1>0</formula1>
      <formula2>50000</formula2>
    </dataValidation>
    <dataValidation type="decimal" operator="greaterThan" showInputMessage="1" showErrorMessage="1" error="Tapez uniquement la longueur, sans l'unité." sqref="C12 C13:D13 C22:D23">
      <formula1>0</formula1>
    </dataValidation>
    <dataValidation type="list" showInputMessage="1" showErrorMessage="1" sqref="D11:D12">
      <formula1>Menu_with_motor</formula1>
    </dataValidation>
    <dataValidation type="list" showInputMessage="1" showErrorMessage="1" sqref="C10:D10">
      <formula1>Menu_Type</formula1>
    </dataValidation>
    <dataValidation type="decimal" operator="greaterThan" allowBlank="1" showInputMessage="1" showErrorMessage="1" error="Tapez uniquement la longueur, sans l'unité." sqref="C18">
      <formula1>0</formula1>
    </dataValidation>
    <dataValidation type="list" showInputMessage="1" showErrorMessage="1" sqref="C21:D21">
      <formula1>Menu_Ogive</formula1>
    </dataValidation>
    <dataValidation type="list" showInputMessage="1" showErrorMessage="1" sqref="M4">
      <formula1>Menu_Transitions</formula1>
    </dataValidation>
  </dataValidations>
  <hyperlinks>
    <hyperlink ref="M38" location="Trajecto!C25" display="Trajecto"/>
  </hyperlinks>
  <printOptions horizontalCentered="1" verticalCentered="1"/>
  <pageMargins left="7.874015748031496E-2" right="7.874015748031496E-2" top="7.874015748031496E-2" bottom="7.874015748031496E-2" header="0" footer="0"/>
  <pageSetup paperSize="9" orientation="landscape" horizontalDpi="200" verticalDpi="200" r:id="rId1"/>
  <headerFooter alignWithMargins="0"/>
  <ignoredErrors>
    <ignoredError sqref="D34" unlockedFormula="1"/>
    <ignoredError sqref="E18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6775" r:id="rId4" name="Spinner 935">
              <controlPr defaultSize="0" print="0" autoPict="0">
                <anchor moveWithCells="1" sizeWithCells="1">
                  <from>
                    <xdr:col>3</xdr:col>
                    <xdr:colOff>1114425</xdr:colOff>
                    <xdr:row>21</xdr:row>
                    <xdr:rowOff>19050</xdr:rowOff>
                  </from>
                  <to>
                    <xdr:col>4</xdr:col>
                    <xdr:colOff>0</xdr:colOff>
                    <xdr:row>22</xdr:row>
                    <xdr:rowOff>0</xdr:rowOff>
                  </to>
                </anchor>
              </controlPr>
            </control>
          </mc:Choice>
        </mc:AlternateContent>
        <mc:AlternateContent xmlns:mc="http://schemas.openxmlformats.org/markup-compatibility/2006">
          <mc:Choice Requires="x14">
            <control shapeId="36781" r:id="rId5" name="Spinner 941">
              <controlPr defaultSize="0" print="0" autoPict="0">
                <anchor moveWithCells="1" sizeWithCells="1">
                  <from>
                    <xdr:col>2</xdr:col>
                    <xdr:colOff>1114425</xdr:colOff>
                    <xdr:row>10</xdr:row>
                    <xdr:rowOff>19050</xdr:rowOff>
                  </from>
                  <to>
                    <xdr:col>3</xdr:col>
                    <xdr:colOff>0</xdr:colOff>
                    <xdr:row>11</xdr:row>
                    <xdr:rowOff>0</xdr:rowOff>
                  </to>
                </anchor>
              </controlPr>
            </control>
          </mc:Choice>
        </mc:AlternateContent>
        <mc:AlternateContent xmlns:mc="http://schemas.openxmlformats.org/markup-compatibility/2006">
          <mc:Choice Requires="x14">
            <control shapeId="36782" r:id="rId6" name="Spinner 942">
              <controlPr defaultSize="0" print="0" autoPict="0">
                <anchor moveWithCells="1" sizeWithCells="1">
                  <from>
                    <xdr:col>2</xdr:col>
                    <xdr:colOff>1114425</xdr:colOff>
                    <xdr:row>11</xdr:row>
                    <xdr:rowOff>19050</xdr:rowOff>
                  </from>
                  <to>
                    <xdr:col>3</xdr:col>
                    <xdr:colOff>0</xdr:colOff>
                    <xdr:row>12</xdr:row>
                    <xdr:rowOff>0</xdr:rowOff>
                  </to>
                </anchor>
              </controlPr>
            </control>
          </mc:Choice>
        </mc:AlternateContent>
        <mc:AlternateContent xmlns:mc="http://schemas.openxmlformats.org/markup-compatibility/2006">
          <mc:Choice Requires="x14">
            <control shapeId="36783" r:id="rId7" name="Spinner 943">
              <controlPr defaultSize="0" print="0" autoPict="0">
                <anchor moveWithCells="1" sizeWithCells="1">
                  <from>
                    <xdr:col>3</xdr:col>
                    <xdr:colOff>1114425</xdr:colOff>
                    <xdr:row>22</xdr:row>
                    <xdr:rowOff>19050</xdr:rowOff>
                  </from>
                  <to>
                    <xdr:col>4</xdr:col>
                    <xdr:colOff>0</xdr:colOff>
                    <xdr:row>23</xdr:row>
                    <xdr:rowOff>0</xdr:rowOff>
                  </to>
                </anchor>
              </controlPr>
            </control>
          </mc:Choice>
        </mc:AlternateContent>
        <mc:AlternateContent xmlns:mc="http://schemas.openxmlformats.org/markup-compatibility/2006">
          <mc:Choice Requires="x14">
            <control shapeId="36789" r:id="rId8" name="Spinner 949">
              <controlPr defaultSize="0" print="0" autoPict="0">
                <anchor moveWithCells="1" sizeWithCells="1">
                  <from>
                    <xdr:col>2</xdr:col>
                    <xdr:colOff>1114425</xdr:colOff>
                    <xdr:row>26</xdr:row>
                    <xdr:rowOff>19050</xdr:rowOff>
                  </from>
                  <to>
                    <xdr:col>3</xdr:col>
                    <xdr:colOff>0</xdr:colOff>
                    <xdr:row>27</xdr:row>
                    <xdr:rowOff>0</xdr:rowOff>
                  </to>
                </anchor>
              </controlPr>
            </control>
          </mc:Choice>
        </mc:AlternateContent>
        <mc:AlternateContent xmlns:mc="http://schemas.openxmlformats.org/markup-compatibility/2006">
          <mc:Choice Requires="x14">
            <control shapeId="36795" r:id="rId9" name="Spinner 955">
              <controlPr defaultSize="0" print="0" autoPict="0">
                <anchor moveWithCells="1" sizeWithCells="1">
                  <from>
                    <xdr:col>2</xdr:col>
                    <xdr:colOff>1114425</xdr:colOff>
                    <xdr:row>27</xdr:row>
                    <xdr:rowOff>19050</xdr:rowOff>
                  </from>
                  <to>
                    <xdr:col>3</xdr:col>
                    <xdr:colOff>0</xdr:colOff>
                    <xdr:row>28</xdr:row>
                    <xdr:rowOff>0</xdr:rowOff>
                  </to>
                </anchor>
              </controlPr>
            </control>
          </mc:Choice>
        </mc:AlternateContent>
        <mc:AlternateContent xmlns:mc="http://schemas.openxmlformats.org/markup-compatibility/2006">
          <mc:Choice Requires="x14">
            <control shapeId="36796" r:id="rId10" name="Spinner 956">
              <controlPr defaultSize="0" print="0" autoPict="0">
                <anchor moveWithCells="1" sizeWithCells="1">
                  <from>
                    <xdr:col>2</xdr:col>
                    <xdr:colOff>1114425</xdr:colOff>
                    <xdr:row>28</xdr:row>
                    <xdr:rowOff>19050</xdr:rowOff>
                  </from>
                  <to>
                    <xdr:col>3</xdr:col>
                    <xdr:colOff>0</xdr:colOff>
                    <xdr:row>29</xdr:row>
                    <xdr:rowOff>0</xdr:rowOff>
                  </to>
                </anchor>
              </controlPr>
            </control>
          </mc:Choice>
        </mc:AlternateContent>
        <mc:AlternateContent xmlns:mc="http://schemas.openxmlformats.org/markup-compatibility/2006">
          <mc:Choice Requires="x14">
            <control shapeId="36797" r:id="rId11" name="Spinner 957">
              <controlPr defaultSize="0" print="0" autoPict="0">
                <anchor moveWithCells="1" sizeWithCells="1">
                  <from>
                    <xdr:col>2</xdr:col>
                    <xdr:colOff>1114425</xdr:colOff>
                    <xdr:row>29</xdr:row>
                    <xdr:rowOff>19050</xdr:rowOff>
                  </from>
                  <to>
                    <xdr:col>3</xdr:col>
                    <xdr:colOff>0</xdr:colOff>
                    <xdr:row>30</xdr:row>
                    <xdr:rowOff>0</xdr:rowOff>
                  </to>
                </anchor>
              </controlPr>
            </control>
          </mc:Choice>
        </mc:AlternateContent>
        <mc:AlternateContent xmlns:mc="http://schemas.openxmlformats.org/markup-compatibility/2006">
          <mc:Choice Requires="x14">
            <control shapeId="36798" r:id="rId12" name="Spinner 958">
              <controlPr defaultSize="0" print="0" autoPict="0">
                <anchor moveWithCells="1" sizeWithCells="1">
                  <from>
                    <xdr:col>2</xdr:col>
                    <xdr:colOff>1114425</xdr:colOff>
                    <xdr:row>30</xdr:row>
                    <xdr:rowOff>19050</xdr:rowOff>
                  </from>
                  <to>
                    <xdr:col>3</xdr:col>
                    <xdr:colOff>0</xdr:colOff>
                    <xdr:row>31</xdr:row>
                    <xdr:rowOff>0</xdr:rowOff>
                  </to>
                </anchor>
              </controlPr>
            </control>
          </mc:Choice>
        </mc:AlternateContent>
        <mc:AlternateContent xmlns:mc="http://schemas.openxmlformats.org/markup-compatibility/2006">
          <mc:Choice Requires="x14">
            <control shapeId="36799" r:id="rId13" name="Spinner 959">
              <controlPr defaultSize="0" print="0" autoPict="0">
                <anchor moveWithCells="1" sizeWithCells="1">
                  <from>
                    <xdr:col>2</xdr:col>
                    <xdr:colOff>1114425</xdr:colOff>
                    <xdr:row>31</xdr:row>
                    <xdr:rowOff>19050</xdr:rowOff>
                  </from>
                  <to>
                    <xdr:col>3</xdr:col>
                    <xdr:colOff>0</xdr:colOff>
                    <xdr:row>32</xdr:row>
                    <xdr:rowOff>0</xdr:rowOff>
                  </to>
                </anchor>
              </controlPr>
            </control>
          </mc:Choice>
        </mc:AlternateContent>
        <mc:AlternateContent xmlns:mc="http://schemas.openxmlformats.org/markup-compatibility/2006">
          <mc:Choice Requires="x14">
            <control shapeId="36801" r:id="rId14" name="Spinner 961">
              <controlPr defaultSize="0" print="0" autoPict="0">
                <anchor moveWithCells="1" sizeWithCells="1">
                  <from>
                    <xdr:col>3</xdr:col>
                    <xdr:colOff>1114425</xdr:colOff>
                    <xdr:row>12</xdr:row>
                    <xdr:rowOff>19050</xdr:rowOff>
                  </from>
                  <to>
                    <xdr:col>4</xdr:col>
                    <xdr:colOff>0</xdr:colOff>
                    <xdr:row>13</xdr:row>
                    <xdr:rowOff>0</xdr:rowOff>
                  </to>
                </anchor>
              </controlPr>
            </control>
          </mc:Choice>
        </mc:AlternateContent>
        <mc:AlternateContent xmlns:mc="http://schemas.openxmlformats.org/markup-compatibility/2006">
          <mc:Choice Requires="x14">
            <control shapeId="5096691" r:id="rId15" name="Spinner 3315">
              <controlPr defaultSize="0" print="0" autoPict="0">
                <anchor moveWithCells="1" sizeWithCells="1">
                  <from>
                    <xdr:col>19</xdr:col>
                    <xdr:colOff>0</xdr:colOff>
                    <xdr:row>35</xdr:row>
                    <xdr:rowOff>19050</xdr:rowOff>
                  </from>
                  <to>
                    <xdr:col>19</xdr:col>
                    <xdr:colOff>0</xdr:colOff>
                    <xdr:row>36</xdr:row>
                    <xdr:rowOff>0</xdr:rowOff>
                  </to>
                </anchor>
              </controlPr>
            </control>
          </mc:Choice>
        </mc:AlternateContent>
        <mc:AlternateContent xmlns:mc="http://schemas.openxmlformats.org/markup-compatibility/2006">
          <mc:Choice Requires="x14">
            <control shapeId="5096692" r:id="rId16" name="Spinner 3316">
              <controlPr defaultSize="0" print="0" autoPict="0">
                <anchor moveWithCells="1" sizeWithCells="1">
                  <from>
                    <xdr:col>19</xdr:col>
                    <xdr:colOff>0</xdr:colOff>
                    <xdr:row>35</xdr:row>
                    <xdr:rowOff>19050</xdr:rowOff>
                  </from>
                  <to>
                    <xdr:col>19</xdr:col>
                    <xdr:colOff>0</xdr:colOff>
                    <xdr:row>36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R199"/>
  <sheetViews>
    <sheetView showGridLines="0" topLeftCell="B10" zoomScaleNormal="100" workbookViewId="0">
      <selection activeCell="C18" sqref="C18:D18"/>
    </sheetView>
  </sheetViews>
  <sheetFormatPr baseColWidth="10" defaultColWidth="11.42578125" defaultRowHeight="12.75" x14ac:dyDescent="0.2"/>
  <cols>
    <col min="1" max="1" width="2.140625" style="1" customWidth="1"/>
    <col min="2" max="2" width="16.28515625" style="1" customWidth="1"/>
    <col min="3" max="4" width="11.42578125" style="1"/>
    <col min="5" max="5" width="2.7109375" style="1" customWidth="1"/>
    <col min="6" max="7" width="12.85546875" style="1" customWidth="1"/>
    <col min="8" max="13" width="10.7109375" style="1" customWidth="1"/>
    <col min="14" max="15" width="2.140625" style="1" customWidth="1"/>
    <col min="16" max="17" width="14.28515625" style="1" customWidth="1"/>
    <col min="18" max="16384" width="11.42578125" style="1"/>
  </cols>
  <sheetData>
    <row r="1" spans="1:14" x14ac:dyDescent="0.2">
      <c r="A1" s="72"/>
      <c r="B1" s="73"/>
      <c r="C1" s="74"/>
      <c r="D1" s="73"/>
      <c r="E1" s="75"/>
      <c r="F1" s="75"/>
      <c r="G1" s="75"/>
      <c r="H1" s="75"/>
      <c r="I1" s="75"/>
      <c r="J1" s="75"/>
      <c r="K1" s="75"/>
      <c r="L1" s="75"/>
      <c r="M1" s="75"/>
      <c r="N1" s="76"/>
    </row>
    <row r="2" spans="1:14" ht="12.75" customHeight="1" x14ac:dyDescent="0.2">
      <c r="A2" s="77"/>
      <c r="B2" s="2"/>
      <c r="C2" s="809" t="s">
        <v>0</v>
      </c>
      <c r="D2" s="809"/>
      <c r="E2" s="3"/>
      <c r="F2" s="4"/>
      <c r="G2" s="3"/>
      <c r="H2" s="3"/>
      <c r="I2" s="3"/>
      <c r="J2" s="5"/>
      <c r="K2" s="3"/>
      <c r="L2" s="3"/>
      <c r="M2" s="3"/>
      <c r="N2" s="78"/>
    </row>
    <row r="3" spans="1:14" ht="12.75" customHeight="1" x14ac:dyDescent="0.2">
      <c r="A3" s="77"/>
      <c r="B3" s="2"/>
      <c r="C3" s="809"/>
      <c r="D3" s="809"/>
      <c r="E3" s="6"/>
      <c r="F3" s="6"/>
      <c r="G3" s="6"/>
      <c r="H3" s="7"/>
      <c r="I3" s="6"/>
      <c r="J3" s="5"/>
      <c r="K3" s="3"/>
      <c r="L3" s="3"/>
      <c r="M3" s="3"/>
      <c r="N3" s="78"/>
    </row>
    <row r="4" spans="1:14" ht="12.75" customHeight="1" x14ac:dyDescent="0.2">
      <c r="A4" s="77"/>
      <c r="B4" s="2"/>
      <c r="C4" s="813" t="str">
        <f>IF(Lang="Français","Trajectographie de fusée",IF(Lang="English","Rocket Trajectography",""))</f>
        <v>Trajectographie de fusée</v>
      </c>
      <c r="D4" s="813"/>
      <c r="E4" s="6"/>
      <c r="F4" s="6"/>
      <c r="G4" s="6"/>
      <c r="H4" s="7"/>
      <c r="I4" s="6"/>
      <c r="J4" s="5"/>
      <c r="K4" s="3"/>
      <c r="L4" s="3"/>
      <c r="M4" s="3"/>
      <c r="N4" s="78"/>
    </row>
    <row r="5" spans="1:14" ht="12.75" customHeight="1" x14ac:dyDescent="0.2">
      <c r="A5" s="77"/>
      <c r="B5" s="2"/>
      <c r="C5" s="3"/>
      <c r="D5" s="3"/>
      <c r="E5" s="6"/>
      <c r="F5" s="6"/>
      <c r="G5" s="3"/>
      <c r="H5" s="3"/>
      <c r="I5" s="6"/>
      <c r="J5" s="5"/>
      <c r="K5" s="3"/>
      <c r="L5" s="3"/>
      <c r="M5" s="3"/>
      <c r="N5" s="78"/>
    </row>
    <row r="6" spans="1:14" ht="12.95" customHeight="1" x14ac:dyDescent="0.2">
      <c r="A6" s="77"/>
      <c r="B6" s="111"/>
      <c r="C6" s="812" t="str">
        <f>IF(Lang="Français","Remplir les cases jaunes",IF(Lang="English","Fill-in yellow cells only",""))</f>
        <v>Remplir les cases jaunes</v>
      </c>
      <c r="D6" s="812"/>
      <c r="E6" s="6"/>
      <c r="F6" s="6"/>
      <c r="G6" s="3"/>
      <c r="H6" s="3"/>
      <c r="I6" s="6"/>
      <c r="J6" s="5"/>
      <c r="K6" s="3"/>
      <c r="L6" s="3"/>
      <c r="M6" s="3"/>
      <c r="N6" s="78"/>
    </row>
    <row r="7" spans="1:14" x14ac:dyDescent="0.2">
      <c r="A7" s="77"/>
      <c r="B7" s="8"/>
      <c r="C7" s="810" t="str">
        <f>IF(Lang="Français","Fusée",IF(Lang="English","Rocket",""))</f>
        <v>Fusée</v>
      </c>
      <c r="D7" s="810"/>
      <c r="E7" s="6"/>
      <c r="F7" s="6"/>
      <c r="G7" s="3"/>
      <c r="H7" s="3"/>
      <c r="I7" s="6"/>
      <c r="J7" s="3"/>
      <c r="K7" s="3"/>
      <c r="L7" s="3"/>
      <c r="M7" s="3"/>
      <c r="N7" s="79"/>
    </row>
    <row r="8" spans="1:14" ht="12.75" customHeight="1" x14ac:dyDescent="0.25">
      <c r="A8" s="77"/>
      <c r="B8" s="173" t="str">
        <f>IF(Lang="Français","Nom",IF(Lang="English","Name",""))</f>
        <v>Nom</v>
      </c>
      <c r="C8" s="811" t="str">
        <f>Nom</f>
        <v>Karlvagnen</v>
      </c>
      <c r="D8" s="811"/>
      <c r="E8" s="7"/>
      <c r="F8" s="7"/>
      <c r="G8" s="3"/>
      <c r="H8" s="3"/>
      <c r="I8" s="6"/>
      <c r="J8" s="5"/>
      <c r="K8" s="3"/>
      <c r="L8" s="3"/>
      <c r="M8" s="3"/>
      <c r="N8" s="78"/>
    </row>
    <row r="9" spans="1:14" ht="12.75" customHeight="1" x14ac:dyDescent="0.25">
      <c r="A9" s="80"/>
      <c r="B9" s="173" t="s">
        <v>4</v>
      </c>
      <c r="C9" s="811" t="str">
        <f>Club</f>
        <v>AcelSpace</v>
      </c>
      <c r="D9" s="811"/>
      <c r="E9" s="6"/>
      <c r="F9" s="27"/>
      <c r="G9" s="3"/>
      <c r="H9" s="3"/>
      <c r="I9" s="6"/>
      <c r="J9" s="3"/>
      <c r="K9" s="3"/>
      <c r="L9" s="3"/>
      <c r="M9" s="3"/>
      <c r="N9" s="79"/>
    </row>
    <row r="10" spans="1:14" ht="12.75" customHeight="1" x14ac:dyDescent="0.2">
      <c r="A10" s="80"/>
      <c r="B10" s="173" t="str">
        <f>IF(Lang="Français","Masse totale",IF(Lang="English","Total Mass",""))</f>
        <v>Masse totale</v>
      </c>
      <c r="C10" s="835">
        <f ca="1">MassePlein</f>
        <v>9.4150000000000009</v>
      </c>
      <c r="D10" s="835"/>
      <c r="E10" s="6"/>
      <c r="F10" s="27"/>
      <c r="G10" s="3"/>
      <c r="H10" s="3"/>
      <c r="I10" s="6"/>
      <c r="J10" s="3"/>
      <c r="K10" s="3"/>
      <c r="L10" s="3"/>
      <c r="M10" s="3"/>
      <c r="N10" s="79"/>
    </row>
    <row r="11" spans="1:14" ht="12.75" customHeight="1" x14ac:dyDescent="0.2">
      <c r="A11" s="80"/>
      <c r="B11" s="266" t="str">
        <f>IF(Lang="Français","Propulseur",IF(Lang="English","Motor",""))</f>
        <v>Propulseur</v>
      </c>
      <c r="C11" s="838" t="str">
        <f>Propu</f>
        <v>Barasinga (Pro54-5G C)</v>
      </c>
      <c r="D11" s="839"/>
      <c r="E11" s="6"/>
      <c r="F11" s="27"/>
      <c r="G11" s="3"/>
      <c r="H11" s="3"/>
      <c r="I11" s="6"/>
      <c r="J11" s="3"/>
      <c r="K11" s="3"/>
      <c r="L11" s="3"/>
      <c r="M11" s="3"/>
      <c r="N11" s="79"/>
    </row>
    <row r="12" spans="1:14" ht="12.75" customHeight="1" x14ac:dyDescent="0.2">
      <c r="A12" s="80"/>
      <c r="B12" s="3"/>
      <c r="C12" s="3"/>
      <c r="D12" s="3"/>
      <c r="E12" s="6"/>
      <c r="F12" s="27"/>
      <c r="G12" s="3"/>
      <c r="H12" s="3"/>
      <c r="I12" s="6"/>
      <c r="J12" s="3"/>
      <c r="K12" s="3"/>
      <c r="L12" s="3"/>
      <c r="M12" s="3"/>
      <c r="N12" s="79"/>
    </row>
    <row r="13" spans="1:14" ht="12.75" customHeight="1" x14ac:dyDescent="0.2">
      <c r="A13" s="80"/>
      <c r="B13" s="81"/>
      <c r="C13" s="810" t="str">
        <f>IF(Lang="Français","Traînée Aérdynamique",IF(Lang="English","Drag",""))</f>
        <v>Traînée Aérdynamique</v>
      </c>
      <c r="D13" s="810"/>
      <c r="E13" s="6"/>
      <c r="F13" s="3"/>
      <c r="G13" s="3"/>
      <c r="H13" s="3"/>
      <c r="I13" s="6"/>
      <c r="J13" s="3"/>
      <c r="K13" s="3"/>
      <c r="L13" s="3"/>
      <c r="M13" s="3"/>
      <c r="N13" s="79"/>
    </row>
    <row r="14" spans="1:14" ht="12.75" customHeight="1" x14ac:dyDescent="0.2">
      <c r="A14" s="80"/>
      <c r="B14" s="173" t="s">
        <v>41</v>
      </c>
      <c r="C14" s="840">
        <f>(PI()*D_ref^2/4+E_ail*ep_ail*Q_ail)/10^6</f>
        <v>8.8539816339744826E-3</v>
      </c>
      <c r="D14" s="840"/>
      <c r="E14" s="6"/>
      <c r="F14" s="3"/>
      <c r="G14" s="3"/>
      <c r="H14" s="3"/>
      <c r="I14" s="6"/>
      <c r="J14" s="3"/>
      <c r="K14" s="3"/>
      <c r="L14" s="3"/>
      <c r="M14" s="3"/>
      <c r="N14" s="79"/>
    </row>
    <row r="15" spans="1:14" ht="12.75" customHeight="1" x14ac:dyDescent="0.2">
      <c r="A15" s="80"/>
      <c r="B15" s="174" t="s">
        <v>5</v>
      </c>
      <c r="C15" s="833">
        <v>0.6</v>
      </c>
      <c r="D15" s="834"/>
      <c r="E15" s="6"/>
      <c r="F15" s="3"/>
      <c r="G15" s="3"/>
      <c r="H15" s="3"/>
      <c r="I15" s="6"/>
      <c r="J15" s="3"/>
      <c r="K15" s="3"/>
      <c r="L15" s="3"/>
      <c r="M15" s="3"/>
      <c r="N15" s="79"/>
    </row>
    <row r="16" spans="1:14" ht="12.75" customHeight="1" x14ac:dyDescent="0.2">
      <c r="A16" s="80"/>
      <c r="B16" s="3"/>
      <c r="C16" s="3"/>
      <c r="D16" s="3"/>
      <c r="E16" s="6"/>
      <c r="F16" s="6"/>
      <c r="G16" s="3"/>
      <c r="H16" s="3"/>
      <c r="I16" s="6"/>
      <c r="J16" s="3"/>
      <c r="K16" s="3"/>
      <c r="L16" s="3"/>
      <c r="M16" s="3"/>
      <c r="N16" s="79"/>
    </row>
    <row r="17" spans="1:18" ht="12.75" customHeight="1" x14ac:dyDescent="0.2">
      <c r="A17" s="80"/>
      <c r="B17" s="81"/>
      <c r="C17" s="810" t="str">
        <f>IF(Lang="Français","Rampe de Lancement",IF(Lang="English","Launch Pad",""))</f>
        <v>Rampe de Lancement</v>
      </c>
      <c r="D17" s="810"/>
      <c r="E17" s="6"/>
      <c r="F17" s="3"/>
      <c r="G17" s="3"/>
      <c r="H17" s="3"/>
      <c r="I17" s="6"/>
      <c r="J17" s="3"/>
      <c r="K17" s="3"/>
      <c r="L17" s="3"/>
      <c r="M17" s="3"/>
      <c r="N17" s="79"/>
    </row>
    <row r="18" spans="1:18" ht="12.75" customHeight="1" x14ac:dyDescent="0.2">
      <c r="A18" s="80"/>
      <c r="B18" s="173" t="str">
        <f>IF(Lang="Français","Longueur",IF(Lang="English","Length",""))</f>
        <v>Longueur</v>
      </c>
      <c r="C18" s="837">
        <f>IF(RIGHT(Type_fusee,1)=".",4, IF(LEFT(Type_fusee,4)="Mini",2.5, IF(LEFT(Type_fusee,5)="Micro",1, IF(RIGHT(Type_fusee,1)=" ",0.1,IF(LEFT(Type_fusee,1)="R",3, 2.5)))))</f>
        <v>4</v>
      </c>
      <c r="D18" s="837"/>
      <c r="E18" s="6"/>
      <c r="F18" s="3"/>
      <c r="G18" s="3"/>
      <c r="H18" s="3"/>
      <c r="I18" s="6"/>
      <c r="J18" s="3"/>
      <c r="K18" s="3"/>
      <c r="L18" s="3"/>
      <c r="M18" s="3"/>
      <c r="N18" s="79"/>
    </row>
    <row r="19" spans="1:18" ht="12.75" customHeight="1" x14ac:dyDescent="0.2">
      <c r="A19" s="80"/>
      <c r="B19" s="173" t="str">
        <f>IF(Lang="Français","Élévation",IF(Lang="English","Angle /horizon",""))</f>
        <v>Élévation</v>
      </c>
      <c r="C19" s="836">
        <v>80</v>
      </c>
      <c r="D19" s="836"/>
      <c r="E19" s="6"/>
      <c r="F19" s="3"/>
      <c r="G19" s="3"/>
      <c r="H19" s="3"/>
      <c r="I19" s="6"/>
      <c r="J19" s="3"/>
      <c r="K19" s="3"/>
      <c r="L19" s="3"/>
      <c r="M19" s="3"/>
      <c r="N19" s="79"/>
    </row>
    <row r="20" spans="1:18" ht="12.75" customHeight="1" x14ac:dyDescent="0.2">
      <c r="A20" s="80"/>
      <c r="B20" s="173" t="s">
        <v>6</v>
      </c>
      <c r="C20" s="837">
        <v>0</v>
      </c>
      <c r="D20" s="837"/>
      <c r="E20" s="6"/>
      <c r="F20" s="6"/>
      <c r="G20" s="3"/>
      <c r="H20" s="3"/>
      <c r="I20" s="6"/>
      <c r="J20" s="3"/>
      <c r="K20" s="3"/>
      <c r="L20" s="3"/>
      <c r="M20" s="3"/>
      <c r="N20" s="79"/>
    </row>
    <row r="21" spans="1:18" ht="12.75" customHeight="1" x14ac:dyDescent="0.2">
      <c r="A21" s="80"/>
      <c r="B21" s="3"/>
      <c r="C21" s="3"/>
      <c r="D21" s="3"/>
      <c r="E21" s="3"/>
      <c r="F21" s="445" t="str">
        <f ca="1">IF( OR( AND(Vsortie_de_rampe&lt;18, RIGHT(Type_fusee,1)=";"), AND(Vsortie_de_rampe&lt;20, RIGHT(Type_fusee,1)=".")), IF(Lang="Français","Vitesse en Sortie de Rampe trop faible, alléger la fusée ou choisir un propu plus puissant.","Speed at Launch Pad Exit too low, lighten the rocket or choose a bigger motor."), "")</f>
        <v/>
      </c>
      <c r="G21" s="3"/>
      <c r="H21" s="3"/>
      <c r="I21" s="3"/>
      <c r="J21" s="3"/>
      <c r="K21" s="3"/>
      <c r="L21" s="3"/>
      <c r="M21" s="3"/>
      <c r="N21" s="79"/>
    </row>
    <row r="22" spans="1:18" x14ac:dyDescent="0.2">
      <c r="A22" s="80"/>
      <c r="B22" s="3"/>
      <c r="C22" s="823" t="str">
        <f>IF(Lang="Français","DescenteSousParachute",IF(Lang="English","Over Parachute",""))</f>
        <v>DescenteSousParachute</v>
      </c>
      <c r="D22" s="824"/>
      <c r="E22" s="3"/>
      <c r="F22" s="10"/>
      <c r="G22" s="71">
        <f ca="1">TODAY()</f>
        <v>45126</v>
      </c>
      <c r="H22" s="577" t="str">
        <f>IF(Lang="Français","Temps",IF(Lang="English","Time",""))</f>
        <v>Temps</v>
      </c>
      <c r="I22" s="577" t="s">
        <v>12</v>
      </c>
      <c r="J22" s="577" t="str">
        <f>IF(Lang="Français","Portée x",IF(Lang="English","Range x",""))</f>
        <v>Portée x</v>
      </c>
      <c r="K22" s="577" t="str">
        <f>IF(Lang="Français","Vitesse",IF(Lang="English","Velocity",""))</f>
        <v>Vitesse</v>
      </c>
      <c r="L22" s="578" t="s">
        <v>13</v>
      </c>
      <c r="M22" s="587" t="s">
        <v>423</v>
      </c>
      <c r="N22" s="79"/>
    </row>
    <row r="23" spans="1:18" x14ac:dyDescent="0.2">
      <c r="A23" s="80"/>
      <c r="B23" s="81"/>
      <c r="C23" s="175" t="str">
        <f>C7</f>
        <v>Fusée</v>
      </c>
      <c r="D23" s="258" t="s">
        <v>121</v>
      </c>
      <c r="E23" s="3"/>
      <c r="F23" s="825" t="str">
        <f>IF(Lang="Français","Sortie de Rampe",IF(Lang="English","Launch-Pad Exit",""))</f>
        <v>Sortie de Rampe</v>
      </c>
      <c r="G23" s="826"/>
      <c r="H23" s="579"/>
      <c r="I23" s="579"/>
      <c r="J23" s="579"/>
      <c r="K23" s="580">
        <f ca="1">INDEX(vit_xz,MATCH("Sortie de rampe",Event,0))</f>
        <v>25.047800240115347</v>
      </c>
      <c r="L23" s="581"/>
      <c r="M23" s="588"/>
      <c r="N23" s="79"/>
    </row>
    <row r="24" spans="1:18" x14ac:dyDescent="0.2">
      <c r="A24" s="80"/>
      <c r="B24" s="549" t="str">
        <f>IF(Lang="Français","Masse",IF(Lang="English","Mass",""))</f>
        <v>Masse</v>
      </c>
      <c r="C24" s="550">
        <f ca="1">IF(Nb_sat="0 satellite",MasseVide,MasseVide-m_satellite)</f>
        <v>8.3819999999999997</v>
      </c>
      <c r="D24" s="567">
        <f>IF(RIGHT(Type_fusee,1)=".",1,0.15)</f>
        <v>1</v>
      </c>
      <c r="E24" s="28" t="str">
        <f>IF(ABS(T_satellite-0.11-T_para)&lt;0.1,"Pb!","")</f>
        <v/>
      </c>
      <c r="F24" s="829" t="str">
        <f>IF(Lang="Français","Vit max &amp; Acc max",IF(Lang="English","Max Velocity &amp; Acc",""))</f>
        <v>Vit max &amp; Acc max</v>
      </c>
      <c r="G24" s="830"/>
      <c r="H24" s="144"/>
      <c r="I24" s="144"/>
      <c r="J24" s="144"/>
      <c r="K24" s="191">
        <f ca="1">MAX(vit_xz)</f>
        <v>179.2876292360306</v>
      </c>
      <c r="L24" s="582">
        <f ca="1">MAX(acc_xz)</f>
        <v>85.232370028523292</v>
      </c>
      <c r="M24" s="588"/>
      <c r="N24" s="79"/>
    </row>
    <row r="25" spans="1:18" x14ac:dyDescent="0.2">
      <c r="A25" s="80"/>
      <c r="B25" s="553" t="str">
        <f>IF(Lang="Français","Dépotage",IF(Lang="English","Delay",""))</f>
        <v>Dépotage</v>
      </c>
      <c r="C25" s="593" t="s">
        <v>409</v>
      </c>
      <c r="D25" s="566"/>
      <c r="E25" s="3"/>
      <c r="F25" s="831" t="str">
        <f>IF(Lang="Français","Largage du satellite",IF(Lang="English","Satellite separation",""))</f>
        <v>Largage du satellite</v>
      </c>
      <c r="G25" s="832"/>
      <c r="H25" s="185">
        <f>IF(T_satellite&lt;&gt;0,T_satellite,"")</f>
        <v>3.5</v>
      </c>
      <c r="I25" s="189">
        <f ca="1">IF(T_satellite&lt;&gt;0,INDEX(pos_z,MATCH("Satellite",Event_sat,0)),"")</f>
        <v>382.37490043167992</v>
      </c>
      <c r="J25" s="187">
        <f ca="1">IF(T_satellite&lt;&gt;0,INDEX(pos_x,MATCH("Satellite",Event_sat,0)),"")</f>
        <v>86.090305084157677</v>
      </c>
      <c r="K25" s="192">
        <f ca="1">IF(T_satellite&lt;&gt;0,INDEX(vit_xz,MATCH("Satellite",Event_sat,0)),"")</f>
        <v>177.54749984001452</v>
      </c>
      <c r="L25" s="583"/>
      <c r="M25" s="572">
        <f ca="1">1/2*Rho_moyen*1*V_ouv_sat^2*S_satellite</f>
        <v>1930.7907753406978</v>
      </c>
      <c r="N25" s="79"/>
    </row>
    <row r="26" spans="1:18" x14ac:dyDescent="0.2">
      <c r="A26" s="80"/>
      <c r="B26" s="551" t="str">
        <f>IF(Lang="Français","Ouverture para",IF(Lang="English","Opening time",""))</f>
        <v>Ouverture para</v>
      </c>
      <c r="C26" s="595">
        <v>8</v>
      </c>
      <c r="D26" s="552">
        <v>3.5</v>
      </c>
      <c r="E26" s="3"/>
      <c r="F26" s="829" t="s">
        <v>15</v>
      </c>
      <c r="G26" s="830"/>
      <c r="H26" s="186">
        <f ca="1">INDEX(t,MATCH("Apogée",Event,0))</f>
        <v>16.899999999999928</v>
      </c>
      <c r="I26" s="190">
        <f ca="1">INDEX(pos_z,MATCH("Apogée",Event,0))</f>
        <v>1390.4230491725832</v>
      </c>
      <c r="J26" s="188">
        <f ca="1">INDEX(pos_x,MATCH("Apogée",Event,0))</f>
        <v>523.69799483853797</v>
      </c>
      <c r="K26" s="193">
        <f ca="1">INDEX(vit_xz,MATCH("Apogée",Event,0))</f>
        <v>28.216112506228573</v>
      </c>
      <c r="L26" s="584"/>
      <c r="M26" s="588"/>
      <c r="N26" s="79"/>
    </row>
    <row r="27" spans="1:18" x14ac:dyDescent="0.2">
      <c r="A27" s="80"/>
      <c r="B27" s="174" t="s">
        <v>9</v>
      </c>
      <c r="C27" s="263">
        <f>S_para_croix</f>
        <v>1.25</v>
      </c>
      <c r="D27" s="26">
        <f>IF(RIGHT(Type_fusee,1)=".",0.1,0.02)</f>
        <v>0.1</v>
      </c>
      <c r="E27" s="3"/>
      <c r="F27" s="827" t="str">
        <f>IF(Lang="Français","Ouverture parachute fusée",IF(Lang="English","Rocket parachute opening",""))</f>
        <v>Ouverture parachute fusée</v>
      </c>
      <c r="G27" s="828"/>
      <c r="H27" s="185">
        <f>T_para</f>
        <v>8</v>
      </c>
      <c r="I27" s="189">
        <f ca="1">INDEX(pos_z,MATCH("Para",Event_para,0))</f>
        <v>977.7584382484049</v>
      </c>
      <c r="J27" s="573">
        <f ca="1">INDEX(pos_x,MATCH("Para",Event_para,0))</f>
        <v>254.46426557929846</v>
      </c>
      <c r="K27" s="192">
        <f ca="1">INDEX(vit_xz,MATCH("Para",Event_para,0))</f>
        <v>103.3610632558777</v>
      </c>
      <c r="L27" s="583"/>
      <c r="M27" s="572">
        <f ca="1">1/2*Rho_moyen*1*V_ouverture^2*S_para</f>
        <v>8179.561882373313</v>
      </c>
      <c r="N27" s="79"/>
      <c r="P27" s="565" t="str">
        <f ca="1">IF(V_para&lt;5, IF(Lang="Français","Parachute fusée trop grand !","Parachute too big!"), IF( V_para&gt;15, IF(Lang="Français","Parachute fusée trop petit !","Parachute too small!"), ""))</f>
        <v/>
      </c>
      <c r="R27" s="565" t="str">
        <f>IF(AND(Nb_sat="1 satellite", OR(V_satellite&lt;5)), IF(Lang="Français","Parachute satéllite trop grand !","Parachute too big"), IF(AND(Nb_sat="1 satellite",OR(V_satellite&gt;15)), IF(Lang="Français","Parachute satéllite trop petit !","Parachute too small!"), ""))</f>
        <v/>
      </c>
    </row>
    <row r="28" spans="1:18" x14ac:dyDescent="0.2">
      <c r="A28" s="80"/>
      <c r="B28" s="174" t="s">
        <v>10</v>
      </c>
      <c r="C28" s="176">
        <v>1</v>
      </c>
      <c r="D28" s="176">
        <v>1</v>
      </c>
      <c r="E28" s="3"/>
      <c r="F28" s="816" t="str">
        <f>IF(Lang="Français","Impact balistique",IF(Lang="English","Balistic Impact",""))</f>
        <v>Impact balistique</v>
      </c>
      <c r="G28" s="817"/>
      <c r="H28" s="585">
        <f ca="1">INDEX(t,MATCH("Impact balistique",Event,0))</f>
        <v>35.300000000000189</v>
      </c>
      <c r="I28" s="606" t="s">
        <v>430</v>
      </c>
      <c r="J28" s="574">
        <f ca="1">INDEX(pos_x,MATCH("Impact balistique",Event,0))</f>
        <v>953.1802660510491</v>
      </c>
      <c r="K28" s="589">
        <f ca="1">K45</f>
        <v>131.21267378336242</v>
      </c>
      <c r="L28" s="586"/>
      <c r="M28" s="590">
        <f ca="1">0.5*m_vide*K28^2</f>
        <v>72155.465305939739</v>
      </c>
      <c r="N28" s="79"/>
      <c r="P28" s="565" t="str">
        <f ca="1">IF( OR( V_para&lt;5, V_para&gt;15, AND(Nb_sat="1 satellite", OR(V_satellite&lt;5, V_satellite&gt;15))), IF(Lang="Français","La Vitesse de descente sous parachute doit être comprise entre 5 &amp; 15 m/s.","Fall Velocity with parachute must be between 5 &amp; 15 m/s."), "")</f>
        <v/>
      </c>
    </row>
    <row r="29" spans="1:18" x14ac:dyDescent="0.2">
      <c r="A29" s="80"/>
      <c r="B29" s="174" t="str">
        <f>IF(Lang="Français","Vitesse du vent",IF(Lang="English","Wind speed",""))</f>
        <v>Vitesse du vent</v>
      </c>
      <c r="C29" s="177">
        <v>5</v>
      </c>
      <c r="D29" s="177">
        <f>V_vent</f>
        <v>5</v>
      </c>
      <c r="E29" s="28" t="str">
        <f>IF(AND(T_satellite=0,m_satellite&lt;&gt;0),"Erreur !","")</f>
        <v/>
      </c>
      <c r="F29" s="575"/>
      <c r="G29" s="570"/>
      <c r="H29" s="571"/>
      <c r="I29" s="576"/>
      <c r="K29" s="3"/>
      <c r="L29" s="3"/>
      <c r="M29" s="3"/>
      <c r="N29" s="79"/>
      <c r="P29" s="565" t="str">
        <f ca="1">IF(AND(Portee_balistique&gt;200,LEFT(Type_propu,4)="Mini"),IF(Lang="Français","Fusée trop lègère !","Rocket too light"),"")</f>
        <v/>
      </c>
    </row>
    <row r="30" spans="1:18" x14ac:dyDescent="0.2">
      <c r="A30" s="80"/>
      <c r="B30" s="166" t="str">
        <f>IF(Lang="Français","Vitesse descente",IF(Lang="English","Fall velocity",""))</f>
        <v>Vitesse descente</v>
      </c>
      <c r="C30" s="488">
        <f ca="1">SQRT(2*m_vide*g/Rho_moyen/S_para/Cx_para)</f>
        <v>10.363352699955428</v>
      </c>
      <c r="D30" s="488">
        <f>SQRT(2*m_satellite*g/Rho_moyen/S_satellite/Cx_satellite)</f>
        <v>12.655562623057198</v>
      </c>
      <c r="E30" s="3"/>
      <c r="F30" s="445"/>
      <c r="G30" s="3"/>
      <c r="H30" s="3"/>
      <c r="I30" s="3"/>
      <c r="J30" s="3"/>
      <c r="K30" s="449"/>
      <c r="L30" s="3"/>
      <c r="M30" s="3"/>
      <c r="N30" s="79"/>
      <c r="P30" s="565" t="str">
        <f ca="1">IF(OR(AND(Vsortie_de_rampe&lt;20,LEFT(Type_fusee,1)="F"),AND(Vsortie_de_rampe&lt;18, OR(LEFT(Type_fusee,1)=",",LEFT(Type_fusee,4)="Mini",LEFT(Type_fusee,1)="R"))),IF(Lang="Français","Fusée trop lourde ou rampe trop courte !","Rocket too heavy or launch pad too small!"),"")</f>
        <v/>
      </c>
    </row>
    <row r="31" spans="1:18" x14ac:dyDescent="0.2">
      <c r="A31" s="80"/>
      <c r="B31" s="166" t="str">
        <f>IF(Lang="Français","Durée descente",IF(Lang="English","Fall duration",""))</f>
        <v>Durée descente</v>
      </c>
      <c r="C31" s="165">
        <f ca="1">Alt_para/V_para</f>
        <v>94.347694858692805</v>
      </c>
      <c r="D31" s="165">
        <f ca="1">IF(V_satellite&lt;&gt;0,Alt_sat/V_satellite,0)</f>
        <v>30.213978771281983</v>
      </c>
      <c r="E31" s="3"/>
      <c r="F31" s="3"/>
      <c r="G31" s="3"/>
      <c r="H31" s="818" t="str">
        <f>IF(Lang="Français","Pour localiser la fusée","To locate the rocket")</f>
        <v>Pour localiser la fusée</v>
      </c>
      <c r="I31" s="818"/>
      <c r="J31" s="569"/>
      <c r="L31" s="3"/>
      <c r="M31" s="3"/>
      <c r="N31" s="456"/>
      <c r="P31" s="565" t="str">
        <f ca="1">IF(Temps_culmi-T_para&gt;2,IF(Lang="Français","Ouverture parachute fusée précoce.","Early rocket parachute opening."),IF(Temps_culmi-T_para&lt;-2,IF(Lang="Français","Ouverture parachute fusée tardive.","Late rocket parachute opening."),""))</f>
        <v>Ouverture parachute fusée précoce.</v>
      </c>
    </row>
    <row r="32" spans="1:18" x14ac:dyDescent="0.2">
      <c r="A32" s="80"/>
      <c r="B32" s="166" t="str">
        <f>IF(Lang="Français","Durée du vol",IF(Lang="English","Fligth duration",""))</f>
        <v>Durée du vol</v>
      </c>
      <c r="C32" s="165">
        <f ca="1">T_para+Dt_para</f>
        <v>102.3476948586928</v>
      </c>
      <c r="D32" s="165">
        <f ca="1">T_satellite+Dt_satellite</f>
        <v>33.713978771281987</v>
      </c>
      <c r="E32" s="3"/>
      <c r="F32" s="818" t="str">
        <f>IF(Lang="Français","Couleur fuselage/coiffe","Body/Nose color")</f>
        <v>Couleur fuselage/coiffe</v>
      </c>
      <c r="G32" s="818"/>
      <c r="H32" s="814" t="s">
        <v>267</v>
      </c>
      <c r="I32" s="815"/>
      <c r="J32" s="3"/>
      <c r="L32" s="3"/>
      <c r="M32" s="3"/>
      <c r="N32" s="455"/>
      <c r="P32" s="565" t="str">
        <f ca="1">IF(ABS(Temps_culmi-T_para)&gt;2,IF(Lang="Français","Attention, aux efforts sur le parachute lors de l'ouverture !","Becarefull to the opening chute efforts!"),"")</f>
        <v>Attention, aux efforts sur le parachute lors de l'ouverture !</v>
      </c>
    </row>
    <row r="33" spans="1:16" customFormat="1" x14ac:dyDescent="0.2">
      <c r="A33" s="96"/>
      <c r="B33" s="166" t="str">
        <f>IF(Lang="Français","Déport latéral",IF(Lang="English","Lateral shift",""))</f>
        <v>Déport latéral</v>
      </c>
      <c r="C33" s="184">
        <f ca="1">Alt_para*V_vent/V_para</f>
        <v>471.73847429346398</v>
      </c>
      <c r="D33" s="184">
        <f ca="1">IF(V_satellite&lt;&gt;0,Alt_sat*V_vent_sat/V_satellite,0)</f>
        <v>151.06989385640992</v>
      </c>
      <c r="E33" s="81"/>
      <c r="F33" s="818" t="str">
        <f>IF(Lang="Français","Couleur parachute fusée","Rocket parachute color")</f>
        <v>Couleur parachute fusée</v>
      </c>
      <c r="G33" s="818"/>
      <c r="H33" s="814" t="s">
        <v>268</v>
      </c>
      <c r="I33" s="815"/>
      <c r="J33" s="81"/>
      <c r="K33" s="81"/>
      <c r="L33" s="81"/>
      <c r="M33" s="81"/>
      <c r="N33" s="455" t="str">
        <f>IF(Lang="Français","fichier initial","Initial file")</f>
        <v>fichier initial</v>
      </c>
    </row>
    <row r="34" spans="1:16" x14ac:dyDescent="0.2">
      <c r="A34" s="80"/>
      <c r="B34" s="3"/>
      <c r="C34" s="3"/>
      <c r="D34" s="3"/>
      <c r="E34" s="3"/>
      <c r="F34" s="818" t="str">
        <f>IF(Lang="Français","Couleur parachute satellite","Satellite parachute color")</f>
        <v>Couleur parachute satellite</v>
      </c>
      <c r="G34" s="818"/>
      <c r="H34" s="822" t="s">
        <v>159</v>
      </c>
      <c r="I34" s="822"/>
      <c r="J34" s="3"/>
      <c r="K34" s="3"/>
      <c r="L34" s="3"/>
      <c r="M34" s="3"/>
      <c r="N34" s="454" t="str">
        <f>IF(ROUND(SUM(Propu!5:1228),0)=395253,"propu OK","propu NOK")</f>
        <v>propu OK</v>
      </c>
      <c r="P34"/>
    </row>
    <row r="35" spans="1:16" ht="13.5" thickBot="1" x14ac:dyDescent="0.25">
      <c r="A35" s="82"/>
      <c r="B35" s="215" t="str">
        <f>IF(Lang="Français","Commentaire libre :",IF(Lang="English","Free comment:",""))</f>
        <v>Commentaire libre :</v>
      </c>
      <c r="C35" s="83"/>
      <c r="D35" s="83"/>
      <c r="E35" s="83"/>
      <c r="F35" s="83"/>
      <c r="G35" s="83"/>
      <c r="H35" s="83"/>
      <c r="I35" s="83"/>
      <c r="J35" s="83"/>
      <c r="K35" s="83"/>
      <c r="L35" s="83"/>
      <c r="M35" s="83"/>
      <c r="N35" s="340" t="s">
        <v>546</v>
      </c>
      <c r="P35"/>
    </row>
    <row r="38" spans="1:16" x14ac:dyDescent="0.2">
      <c r="A38" s="819" t="str">
        <f>IF(Lang="Français","Calcul de la surface d'un parachute","Parachute surface calculation")</f>
        <v>Calcul de la surface d'un parachute</v>
      </c>
      <c r="B38" s="820"/>
      <c r="C38" s="820"/>
      <c r="D38" s="821"/>
      <c r="F38" s="819" t="str">
        <f>IF(Lang="Français","Résultats détaillés","Detailled results")</f>
        <v>Résultats détaillés</v>
      </c>
      <c r="G38" s="821"/>
      <c r="H38" s="203" t="str">
        <f>IF(Lang="Français","Temps",IF(Lang="English","Time",""))</f>
        <v>Temps</v>
      </c>
      <c r="I38" s="167" t="s">
        <v>12</v>
      </c>
      <c r="J38" s="167" t="str">
        <f>IF(Lang="Français","Portée x",IF(Lang="English","Range x",""))</f>
        <v>Portée x</v>
      </c>
      <c r="K38" s="167" t="str">
        <f>IF(Lang="Français","Vitesse",IF(Lang="English","Velocity",""))</f>
        <v>Vitesse</v>
      </c>
      <c r="L38" s="168" t="s">
        <v>13</v>
      </c>
      <c r="M38" s="167" t="s">
        <v>42</v>
      </c>
    </row>
    <row r="39" spans="1:16" x14ac:dyDescent="0.2">
      <c r="A39" s="194"/>
      <c r="B39" s="3"/>
      <c r="C39" s="3"/>
      <c r="D39" s="195"/>
      <c r="F39" s="205"/>
      <c r="G39" s="206"/>
      <c r="H39" s="204" t="s">
        <v>154</v>
      </c>
      <c r="I39" s="169" t="s">
        <v>39</v>
      </c>
      <c r="J39" s="169" t="s">
        <v>39</v>
      </c>
      <c r="K39" s="169" t="s">
        <v>155</v>
      </c>
      <c r="L39" s="169" t="s">
        <v>7</v>
      </c>
      <c r="M39" s="169" t="s">
        <v>156</v>
      </c>
    </row>
    <row r="40" spans="1:16" x14ac:dyDescent="0.2">
      <c r="A40" s="194"/>
      <c r="B40" s="3"/>
      <c r="C40" s="3"/>
      <c r="D40" s="195"/>
      <c r="F40" s="843" t="str">
        <f>IF(Lang="Français","Décollage",IF(Lang="English","Lift-Off",""))</f>
        <v>Décollage</v>
      </c>
      <c r="G40" s="843"/>
      <c r="H40" s="183">
        <v>0</v>
      </c>
      <c r="I40" s="183">
        <v>0</v>
      </c>
      <c r="J40" s="183">
        <v>0</v>
      </c>
      <c r="K40" s="183">
        <v>0</v>
      </c>
      <c r="L40" s="181" t="s">
        <v>14</v>
      </c>
      <c r="M40" s="182">
        <f>Beta_rampe</f>
        <v>80</v>
      </c>
    </row>
    <row r="41" spans="1:16" x14ac:dyDescent="0.2">
      <c r="A41" s="194"/>
      <c r="B41" s="3"/>
      <c r="C41" s="3"/>
      <c r="D41" s="195"/>
      <c r="F41" s="830" t="str">
        <f>IF(Lang="Français","Sortie de Rampe",IF(Lang="English","Launch-Pad Exit",""))</f>
        <v>Sortie de Rampe</v>
      </c>
      <c r="G41" s="830"/>
      <c r="H41" s="144">
        <f ca="1">INDEX(t,MATCH("Sortie de rampe",Event,0))</f>
        <v>0.33000000000000013</v>
      </c>
      <c r="I41" s="144">
        <f ca="1">INDEX(pos_z,MATCH("Sortie de rampe",Event,0))</f>
        <v>3.7764718769865033</v>
      </c>
      <c r="J41" s="144">
        <f ca="1">INDEX(pos_x,MATCH("Sortie de rampe",Event,0))</f>
        <v>0.66585628711453981</v>
      </c>
      <c r="K41" s="145">
        <f ca="1">INDEX(vit_xz,MATCH("Sortie de rampe",Event,0))</f>
        <v>25.047800240115347</v>
      </c>
      <c r="L41" s="146">
        <f ca="1">INDEX(acc_xz,MATCH("Sortie de rampe",Event,0))</f>
        <v>80.081584186140006</v>
      </c>
      <c r="M41" s="146">
        <f ca="1">INDEX(BetaD,MATCH("Sortie de rampe",Event,0))</f>
        <v>80</v>
      </c>
    </row>
    <row r="42" spans="1:16" x14ac:dyDescent="0.2">
      <c r="A42" s="194"/>
      <c r="B42" s="199" t="str">
        <f>IF(Lang="Français","Longeur du bord","Side length")</f>
        <v>Longeur du bord</v>
      </c>
      <c r="C42" s="3"/>
      <c r="D42" s="195"/>
      <c r="F42" s="830" t="str">
        <f>IF(Lang="Français","Vit max &amp; Acc max",IF(Lang="English","Max Velocity &amp; Acc",""))</f>
        <v>Vit max &amp; Acc max</v>
      </c>
      <c r="G42" s="830"/>
      <c r="H42" s="144" t="s">
        <v>14</v>
      </c>
      <c r="I42" s="144" t="s">
        <v>14</v>
      </c>
      <c r="J42" s="144" t="s">
        <v>14</v>
      </c>
      <c r="K42" s="147">
        <f ca="1">MAX(vit_xz)</f>
        <v>179.2876292360306</v>
      </c>
      <c r="L42" s="148">
        <f ca="1">MAX(acc_xz)</f>
        <v>85.232370028523292</v>
      </c>
      <c r="M42" s="145" t="s">
        <v>14</v>
      </c>
    </row>
    <row r="43" spans="1:16" x14ac:dyDescent="0.2">
      <c r="A43" s="194"/>
      <c r="B43" s="200">
        <v>500</v>
      </c>
      <c r="C43" s="3"/>
      <c r="D43" s="195"/>
      <c r="F43" s="830" t="str">
        <f>IF(Lang="Français","Fin de Propulsion",IF(Lang="English","Motor Burn-Out",""))</f>
        <v>Fin de Propulsion</v>
      </c>
      <c r="G43" s="830"/>
      <c r="H43" s="146">
        <f ca="1">INDEX(t,MATCH("Fin de propulsion",Event,0))</f>
        <v>3.5999999999999672</v>
      </c>
      <c r="I43" s="149">
        <f ca="1">INDEX(pos_z,MATCH("Fin de propulsion",Event,0))</f>
        <v>399.53290118753068</v>
      </c>
      <c r="J43" s="149">
        <f ca="1">INDEX(pos_x,MATCH("Fin de propulsion",Event,0))</f>
        <v>90.302211441446616</v>
      </c>
      <c r="K43" s="150">
        <f ca="1">INDEX(vit_xz,MATCH("Fin de propulsion",Event,0))</f>
        <v>175.69801909725001</v>
      </c>
      <c r="L43" s="146">
        <f ca="1">INDEX(acc_xz,MATCH("Fin de propulsion",Event,0))</f>
        <v>21.199519329739626</v>
      </c>
      <c r="M43" s="146">
        <f ca="1">INDEX(BetaD,MATCH("Fin de propulsion",Event,0))</f>
        <v>76.169781718413759</v>
      </c>
    </row>
    <row r="44" spans="1:16" x14ac:dyDescent="0.2">
      <c r="A44" s="194"/>
      <c r="B44" s="199" t="str">
        <f>IF(Lang="Français","Largeur du coté","Side width")</f>
        <v>Largeur du coté</v>
      </c>
      <c r="C44" s="3"/>
      <c r="D44" s="195"/>
      <c r="F44" s="830" t="s">
        <v>15</v>
      </c>
      <c r="G44" s="830"/>
      <c r="H44" s="148">
        <f ca="1">INDEX(t,MATCH("Apogée",Event,0))</f>
        <v>16.899999999999928</v>
      </c>
      <c r="I44" s="147">
        <f ca="1">INDEX(pos_z,MATCH("Apogée",Event,0))</f>
        <v>1390.4230491725832</v>
      </c>
      <c r="J44" s="151">
        <f ca="1">INDEX(pos_x,MATCH("Apogée",Event,0))</f>
        <v>523.69799483853797</v>
      </c>
      <c r="K44" s="151">
        <f ca="1">INDEX(vit_xz,MATCH("Apogée",Event,0))</f>
        <v>28.216112506228573</v>
      </c>
      <c r="L44" s="145">
        <f ca="1">INDEX(acc_xz,MATCH("Apogée",Event,0))</f>
        <v>9.8234526143352916</v>
      </c>
      <c r="M44" s="152">
        <f ca="1">INDEX(BetaD,MATCH("Apogée",Event,0))</f>
        <v>8.0946537498341797E-2</v>
      </c>
    </row>
    <row r="45" spans="1:16" x14ac:dyDescent="0.2">
      <c r="A45" s="194"/>
      <c r="B45" s="201">
        <v>500</v>
      </c>
      <c r="C45" s="3"/>
      <c r="D45" s="195"/>
      <c r="F45" s="845" t="str">
        <f>IF(Lang="Français","Impact balistique",IF(Lang="English","Balistic Impact",""))</f>
        <v>Impact balistique</v>
      </c>
      <c r="G45" s="845"/>
      <c r="H45" s="145">
        <f ca="1">INDEX(t,MATCH("Impact balistique",Event,0))</f>
        <v>35.300000000000189</v>
      </c>
      <c r="I45" s="181" t="s">
        <v>16</v>
      </c>
      <c r="J45" s="147">
        <f ca="1">INDEX(pos_x,MATCH("Impact balistique",Event,0))</f>
        <v>953.1802660510491</v>
      </c>
      <c r="K45" s="150">
        <f ca="1">INDEX(vit_xz,MATCH("Impact balistique",Event,0))</f>
        <v>131.21267378336242</v>
      </c>
      <c r="L45" s="145">
        <f ca="1">INDEX(acc_xz,MATCH("Impact balistique",Event,0))</f>
        <v>3.3209989403345541</v>
      </c>
      <c r="M45" s="145">
        <f ca="1">INDEX(BetaD,MATCH("Impact balistique",Event,0))</f>
        <v>-82.826347310326369</v>
      </c>
    </row>
    <row r="46" spans="1:16" x14ac:dyDescent="0.2">
      <c r="A46" s="194"/>
      <c r="B46" s="202" t="s">
        <v>9</v>
      </c>
      <c r="C46" s="3"/>
      <c r="D46" s="195"/>
      <c r="F46" s="828" t="str">
        <f>IF(Lang="Français","Ouverture parachute fusée",IF(Lang="English","Rocket parachute opening",""))</f>
        <v>Ouverture parachute fusée</v>
      </c>
      <c r="G46" s="828"/>
      <c r="H46" s="153">
        <f>T_para</f>
        <v>8</v>
      </c>
      <c r="I46" s="154">
        <f ca="1">INDEX(pos_z,MATCH("Para",Event_para,0))</f>
        <v>977.7584382484049</v>
      </c>
      <c r="J46" s="154">
        <f ca="1">INDEX(pos_x,MATCH("Para",Event_para,0))</f>
        <v>254.46426557929846</v>
      </c>
      <c r="K46" s="154">
        <f ca="1">INDEX(vit_xz,MATCH("Para",Event_para,0))</f>
        <v>103.3610632558777</v>
      </c>
      <c r="L46" s="155">
        <f ca="1">INDEX(acc_xz,MATCH("Para",Event_para,0))</f>
        <v>13.521087021856145</v>
      </c>
      <c r="M46" s="156">
        <f ca="1">INDEX(BetaD,MATCH("Para",Event_para,0))</f>
        <v>70.961391593432211</v>
      </c>
    </row>
    <row r="47" spans="1:16" x14ac:dyDescent="0.2">
      <c r="A47" s="194"/>
      <c r="B47" s="207">
        <f>(4*B43*B45+B43^2)/10^6</f>
        <v>1.25</v>
      </c>
      <c r="C47" s="3"/>
      <c r="D47" s="195"/>
      <c r="F47" s="846" t="str">
        <f>IF(Lang="Français","Impact fusée sous para.",IF(Lang="English","Impact of rocket with para. ",""))</f>
        <v>Impact fusée sous para.</v>
      </c>
      <c r="G47" s="846"/>
      <c r="H47" s="157">
        <f ca="1">T_para+Dt_para</f>
        <v>102.3476948586928</v>
      </c>
      <c r="I47" s="159" t="s">
        <v>16</v>
      </c>
      <c r="J47" s="158" t="str">
        <f ca="1">CONCATENATE(TEXT(X_para-Dx_para,"0")," | ",TEXT(X_para+Dx_para,"0"))</f>
        <v>-217 | 726</v>
      </c>
      <c r="K47" s="160">
        <f ca="1">V_para</f>
        <v>10.363352699955428</v>
      </c>
      <c r="L47" s="161">
        <f>g</f>
        <v>9.81</v>
      </c>
      <c r="M47" s="161" t="s">
        <v>14</v>
      </c>
    </row>
    <row r="48" spans="1:16" x14ac:dyDescent="0.2">
      <c r="A48" s="194"/>
      <c r="B48" s="3"/>
      <c r="C48" s="3"/>
      <c r="D48" s="195"/>
      <c r="F48" s="844" t="str">
        <f>IF(Lang="Français","Largage du satellite",IF(Lang="English","Satellite separation",""))</f>
        <v>Largage du satellite</v>
      </c>
      <c r="G48" s="832"/>
      <c r="H48" s="153">
        <f>IF(T_satellite&lt;&gt;0,T_satellite,"")</f>
        <v>3.5</v>
      </c>
      <c r="I48" s="154">
        <f ca="1">IF(T_satellite&lt;&gt;0,INDEX(pos_z,MATCH("Satellite",Event_sat,0)),"")</f>
        <v>382.37490043167992</v>
      </c>
      <c r="J48" s="162">
        <f ca="1">IF(T_satellite&lt;&gt;0,INDEX(pos_x,MATCH("Satellite",Event_sat,0)),"")</f>
        <v>86.090305084157677</v>
      </c>
      <c r="K48" s="154">
        <f ca="1">IF(T_satellite&lt;&gt;0,INDEX(vit_xz,MATCH("Satellite",Event_sat,0)),"")</f>
        <v>177.54749984001452</v>
      </c>
      <c r="L48" s="155">
        <f ca="1">IF(T_satellite&lt;&gt;0,INDEX(acc_xz,MATCH("Satellite",Event_sat,0)),"")</f>
        <v>15.180151824950267</v>
      </c>
      <c r="M48" s="156">
        <f ca="1">IF(T_satellite&lt;&gt;0,INDEX(BetaD,MATCH("Satellite",Event_sat,0)),"")</f>
        <v>76.245647038253182</v>
      </c>
    </row>
    <row r="49" spans="1:13" x14ac:dyDescent="0.2">
      <c r="A49" s="194"/>
      <c r="B49" s="3"/>
      <c r="C49" s="3"/>
      <c r="D49" s="195"/>
      <c r="F49" s="841" t="str">
        <f>IF(Lang="Français","Impact du satellite",IF(Lang="English","Satellite impact",""))</f>
        <v>Impact du satellite</v>
      </c>
      <c r="G49" s="842"/>
      <c r="H49" s="157">
        <f ca="1">IF(T_satellite&lt;&gt;0,T_satellite+Dt_satellite,"")</f>
        <v>33.713978771281987</v>
      </c>
      <c r="I49" s="163" t="str">
        <f>IF(T_satellite&lt;&gt;0,"~0","")</f>
        <v>~0</v>
      </c>
      <c r="J49" s="163" t="str">
        <f ca="1">IF(T_satellite&lt;&gt;0,CONCATENATE(TEXT(X_satellite-Dx_sat,"0")," | ",TEXT(X_satellite+Dx_sat,"0")),"")</f>
        <v>-65 | 237</v>
      </c>
      <c r="K49" s="163">
        <f>IF(T_satellite&lt;&gt;0,V_satellite,"")</f>
        <v>12.655562623057198</v>
      </c>
      <c r="L49" s="161">
        <f>IF(T_satellite&lt;&gt;0,g,"")</f>
        <v>9.81</v>
      </c>
      <c r="M49" s="164" t="str">
        <f>IF(T_satellite&lt;&gt;0,"-","")</f>
        <v>-</v>
      </c>
    </row>
    <row r="50" spans="1:13" x14ac:dyDescent="0.2">
      <c r="A50" s="194"/>
      <c r="B50" s="199" t="str">
        <f>IF(Lang="Français","Rayon exterieur","Half-diameter ext")</f>
        <v>Rayon exterieur</v>
      </c>
      <c r="C50" s="3"/>
      <c r="D50" s="195"/>
    </row>
    <row r="51" spans="1:13" x14ac:dyDescent="0.2">
      <c r="A51" s="194"/>
      <c r="B51" s="201">
        <v>800</v>
      </c>
      <c r="C51" s="3"/>
      <c r="D51" s="195"/>
    </row>
    <row r="52" spans="1:13" x14ac:dyDescent="0.2">
      <c r="A52" s="194"/>
      <c r="B52" s="199" t="str">
        <f>IF(Lang="Français","Rayon intérieur","Half-diameter int")</f>
        <v>Rayon intérieur</v>
      </c>
      <c r="C52" s="3"/>
      <c r="D52" s="195"/>
    </row>
    <row r="53" spans="1:13" x14ac:dyDescent="0.2">
      <c r="A53" s="194"/>
      <c r="B53" s="201">
        <v>75</v>
      </c>
      <c r="C53" s="3"/>
      <c r="D53" s="195"/>
    </row>
    <row r="54" spans="1:13" x14ac:dyDescent="0.2">
      <c r="A54" s="194"/>
      <c r="B54" s="202" t="s">
        <v>9</v>
      </c>
      <c r="C54" s="3"/>
      <c r="D54" s="195"/>
    </row>
    <row r="55" spans="1:13" x14ac:dyDescent="0.2">
      <c r="A55" s="194"/>
      <c r="B55" s="207">
        <f>PI()*(B51^2-B53^2)/10^6</f>
        <v>1.992947839621025</v>
      </c>
      <c r="C55" s="3"/>
      <c r="D55" s="195"/>
    </row>
    <row r="56" spans="1:13" x14ac:dyDescent="0.2">
      <c r="A56" s="196"/>
      <c r="B56" s="197"/>
      <c r="C56" s="197"/>
      <c r="D56" s="198"/>
    </row>
    <row r="57" spans="1:13" x14ac:dyDescent="0.2">
      <c r="B57" s="3"/>
      <c r="C57" s="3"/>
      <c r="D57" s="3"/>
    </row>
    <row r="58" spans="1:13" x14ac:dyDescent="0.2">
      <c r="B58" s="3"/>
      <c r="C58" s="3"/>
      <c r="D58" s="3"/>
    </row>
    <row r="59" spans="1:13" x14ac:dyDescent="0.2">
      <c r="A59" s="3"/>
      <c r="B59" s="3"/>
      <c r="C59" s="3"/>
      <c r="D59" s="3"/>
    </row>
    <row r="60" spans="1:13" x14ac:dyDescent="0.2">
      <c r="B60" s="3"/>
      <c r="C60" s="3"/>
      <c r="D60" s="3"/>
    </row>
    <row r="61" spans="1:13" x14ac:dyDescent="0.2">
      <c r="B61" s="3"/>
      <c r="C61" s="3"/>
      <c r="D61" s="3"/>
    </row>
    <row r="62" spans="1:13" x14ac:dyDescent="0.2">
      <c r="B62" s="3"/>
    </row>
    <row r="63" spans="1:13" x14ac:dyDescent="0.2">
      <c r="B63" s="3"/>
    </row>
    <row r="93" spans="2:2" x14ac:dyDescent="0.2">
      <c r="B93" s="35" t="str">
        <f>IF(Lang="Français","Vitesse de descente sous parachute :",IF(Lang="English","Fall velocity over parachute:",""))</f>
        <v>Vitesse de descente sous parachute :</v>
      </c>
    </row>
    <row r="102" spans="2:7" x14ac:dyDescent="0.2">
      <c r="B102" s="35" t="str">
        <f>IF(Lang="Français","Textes pour les listes déroulantes et graphiques :","Texts for drop-down lists &amp; graphics :")</f>
        <v>Textes pour les listes déroulantes et graphiques :</v>
      </c>
      <c r="F102" s="259" t="s">
        <v>409</v>
      </c>
      <c r="G102" s="1" t="s">
        <v>416</v>
      </c>
    </row>
    <row r="103" spans="2:7" x14ac:dyDescent="0.2">
      <c r="F103" s="562">
        <f ca="1">Combustion+Depotage-9</f>
        <v>-9</v>
      </c>
      <c r="G103" s="563" t="s">
        <v>411</v>
      </c>
    </row>
    <row r="104" spans="2:7" x14ac:dyDescent="0.2">
      <c r="B104" s="1" t="s">
        <v>121</v>
      </c>
      <c r="F104" s="562">
        <f ca="1">Combustion+Depotage-7</f>
        <v>-7</v>
      </c>
      <c r="G104" s="563" t="s">
        <v>412</v>
      </c>
    </row>
    <row r="105" spans="2:7" x14ac:dyDescent="0.2">
      <c r="B105" s="1" t="s">
        <v>122</v>
      </c>
      <c r="F105" s="562">
        <f ca="1">Combustion+Depotage-5</f>
        <v>-5</v>
      </c>
      <c r="G105" s="563" t="s">
        <v>413</v>
      </c>
    </row>
    <row r="106" spans="2:7" x14ac:dyDescent="0.2">
      <c r="B106" s="1" t="str">
        <f>IF(T_para&gt;0,IF(Lang="Français","Phase ascendante","Climbing phase"),"")</f>
        <v>Phase ascendante</v>
      </c>
      <c r="F106" s="562">
        <f ca="1">Combustion+Depotage-3</f>
        <v>-3</v>
      </c>
      <c r="G106" s="563" t="s">
        <v>414</v>
      </c>
    </row>
    <row r="107" spans="2:7" x14ac:dyDescent="0.2">
      <c r="B107" s="1" t="str">
        <f>IF(Lang="Français","Descente balistique","Balistic fall")</f>
        <v>Descente balistique</v>
      </c>
      <c r="F107" s="562">
        <f ca="1">Combustion+Depotage</f>
        <v>0</v>
      </c>
      <c r="G107" s="563" t="s">
        <v>415</v>
      </c>
    </row>
    <row r="108" spans="2:7" x14ac:dyDescent="0.2">
      <c r="B108" s="1" t="str">
        <f>IF(T_para&gt;0,IF(Lang="Français","Fusée sous parachute","Rocket under parachute"),"")</f>
        <v>Fusée sous parachute</v>
      </c>
      <c r="F108" s="564" t="str">
        <f>IF(Lang="Français","autre",IF(Lang="English","other",""))</f>
        <v>autre</v>
      </c>
    </row>
    <row r="109" spans="2:7" x14ac:dyDescent="0.2">
      <c r="B109" s="1" t="str">
        <f>IF(AND(Nb_sat="1 satellite",T_satellite&gt;0),IF(Lang="Français","Satellite sous parachute","Satellite over parachute"),"")</f>
        <v/>
      </c>
    </row>
    <row r="110" spans="2:7" x14ac:dyDescent="0.2">
      <c r="B110" s="1" t="str">
        <f>IF(Lang="Français","Trajectoire (x z)","Trajectory (x z)")</f>
        <v>Trajectoire (x z)</v>
      </c>
    </row>
    <row r="111" spans="2:7" x14ac:dyDescent="0.2">
      <c r="B111" s="1" t="str">
        <f>IF(Lang="Français","Portée x [m]","Range x [m]")</f>
        <v>Portée x [m]</v>
      </c>
    </row>
    <row r="112" spans="2:7" x14ac:dyDescent="0.2">
      <c r="B112" s="1" t="str">
        <f>IF(Lang="Français","Temps [s]","Time [s]")</f>
        <v>Temps [s]</v>
      </c>
    </row>
    <row r="113" spans="2:3" x14ac:dyDescent="0.2">
      <c r="B113" s="1" t="str">
        <f>IF(Lang="Français","Altitude z  /  Temps","Altitude z  /  Time")</f>
        <v>Altitude z  /  Temps</v>
      </c>
      <c r="C113" s="1">
        <f>IF(OR(C25=F102,C25=F108),C26,C25)</f>
        <v>8</v>
      </c>
    </row>
    <row r="115" spans="2:3" x14ac:dyDescent="0.2">
      <c r="B115" s="1" t="s">
        <v>410</v>
      </c>
    </row>
    <row r="117" spans="2:3" x14ac:dyDescent="0.2">
      <c r="B117" s="35" t="str">
        <f>IF(Lang="Français","Données pour les graphiques :","Data for plots:")</f>
        <v>Données pour les graphiques :</v>
      </c>
      <c r="C117" s="246" t="s">
        <v>48</v>
      </c>
    </row>
    <row r="118" spans="2:3" x14ac:dyDescent="0.2">
      <c r="C118" s="252">
        <f ca="1">MAX(Altitude_culmi,Portee_balistique)</f>
        <v>1390.4230491725832</v>
      </c>
    </row>
    <row r="119" spans="2:3" x14ac:dyDescent="0.2">
      <c r="B119" s="245" t="s">
        <v>48</v>
      </c>
      <c r="C119" s="9"/>
    </row>
    <row r="120" spans="2:3" x14ac:dyDescent="0.2">
      <c r="B120" s="256">
        <f ca="1">MAX(Altitude_culmi,Portee_balistique)</f>
        <v>1390.4230491725832</v>
      </c>
      <c r="C120" s="254" t="s">
        <v>46</v>
      </c>
    </row>
    <row r="121" spans="2:3" x14ac:dyDescent="0.2">
      <c r="B121" s="9"/>
      <c r="C121" s="250">
        <f ca="1">Alt_para</f>
        <v>977.7584382484049</v>
      </c>
    </row>
    <row r="122" spans="2:3" x14ac:dyDescent="0.2">
      <c r="B122" s="253" t="s">
        <v>50</v>
      </c>
      <c r="C122" s="250">
        <f ca="1">Alt_para/2</f>
        <v>488.87921912420245</v>
      </c>
    </row>
    <row r="123" spans="2:3" x14ac:dyDescent="0.2">
      <c r="B123" s="255">
        <f ca="1">X_para</f>
        <v>254.46426557929846</v>
      </c>
      <c r="C123" s="250">
        <v>0</v>
      </c>
    </row>
    <row r="124" spans="2:3" x14ac:dyDescent="0.2">
      <c r="B124" s="255">
        <f ca="1">X_para</f>
        <v>254.46426557929846</v>
      </c>
      <c r="C124" s="250">
        <f ca="1">Alt_para/20</f>
        <v>48.887921912420246</v>
      </c>
    </row>
    <row r="125" spans="2:3" x14ac:dyDescent="0.2">
      <c r="B125" s="255">
        <f ca="1">X_para</f>
        <v>254.46426557929846</v>
      </c>
      <c r="C125" s="250">
        <v>0</v>
      </c>
    </row>
    <row r="126" spans="2:3" x14ac:dyDescent="0.2">
      <c r="B126" s="255">
        <f ca="1">X_para+Alt_para/40</f>
        <v>278.90822653550856</v>
      </c>
      <c r="C126" s="250">
        <f ca="1">Alt_para/20</f>
        <v>48.887921912420246</v>
      </c>
    </row>
    <row r="127" spans="2:3" x14ac:dyDescent="0.2">
      <c r="B127" s="255">
        <f ca="1">X_para</f>
        <v>254.46426557929846</v>
      </c>
      <c r="C127" s="257">
        <v>0</v>
      </c>
    </row>
    <row r="128" spans="2:3" x14ac:dyDescent="0.2">
      <c r="B128" s="255">
        <f ca="1">X_para-Alt_para/40</f>
        <v>230.02030462308832</v>
      </c>
      <c r="C128" s="246" t="s">
        <v>46</v>
      </c>
    </row>
    <row r="129" spans="2:6" x14ac:dyDescent="0.2">
      <c r="B129" s="256">
        <f ca="1">X_para</f>
        <v>254.46426557929846</v>
      </c>
      <c r="C129" s="250">
        <f ca="1">Alt_para</f>
        <v>977.7584382484049</v>
      </c>
      <c r="E129" s="274">
        <v>1</v>
      </c>
      <c r="F129" s="275" t="s">
        <v>176</v>
      </c>
    </row>
    <row r="130" spans="2:6" x14ac:dyDescent="0.2">
      <c r="B130" s="245" t="s">
        <v>49</v>
      </c>
      <c r="C130" s="250">
        <f ca="1">(C129+C131)/2</f>
        <v>488.87921912420245</v>
      </c>
      <c r="E130" s="194">
        <v>1</v>
      </c>
      <c r="F130" s="276" t="s">
        <v>177</v>
      </c>
    </row>
    <row r="131" spans="2:6" x14ac:dyDescent="0.2">
      <c r="B131" s="249">
        <f>T_para</f>
        <v>8</v>
      </c>
      <c r="C131" s="250">
        <f>0</f>
        <v>0</v>
      </c>
      <c r="E131" s="194"/>
      <c r="F131" s="283" t="s">
        <v>178</v>
      </c>
    </row>
    <row r="132" spans="2:6" x14ac:dyDescent="0.2">
      <c r="B132" s="249">
        <f ca="1">(B131+B133)/2</f>
        <v>55.173847429346402</v>
      </c>
      <c r="C132" s="250">
        <f ca="1">Alt_para-V_para*(H47-T_para)+E129*sS*Altitude_culmi/H47*zZ_fus+E130*sS/2*Altitude_culmi/H47*tT_fus</f>
        <v>70.059865731393543</v>
      </c>
      <c r="E132" s="277" t="s">
        <v>173</v>
      </c>
      <c r="F132" s="278">
        <f ca="1">T_balistique/10</f>
        <v>3.5300000000000189</v>
      </c>
    </row>
    <row r="133" spans="2:6" x14ac:dyDescent="0.2">
      <c r="B133" s="249">
        <f ca="1">H47</f>
        <v>102.3476948586928</v>
      </c>
      <c r="C133" s="250">
        <f ca="1">Alt_para-V_para*(H47-T_para)</f>
        <v>0</v>
      </c>
      <c r="E133" s="277" t="s">
        <v>174</v>
      </c>
      <c r="F133" s="278">
        <f ca="1">(H47-T_para)/H47</f>
        <v>0.92183507395017283</v>
      </c>
    </row>
    <row r="134" spans="2:6" x14ac:dyDescent="0.2">
      <c r="B134" s="249">
        <f ca="1">H47+E129*sS/2*zZ_fus-E130*sS*tT_fus</f>
        <v>100.85861704764869</v>
      </c>
      <c r="C134" s="250">
        <f ca="1">Alt_para-V_para*(H47-T_para)+E129*sS*Altitude_culmi/H47*zZ_fus-E130*sS/2*Altitude_culmi/H47*tT_fus</f>
        <v>25.8522770942125</v>
      </c>
      <c r="E134" s="279" t="s">
        <v>175</v>
      </c>
      <c r="F134" s="280">
        <f ca="1">V_para*(H47-T_para)/Alt_para</f>
        <v>1</v>
      </c>
    </row>
    <row r="135" spans="2:6" x14ac:dyDescent="0.2">
      <c r="B135" s="249">
        <f ca="1">H47</f>
        <v>102.3476948586928</v>
      </c>
      <c r="C135" s="252">
        <f ca="1">Alt_para-V_para*(H47-T_para)</f>
        <v>0</v>
      </c>
    </row>
    <row r="136" spans="2:6" x14ac:dyDescent="0.2">
      <c r="B136" s="249">
        <f ca="1">H47-E129*sS/2*zZ_fus-E130*sS*tT_fus</f>
        <v>97.328617047648663</v>
      </c>
      <c r="C136" s="3"/>
    </row>
    <row r="137" spans="2:6" x14ac:dyDescent="0.2">
      <c r="B137" s="251">
        <f ca="1">H47</f>
        <v>102.3476948586928</v>
      </c>
      <c r="C137" s="254" t="s">
        <v>47</v>
      </c>
    </row>
    <row r="138" spans="2:6" x14ac:dyDescent="0.2">
      <c r="B138" s="3"/>
      <c r="C138" s="250" t="b">
        <f>IF(Nb_sat="1 satellite",Alt_sat)</f>
        <v>0</v>
      </c>
    </row>
    <row r="139" spans="2:6" x14ac:dyDescent="0.2">
      <c r="B139" s="253" t="s">
        <v>52</v>
      </c>
      <c r="C139" s="250" t="b">
        <f>IF(Nb_sat="1 satellite",Alt_sat*1/4)</f>
        <v>0</v>
      </c>
    </row>
    <row r="140" spans="2:6" x14ac:dyDescent="0.2">
      <c r="B140" s="255" t="b">
        <f>IF(Nb_sat="1 satellite",X_satellite)</f>
        <v>0</v>
      </c>
      <c r="C140" s="250" t="b">
        <f>IF(Nb_sat="1 satellite",0)</f>
        <v>0</v>
      </c>
    </row>
    <row r="141" spans="2:6" x14ac:dyDescent="0.2">
      <c r="B141" s="255" t="b">
        <f>IF(Nb_sat="1 satellite",X_satellite)</f>
        <v>0</v>
      </c>
      <c r="C141" s="250" t="b">
        <f>IF(Nb_sat="1 satellite",Alt_sat/20)</f>
        <v>0</v>
      </c>
    </row>
    <row r="142" spans="2:6" x14ac:dyDescent="0.2">
      <c r="B142" s="255" t="b">
        <f>IF(Nb_sat="1 satellite",X_satellite)</f>
        <v>0</v>
      </c>
      <c r="C142" s="250" t="b">
        <f>IF(Nb_sat="1 satellite",0)</f>
        <v>0</v>
      </c>
    </row>
    <row r="143" spans="2:6" x14ac:dyDescent="0.2">
      <c r="B143" s="255" t="b">
        <f>IF(Nb_sat="1 satellite",X_satellite+Alt_sat/40)</f>
        <v>0</v>
      </c>
      <c r="C143" s="250" t="b">
        <f>IF(Nb_sat="1 satellite",Alt_sat/20)</f>
        <v>0</v>
      </c>
    </row>
    <row r="144" spans="2:6" x14ac:dyDescent="0.2">
      <c r="B144" s="255" t="b">
        <f>IF(Nb_sat="1 satellite",X_satellite)</f>
        <v>0</v>
      </c>
      <c r="C144" s="250" t="b">
        <f>IF(Nb_sat="1 satellite",0)</f>
        <v>0</v>
      </c>
    </row>
    <row r="145" spans="2:6" x14ac:dyDescent="0.2">
      <c r="B145" s="255" t="b">
        <f>IF(Nb_sat="1 satellite",X_satellite-Alt_sat/40)</f>
        <v>0</v>
      </c>
      <c r="C145" s="246" t="s">
        <v>47</v>
      </c>
    </row>
    <row r="146" spans="2:6" x14ac:dyDescent="0.2">
      <c r="B146" s="256" t="b">
        <f>IF(Nb_sat="1 satellite",X_satellite)</f>
        <v>0</v>
      </c>
      <c r="C146" s="250" t="b">
        <f>IF(Nb_sat="1 satellite",Alt_sat)</f>
        <v>0</v>
      </c>
      <c r="D146" s="259"/>
    </row>
    <row r="147" spans="2:6" x14ac:dyDescent="0.2">
      <c r="B147" s="245" t="s">
        <v>51</v>
      </c>
      <c r="C147" s="250">
        <f>(C146+C148)/2</f>
        <v>0</v>
      </c>
      <c r="D147" s="259"/>
    </row>
    <row r="148" spans="2:6" x14ac:dyDescent="0.2">
      <c r="B148" s="249" t="b">
        <f>IF(Nb_sat="1 satellite",T_satellite)</f>
        <v>0</v>
      </c>
      <c r="C148" s="250" t="b">
        <f>IF(Nb_sat="1 satellite",0)</f>
        <v>0</v>
      </c>
    </row>
    <row r="149" spans="2:6" x14ac:dyDescent="0.2">
      <c r="B149" s="249">
        <f>(B148+B150)/2</f>
        <v>0</v>
      </c>
      <c r="C149" s="250" t="b">
        <f>IF(Nb_sat="1 satellite",Alt_sat-V_satellite*(H49-T_satellite)+E129*sS*Altitude_culmi/H49*zZ_sat+E130*sS/2*Altitude_culmi/H49*tT_sat)</f>
        <v>0</v>
      </c>
      <c r="D149" s="259"/>
    </row>
    <row r="150" spans="2:6" x14ac:dyDescent="0.2">
      <c r="B150" s="249" t="b">
        <f>IF(Nb_sat="1 satellite",H49)</f>
        <v>0</v>
      </c>
      <c r="C150" s="250" t="b">
        <f>IF(Nb_sat="1 satellite",0)</f>
        <v>0</v>
      </c>
      <c r="E150" s="281" t="s">
        <v>174</v>
      </c>
      <c r="F150" s="282">
        <f ca="1">(T_balistique-T_satellite)/T_balistique</f>
        <v>0.90084985835694109</v>
      </c>
    </row>
    <row r="151" spans="2:6" x14ac:dyDescent="0.2">
      <c r="B151" s="249" t="b">
        <f>IF(Nb_sat="1 satellite",H49+E129*sS/2*zZ_sat-E130*sS*tT_sat)</f>
        <v>0</v>
      </c>
      <c r="C151" s="250" t="b">
        <f>IF(Nb_sat="1 satellite",Alt_sat-V_satellite*(H49-T_satellite)+E129*sS*Altitude_culmi/H49*zZ_sat-E130*sS/2*Altitude_culmi/H49*tT_sat)</f>
        <v>0</v>
      </c>
      <c r="E151" s="279" t="s">
        <v>175</v>
      </c>
      <c r="F151" s="280">
        <f ca="1">V_satellite*(T_balistique-T_satellite)/Alt_sat</f>
        <v>1.0524929616428307</v>
      </c>
    </row>
    <row r="152" spans="2:6" x14ac:dyDescent="0.2">
      <c r="B152" s="249" t="b">
        <f>IF(Nb_sat="1 satellite",H49)</f>
        <v>0</v>
      </c>
      <c r="C152" s="252" t="b">
        <f>IF(Nb_sat="1 satellite",0)</f>
        <v>0</v>
      </c>
    </row>
    <row r="153" spans="2:6" x14ac:dyDescent="0.2">
      <c r="B153" s="249" t="b">
        <f>IF(Nb_sat="1 satellite",H49-sS/2*zZ_sat-E130*sS*tT_sat)</f>
        <v>0</v>
      </c>
    </row>
    <row r="154" spans="2:6" x14ac:dyDescent="0.2">
      <c r="B154" s="251" t="b">
        <f>IF(Nb_sat="1 satellite",H49)</f>
        <v>0</v>
      </c>
      <c r="C154" s="267" t="s">
        <v>29</v>
      </c>
      <c r="D154" s="246" t="s">
        <v>3</v>
      </c>
    </row>
    <row r="155" spans="2:6" x14ac:dyDescent="0.2">
      <c r="C155" s="272">
        <f ca="1">Alt_para/2</f>
        <v>488.87921912420245</v>
      </c>
      <c r="D155" s="273">
        <f ca="1">X_para/4</f>
        <v>63.616066394824614</v>
      </c>
    </row>
    <row r="156" spans="2:6" x14ac:dyDescent="0.2">
      <c r="B156" s="245" t="s">
        <v>2</v>
      </c>
      <c r="C156" s="269">
        <f ca="1">Altitude_culmi/2</f>
        <v>695.2115245862916</v>
      </c>
      <c r="D156" s="270">
        <f ca="1">X_culmi+(Portee_balistique-X_culmi)*2/3</f>
        <v>810.01950898021209</v>
      </c>
    </row>
    <row r="157" spans="2:6" x14ac:dyDescent="0.2">
      <c r="B157" s="271">
        <f>T_para/4</f>
        <v>2</v>
      </c>
    </row>
    <row r="158" spans="2:6" x14ac:dyDescent="0.2">
      <c r="B158" s="268">
        <f ca="1">Temps_culmi + (T_balistique-Temps_culmi)/2</f>
        <v>26.100000000000058</v>
      </c>
      <c r="C158" s="267" t="s">
        <v>304</v>
      </c>
      <c r="D158" s="484" t="s">
        <v>306</v>
      </c>
      <c r="E158" s="484"/>
      <c r="F158" s="485" t="s">
        <v>306</v>
      </c>
    </row>
    <row r="159" spans="2:6" x14ac:dyDescent="0.2">
      <c r="C159" s="303">
        <v>0</v>
      </c>
      <c r="D159" s="272">
        <f t="shared" ref="D159:D174" ca="1" si="0">X_culmi+C159</f>
        <v>523.69799483853797</v>
      </c>
      <c r="E159" s="272"/>
      <c r="F159" s="273">
        <f t="shared" ref="F159:F174" ca="1" si="1">X_culmi-C159</f>
        <v>523.69799483853797</v>
      </c>
    </row>
    <row r="160" spans="2:6" x14ac:dyDescent="0.2">
      <c r="B160" s="245" t="s">
        <v>305</v>
      </c>
      <c r="C160" s="303">
        <v>23</v>
      </c>
      <c r="D160" s="272">
        <f t="shared" ca="1" si="0"/>
        <v>546.69799483853797</v>
      </c>
      <c r="E160" s="272"/>
      <c r="F160" s="273">
        <f t="shared" ca="1" si="1"/>
        <v>500.69799483853797</v>
      </c>
    </row>
    <row r="161" spans="2:6" x14ac:dyDescent="0.2">
      <c r="B161" s="271" t="e">
        <f ca="1">IF(AND(Altitude_culmi&gt;80, Altitude_culmi&lt;=350), 49, NA())</f>
        <v>#N/A</v>
      </c>
      <c r="C161" s="303">
        <v>23</v>
      </c>
      <c r="D161" s="272">
        <f t="shared" ca="1" si="0"/>
        <v>546.69799483853797</v>
      </c>
      <c r="E161" s="272"/>
      <c r="F161" s="273">
        <f t="shared" ca="1" si="1"/>
        <v>500.69799483853797</v>
      </c>
    </row>
    <row r="162" spans="2:6" x14ac:dyDescent="0.2">
      <c r="B162" s="271" t="e">
        <f ca="1">IF(AND(Altitude_culmi&gt;80, Altitude_culmi&lt;=350), 49, NA())</f>
        <v>#N/A</v>
      </c>
      <c r="C162" s="303">
        <v>0</v>
      </c>
      <c r="D162" s="272">
        <f t="shared" ca="1" si="0"/>
        <v>523.69799483853797</v>
      </c>
      <c r="E162" s="272"/>
      <c r="F162" s="273">
        <f t="shared" ca="1" si="1"/>
        <v>523.69799483853797</v>
      </c>
    </row>
    <row r="163" spans="2:6" x14ac:dyDescent="0.2">
      <c r="B163" s="271" t="e">
        <f ca="1">IF(AND(Altitude_culmi&gt;80, Altitude_culmi&lt;=350), 43, NA())</f>
        <v>#N/A</v>
      </c>
      <c r="C163" s="303">
        <v>23</v>
      </c>
      <c r="D163" s="272">
        <f t="shared" ca="1" si="0"/>
        <v>546.69799483853797</v>
      </c>
      <c r="E163" s="272"/>
      <c r="F163" s="273">
        <f t="shared" ca="1" si="1"/>
        <v>500.69799483853797</v>
      </c>
    </row>
    <row r="164" spans="2:6" x14ac:dyDescent="0.2">
      <c r="B164" s="271" t="e">
        <f ca="1">IF(AND(Altitude_culmi&gt;80, Altitude_culmi&lt;=350), 43, NA())</f>
        <v>#N/A</v>
      </c>
      <c r="C164" s="303">
        <v>23</v>
      </c>
      <c r="D164" s="272">
        <f t="shared" ca="1" si="0"/>
        <v>546.69799483853797</v>
      </c>
      <c r="E164" s="272"/>
      <c r="F164" s="273">
        <f t="shared" ca="1" si="1"/>
        <v>500.69799483853797</v>
      </c>
    </row>
    <row r="165" spans="2:6" x14ac:dyDescent="0.2">
      <c r="B165" s="271" t="e">
        <f ca="1">IF(AND(Altitude_culmi&gt;80, Altitude_culmi&lt;=350), 43, NA())</f>
        <v>#N/A</v>
      </c>
      <c r="C165" s="303">
        <v>8</v>
      </c>
      <c r="D165" s="272">
        <f t="shared" ca="1" si="0"/>
        <v>531.69799483853797</v>
      </c>
      <c r="E165" s="272"/>
      <c r="F165" s="273">
        <f t="shared" ca="1" si="1"/>
        <v>515.69799483853797</v>
      </c>
    </row>
    <row r="166" spans="2:6" x14ac:dyDescent="0.2">
      <c r="B166" s="271" t="e">
        <f ca="1">IF(AND(Altitude_culmi&gt;80, Altitude_culmi&lt;=350), 0.5, NA())</f>
        <v>#N/A</v>
      </c>
      <c r="C166" s="303">
        <v>8</v>
      </c>
      <c r="D166" s="272">
        <f t="shared" ca="1" si="0"/>
        <v>531.69799483853797</v>
      </c>
      <c r="E166" s="272"/>
      <c r="F166" s="273">
        <f t="shared" ca="1" si="1"/>
        <v>515.69799483853797</v>
      </c>
    </row>
    <row r="167" spans="2:6" x14ac:dyDescent="0.2">
      <c r="B167" s="271" t="e">
        <f ca="1">IF(AND(Altitude_culmi&gt;80, Altitude_culmi&lt;=350), 0.5, NA())</f>
        <v>#N/A</v>
      </c>
      <c r="C167" s="303">
        <v>23</v>
      </c>
      <c r="D167" s="272">
        <f t="shared" ca="1" si="0"/>
        <v>546.69799483853797</v>
      </c>
      <c r="E167" s="272"/>
      <c r="F167" s="273">
        <f t="shared" ca="1" si="1"/>
        <v>500.69799483853797</v>
      </c>
    </row>
    <row r="168" spans="2:6" x14ac:dyDescent="0.2">
      <c r="B168" s="271" t="e">
        <f ca="1">IF(AND(Altitude_culmi&gt;80, Altitude_culmi&lt;=350), 27, NA())</f>
        <v>#N/A</v>
      </c>
      <c r="C168" s="303">
        <v>8</v>
      </c>
      <c r="D168" s="272">
        <f t="shared" ca="1" si="0"/>
        <v>531.69799483853797</v>
      </c>
      <c r="E168" s="272"/>
      <c r="F168" s="273">
        <f t="shared" ca="1" si="1"/>
        <v>515.69799483853797</v>
      </c>
    </row>
    <row r="169" spans="2:6" x14ac:dyDescent="0.2">
      <c r="B169" s="271" t="e">
        <f ca="1">IF(AND(Altitude_culmi&gt;80, Altitude_culmi&lt;=350), 27, NA())</f>
        <v>#N/A</v>
      </c>
      <c r="C169" s="303">
        <v>7.6</v>
      </c>
      <c r="D169" s="272">
        <f t="shared" ca="1" si="0"/>
        <v>531.29799483853799</v>
      </c>
      <c r="E169" s="272"/>
      <c r="F169" s="273">
        <f t="shared" ca="1" si="1"/>
        <v>516.09799483853794</v>
      </c>
    </row>
    <row r="170" spans="2:6" x14ac:dyDescent="0.2">
      <c r="B170" s="271" t="e">
        <f ca="1">IF(AND(Altitude_culmi&gt;80, Altitude_culmi&lt;=350), 27, NA())</f>
        <v>#N/A</v>
      </c>
      <c r="C170" s="303">
        <v>6.8</v>
      </c>
      <c r="D170" s="272">
        <f t="shared" ca="1" si="0"/>
        <v>530.49799483853792</v>
      </c>
      <c r="E170" s="272"/>
      <c r="F170" s="273">
        <f t="shared" ca="1" si="1"/>
        <v>516.89799483853801</v>
      </c>
    </row>
    <row r="171" spans="2:6" x14ac:dyDescent="0.2">
      <c r="B171" s="271" t="e">
        <f ca="1">IF(AND(Altitude_culmi&gt;80, Altitude_culmi&lt;=350), 29, NA())</f>
        <v>#N/A</v>
      </c>
      <c r="C171" s="303">
        <v>6</v>
      </c>
      <c r="D171" s="272">
        <f t="shared" ca="1" si="0"/>
        <v>529.69799483853797</v>
      </c>
      <c r="E171" s="272"/>
      <c r="F171" s="273">
        <f t="shared" ca="1" si="1"/>
        <v>517.69799483853797</v>
      </c>
    </row>
    <row r="172" spans="2:6" x14ac:dyDescent="0.2">
      <c r="B172" s="271" t="e">
        <f ca="1">IF(AND(Altitude_culmi&gt;80, Altitude_culmi&lt;=350), 31, NA())</f>
        <v>#N/A</v>
      </c>
      <c r="C172" s="303">
        <v>5</v>
      </c>
      <c r="D172" s="272">
        <f t="shared" ca="1" si="0"/>
        <v>528.69799483853797</v>
      </c>
      <c r="E172" s="272"/>
      <c r="F172" s="273">
        <f t="shared" ca="1" si="1"/>
        <v>518.69799483853797</v>
      </c>
    </row>
    <row r="173" spans="2:6" x14ac:dyDescent="0.2">
      <c r="B173" s="271" t="e">
        <f ca="1">IF(AND(Altitude_culmi&gt;80, Altitude_culmi&lt;=350), 32, NA())</f>
        <v>#N/A</v>
      </c>
      <c r="C173" s="303">
        <v>3.8</v>
      </c>
      <c r="D173" s="272">
        <f t="shared" ca="1" si="0"/>
        <v>527.49799483853792</v>
      </c>
      <c r="E173" s="272"/>
      <c r="F173" s="273">
        <f t="shared" ca="1" si="1"/>
        <v>519.89799483853801</v>
      </c>
    </row>
    <row r="174" spans="2:6" x14ac:dyDescent="0.2">
      <c r="B174" s="271" t="e">
        <f ca="1">IF(AND(Altitude_culmi&gt;80, Altitude_culmi&lt;=350), 33, NA())</f>
        <v>#N/A</v>
      </c>
      <c r="C174" s="482">
        <v>0</v>
      </c>
      <c r="D174" s="483">
        <f t="shared" ca="1" si="0"/>
        <v>523.69799483853797</v>
      </c>
      <c r="E174" s="483"/>
      <c r="F174" s="270">
        <f t="shared" ca="1" si="1"/>
        <v>523.69799483853797</v>
      </c>
    </row>
    <row r="175" spans="2:6" x14ac:dyDescent="0.2">
      <c r="B175" s="271" t="e">
        <f ca="1">IF(AND(Altitude_culmi&gt;80, Altitude_culmi&lt;=350), 34, NA())</f>
        <v>#N/A</v>
      </c>
    </row>
    <row r="176" spans="2:6" x14ac:dyDescent="0.2">
      <c r="B176" s="268" t="e">
        <f ca="1">IF(AND(Altitude_culmi&gt;80, Altitude_culmi&lt;=350), 35, NA())</f>
        <v>#N/A</v>
      </c>
      <c r="C176" s="267" t="s">
        <v>308</v>
      </c>
      <c r="D176" s="486" t="s">
        <v>309</v>
      </c>
      <c r="E176" s="486"/>
      <c r="F176" s="487" t="s">
        <v>309</v>
      </c>
    </row>
    <row r="177" spans="2:6" x14ac:dyDescent="0.2">
      <c r="C177" s="303">
        <v>0</v>
      </c>
      <c r="D177" s="272">
        <f t="shared" ref="D177:D197" ca="1" si="2">X_culmi+C177</f>
        <v>523.69799483853797</v>
      </c>
      <c r="E177" s="272"/>
      <c r="F177" s="273">
        <f t="shared" ref="F177:F197" ca="1" si="3">X_culmi-C177</f>
        <v>523.69799483853797</v>
      </c>
    </row>
    <row r="178" spans="2:6" x14ac:dyDescent="0.2">
      <c r="B178" s="245" t="s">
        <v>307</v>
      </c>
      <c r="C178" s="303">
        <v>0</v>
      </c>
      <c r="D178" s="272">
        <f t="shared" ca="1" si="2"/>
        <v>523.69799483853797</v>
      </c>
      <c r="E178" s="272"/>
      <c r="F178" s="273">
        <f t="shared" ca="1" si="3"/>
        <v>523.69799483853797</v>
      </c>
    </row>
    <row r="179" spans="2:6" x14ac:dyDescent="0.2">
      <c r="B179" s="271">
        <f ca="1">IF(Altitude_culmi&gt;350, 324, NA())</f>
        <v>324</v>
      </c>
      <c r="C179" s="303">
        <v>10</v>
      </c>
      <c r="D179" s="272">
        <f t="shared" ca="1" si="2"/>
        <v>533.69799483853797</v>
      </c>
      <c r="E179" s="272"/>
      <c r="F179" s="273">
        <f t="shared" ca="1" si="3"/>
        <v>513.69799483853797</v>
      </c>
    </row>
    <row r="180" spans="2:6" x14ac:dyDescent="0.2">
      <c r="B180" s="271">
        <f ca="1">IF(Altitude_culmi&gt;350, 300, NA())</f>
        <v>300</v>
      </c>
      <c r="C180" s="303">
        <v>0</v>
      </c>
      <c r="D180" s="272">
        <f t="shared" ca="1" si="2"/>
        <v>523.69799483853797</v>
      </c>
      <c r="E180" s="272"/>
      <c r="F180" s="273">
        <f t="shared" ca="1" si="3"/>
        <v>523.69799483853797</v>
      </c>
    </row>
    <row r="181" spans="2:6" x14ac:dyDescent="0.2">
      <c r="B181" s="271">
        <f ca="1">IF(Altitude_culmi&gt;350, 280, NA())</f>
        <v>280</v>
      </c>
      <c r="C181" s="303">
        <v>10</v>
      </c>
      <c r="D181" s="272">
        <f t="shared" ca="1" si="2"/>
        <v>533.69799483853797</v>
      </c>
      <c r="E181" s="272"/>
      <c r="F181" s="273">
        <f t="shared" ca="1" si="3"/>
        <v>513.69799483853797</v>
      </c>
    </row>
    <row r="182" spans="2:6" x14ac:dyDescent="0.2">
      <c r="B182" s="271">
        <f ca="1">IF(Altitude_culmi&gt;350, 280, NA())</f>
        <v>280</v>
      </c>
      <c r="C182" s="303">
        <v>13</v>
      </c>
      <c r="D182" s="272">
        <f t="shared" ca="1" si="2"/>
        <v>536.69799483853797</v>
      </c>
      <c r="E182" s="272"/>
      <c r="F182" s="273">
        <f t="shared" ca="1" si="3"/>
        <v>510.69799483853797</v>
      </c>
    </row>
    <row r="183" spans="2:6" x14ac:dyDescent="0.2">
      <c r="B183" s="271">
        <f ca="1">IF(Altitude_culmi&gt;350, 280, NA())</f>
        <v>280</v>
      </c>
      <c r="C183" s="303">
        <v>17</v>
      </c>
      <c r="D183" s="272">
        <f t="shared" ca="1" si="2"/>
        <v>540.69799483853797</v>
      </c>
      <c r="E183" s="272"/>
      <c r="F183" s="273">
        <f t="shared" ca="1" si="3"/>
        <v>506.69799483853797</v>
      </c>
    </row>
    <row r="184" spans="2:6" x14ac:dyDescent="0.2">
      <c r="B184" s="271">
        <f ca="1">IF(Altitude_culmi&gt;350, 200, NA())</f>
        <v>200</v>
      </c>
      <c r="C184" s="303">
        <v>20</v>
      </c>
      <c r="D184" s="272">
        <f t="shared" ca="1" si="2"/>
        <v>543.69799483853797</v>
      </c>
      <c r="E184" s="272"/>
      <c r="F184" s="273">
        <f t="shared" ca="1" si="3"/>
        <v>503.69799483853797</v>
      </c>
    </row>
    <row r="185" spans="2:6" x14ac:dyDescent="0.2">
      <c r="B185" s="271">
        <f ca="1">IF(Altitude_culmi&gt;350, 160, NA())</f>
        <v>160</v>
      </c>
      <c r="C185" s="303">
        <v>25</v>
      </c>
      <c r="D185" s="272">
        <f t="shared" ca="1" si="2"/>
        <v>548.69799483853797</v>
      </c>
      <c r="E185" s="272"/>
      <c r="F185" s="273">
        <f t="shared" ca="1" si="3"/>
        <v>498.69799483853797</v>
      </c>
    </row>
    <row r="186" spans="2:6" x14ac:dyDescent="0.2">
      <c r="B186" s="271">
        <f ca="1">IF(Altitude_culmi&gt;350, 115, NA())</f>
        <v>115</v>
      </c>
      <c r="C186" s="303">
        <v>30</v>
      </c>
      <c r="D186" s="272">
        <f t="shared" ca="1" si="2"/>
        <v>553.69799483853797</v>
      </c>
      <c r="E186" s="272"/>
      <c r="F186" s="273">
        <f t="shared" ca="1" si="3"/>
        <v>493.69799483853797</v>
      </c>
    </row>
    <row r="187" spans="2:6" x14ac:dyDescent="0.2">
      <c r="B187" s="271">
        <f ca="1">IF(Altitude_culmi&gt;350, 90, NA())</f>
        <v>90</v>
      </c>
      <c r="C187" s="303">
        <v>36</v>
      </c>
      <c r="D187" s="272">
        <f t="shared" ca="1" si="2"/>
        <v>559.69799483853797</v>
      </c>
      <c r="E187" s="272"/>
      <c r="F187" s="273">
        <f t="shared" ca="1" si="3"/>
        <v>487.69799483853797</v>
      </c>
    </row>
    <row r="188" spans="2:6" x14ac:dyDescent="0.2">
      <c r="B188" s="271">
        <f ca="1">IF(Altitude_culmi&gt;350, 57, NA())</f>
        <v>57</v>
      </c>
      <c r="C188" s="303">
        <v>48</v>
      </c>
      <c r="D188" s="272">
        <f t="shared" ca="1" si="2"/>
        <v>571.69799483853797</v>
      </c>
      <c r="E188" s="272"/>
      <c r="F188" s="273">
        <f t="shared" ca="1" si="3"/>
        <v>475.69799483853797</v>
      </c>
    </row>
    <row r="189" spans="2:6" x14ac:dyDescent="0.2">
      <c r="B189" s="271">
        <f ca="1">IF(Altitude_culmi&gt;350, 40, NA())</f>
        <v>40</v>
      </c>
      <c r="C189" s="303">
        <v>62</v>
      </c>
      <c r="D189" s="272">
        <f t="shared" ca="1" si="2"/>
        <v>585.69799483853797</v>
      </c>
      <c r="E189" s="272"/>
      <c r="F189" s="273">
        <f t="shared" ca="1" si="3"/>
        <v>461.69799483853797</v>
      </c>
    </row>
    <row r="190" spans="2:6" x14ac:dyDescent="0.2">
      <c r="B190" s="271">
        <f ca="1">IF(Altitude_culmi&gt;350, 20, NA())</f>
        <v>20</v>
      </c>
      <c r="C190" s="303">
        <v>37</v>
      </c>
      <c r="D190" s="272">
        <f t="shared" ca="1" si="2"/>
        <v>560.69799483853797</v>
      </c>
      <c r="E190" s="272"/>
      <c r="F190" s="273">
        <f t="shared" ca="1" si="3"/>
        <v>486.69799483853797</v>
      </c>
    </row>
    <row r="191" spans="2:6" x14ac:dyDescent="0.2">
      <c r="B191" s="271">
        <f ca="1">IF(Altitude_culmi&gt;350, 0.5, NA())</f>
        <v>0.5</v>
      </c>
      <c r="C191" s="303">
        <v>30</v>
      </c>
      <c r="D191" s="272">
        <f t="shared" ca="1" si="2"/>
        <v>553.69799483853797</v>
      </c>
      <c r="E191" s="272"/>
      <c r="F191" s="273">
        <f t="shared" ca="1" si="3"/>
        <v>493.69799483853797</v>
      </c>
    </row>
    <row r="192" spans="2:6" x14ac:dyDescent="0.2">
      <c r="B192" s="271">
        <f ca="1">IF(Altitude_culmi&gt;350, 0.5, NA())</f>
        <v>0.5</v>
      </c>
      <c r="C192" s="303">
        <v>15</v>
      </c>
      <c r="D192" s="272">
        <f t="shared" ca="1" si="2"/>
        <v>538.69799483853797</v>
      </c>
      <c r="E192" s="272"/>
      <c r="F192" s="273">
        <f t="shared" ca="1" si="3"/>
        <v>508.69799483853797</v>
      </c>
    </row>
    <row r="193" spans="2:6" x14ac:dyDescent="0.2">
      <c r="B193" s="271">
        <f ca="1">IF(Altitude_culmi&gt;350, 15, NA())</f>
        <v>15</v>
      </c>
      <c r="C193" s="303">
        <v>0</v>
      </c>
      <c r="D193" s="272">
        <f t="shared" ca="1" si="2"/>
        <v>523.69799483853797</v>
      </c>
      <c r="E193" s="272"/>
      <c r="F193" s="273">
        <f t="shared" ca="1" si="3"/>
        <v>523.69799483853797</v>
      </c>
    </row>
    <row r="194" spans="2:6" x14ac:dyDescent="0.2">
      <c r="B194" s="271">
        <f ca="1">IF(Altitude_culmi&gt;350, 30, NA())</f>
        <v>30</v>
      </c>
      <c r="C194" s="303">
        <v>0</v>
      </c>
      <c r="D194" s="272">
        <f t="shared" ca="1" si="2"/>
        <v>523.69799483853797</v>
      </c>
      <c r="E194" s="272"/>
      <c r="F194" s="273">
        <f t="shared" ca="1" si="3"/>
        <v>523.69799483853797</v>
      </c>
    </row>
    <row r="195" spans="2:6" x14ac:dyDescent="0.2">
      <c r="B195" s="271">
        <f ca="1">IF(Altitude_culmi&gt;350, 37, NA())</f>
        <v>37</v>
      </c>
      <c r="C195" s="303">
        <v>17</v>
      </c>
      <c r="D195" s="272">
        <f t="shared" ca="1" si="2"/>
        <v>540.69799483853797</v>
      </c>
      <c r="E195" s="272"/>
      <c r="F195" s="273">
        <f t="shared" ca="1" si="3"/>
        <v>506.69799483853797</v>
      </c>
    </row>
    <row r="196" spans="2:6" x14ac:dyDescent="0.2">
      <c r="B196" s="271">
        <f ca="1">IF(Altitude_culmi&gt;350, 67, NA())</f>
        <v>67</v>
      </c>
      <c r="C196" s="303">
        <v>11</v>
      </c>
      <c r="D196" s="272">
        <f t="shared" ca="1" si="2"/>
        <v>534.69799483853797</v>
      </c>
      <c r="E196" s="272"/>
      <c r="F196" s="273">
        <f t="shared" ca="1" si="3"/>
        <v>512.69799483853797</v>
      </c>
    </row>
    <row r="197" spans="2:6" x14ac:dyDescent="0.2">
      <c r="B197" s="271">
        <f ca="1">IF(Altitude_culmi&gt;350, 67, NA())</f>
        <v>67</v>
      </c>
      <c r="C197" s="482">
        <v>0</v>
      </c>
      <c r="D197" s="483">
        <f t="shared" ca="1" si="2"/>
        <v>523.69799483853797</v>
      </c>
      <c r="E197" s="483"/>
      <c r="F197" s="270">
        <f t="shared" ca="1" si="3"/>
        <v>523.69799483853797</v>
      </c>
    </row>
    <row r="198" spans="2:6" x14ac:dyDescent="0.2">
      <c r="B198" s="271">
        <f ca="1">IF(Altitude_culmi&gt;350, 100, NA())</f>
        <v>100</v>
      </c>
    </row>
    <row r="199" spans="2:6" x14ac:dyDescent="0.2">
      <c r="B199" s="268">
        <f ca="1">IF(Altitude_culmi&gt;350, 100, NA())</f>
        <v>100</v>
      </c>
    </row>
  </sheetData>
  <sheetProtection password="C6AC" sheet="1"/>
  <protectedRanges>
    <protectedRange sqref="C25" name="Plage1"/>
  </protectedRanges>
  <mergeCells count="41">
    <mergeCell ref="F49:G49"/>
    <mergeCell ref="F40:G40"/>
    <mergeCell ref="F41:G41"/>
    <mergeCell ref="F42:G42"/>
    <mergeCell ref="F43:G43"/>
    <mergeCell ref="F48:G48"/>
    <mergeCell ref="F44:G44"/>
    <mergeCell ref="F45:G45"/>
    <mergeCell ref="F47:G47"/>
    <mergeCell ref="F46:G46"/>
    <mergeCell ref="C15:D15"/>
    <mergeCell ref="C10:D10"/>
    <mergeCell ref="C19:D19"/>
    <mergeCell ref="C20:D20"/>
    <mergeCell ref="C11:D11"/>
    <mergeCell ref="C13:D13"/>
    <mergeCell ref="C14:D14"/>
    <mergeCell ref="C18:D18"/>
    <mergeCell ref="C22:D22"/>
    <mergeCell ref="C17:D17"/>
    <mergeCell ref="F23:G23"/>
    <mergeCell ref="F27:G27"/>
    <mergeCell ref="F26:G26"/>
    <mergeCell ref="F24:G24"/>
    <mergeCell ref="F25:G25"/>
    <mergeCell ref="H33:I33"/>
    <mergeCell ref="H32:I32"/>
    <mergeCell ref="F28:G28"/>
    <mergeCell ref="H31:I31"/>
    <mergeCell ref="A38:D38"/>
    <mergeCell ref="H34:I34"/>
    <mergeCell ref="F34:G34"/>
    <mergeCell ref="F33:G33"/>
    <mergeCell ref="F32:G32"/>
    <mergeCell ref="F38:G38"/>
    <mergeCell ref="C2:D3"/>
    <mergeCell ref="C7:D7"/>
    <mergeCell ref="C8:D8"/>
    <mergeCell ref="C9:D9"/>
    <mergeCell ref="C6:D6"/>
    <mergeCell ref="C4:D4"/>
  </mergeCells>
  <phoneticPr fontId="8" type="noConversion"/>
  <conditionalFormatting sqref="C30">
    <cfRule type="cellIs" dxfId="26" priority="42" stopIfTrue="1" operator="notBetween">
      <formula>5</formula>
      <formula>15</formula>
    </cfRule>
  </conditionalFormatting>
  <conditionalFormatting sqref="K23 K41">
    <cfRule type="expression" dxfId="25" priority="44" stopIfTrue="1">
      <formula>AND(Vsortie_de_rampe&lt;18, OR(LEFT(Type_fusee,1)=",",LEFT(Type_fusee,4)="Mini",LEFT(Type_fusee,1)="R"))</formula>
    </cfRule>
    <cfRule type="expression" dxfId="24" priority="45" stopIfTrue="1">
      <formula>AND(Vsortie_de_rampe&lt;20, RIGHT(Type_fusee,1)=".")</formula>
    </cfRule>
  </conditionalFormatting>
  <conditionalFormatting sqref="D30">
    <cfRule type="expression" dxfId="23" priority="40" stopIfTrue="1">
      <formula>Nb_sat="0 satellite"</formula>
    </cfRule>
    <cfRule type="cellIs" dxfId="22" priority="49" stopIfTrue="1" operator="notBetween">
      <formula>5</formula>
      <formula>15</formula>
    </cfRule>
  </conditionalFormatting>
  <conditionalFormatting sqref="H25:M25">
    <cfRule type="expression" dxfId="21" priority="41" stopIfTrue="1">
      <formula>Nb_sat="0 satellite"</formula>
    </cfRule>
  </conditionalFormatting>
  <conditionalFormatting sqref="D24">
    <cfRule type="expression" dxfId="20" priority="39" stopIfTrue="1">
      <formula>Nb_sat="0 satellite"</formula>
    </cfRule>
  </conditionalFormatting>
  <conditionalFormatting sqref="D26:D29 D31:D33">
    <cfRule type="expression" dxfId="19" priority="59" stopIfTrue="1">
      <formula>Nb_sat="0 satellite"</formula>
    </cfRule>
  </conditionalFormatting>
  <conditionalFormatting sqref="K40">
    <cfRule type="expression" dxfId="18" priority="34" stopIfTrue="1">
      <formula>AND( $K$21=0, OR( $I$21&gt;0, $J$21&gt;0 ) )</formula>
    </cfRule>
  </conditionalFormatting>
  <conditionalFormatting sqref="F25">
    <cfRule type="expression" dxfId="17" priority="26" stopIfTrue="1">
      <formula>Nb_sat="0 satellite"</formula>
    </cfRule>
  </conditionalFormatting>
  <conditionalFormatting sqref="F34:I34 F48:M48">
    <cfRule type="expression" dxfId="16" priority="22" stopIfTrue="1">
      <formula>Nb_sat="0 satellite"</formula>
    </cfRule>
  </conditionalFormatting>
  <conditionalFormatting sqref="F49:M49">
    <cfRule type="expression" dxfId="15" priority="21" stopIfTrue="1">
      <formula>Nb_sat="0 satellite"</formula>
    </cfRule>
  </conditionalFormatting>
  <conditionalFormatting sqref="N34">
    <cfRule type="expression" dxfId="14" priority="16" stopIfTrue="1">
      <formula>$N$34="propu NOK"</formula>
    </cfRule>
  </conditionalFormatting>
  <conditionalFormatting sqref="N33">
    <cfRule type="expression" dxfId="13" priority="15" stopIfTrue="1">
      <formula>ROUND(SUM(C23:L34),0)=1914</formula>
    </cfRule>
  </conditionalFormatting>
  <conditionalFormatting sqref="H32:I32">
    <cfRule type="cellIs" dxfId="12" priority="14" stopIfTrue="1" operator="equal">
      <formula>"Brun/Orange…"</formula>
    </cfRule>
  </conditionalFormatting>
  <conditionalFormatting sqref="H33:I33">
    <cfRule type="cellIs" dxfId="11" priority="13" stopIfTrue="1" operator="equal">
      <formula>"Rouge…"</formula>
    </cfRule>
  </conditionalFormatting>
  <conditionalFormatting sqref="J28 J45">
    <cfRule type="expression" dxfId="10" priority="6" stopIfTrue="1">
      <formula>AND(Portee_balistique&gt;200,LEFT(Type_propu,4)="Mini")</formula>
    </cfRule>
  </conditionalFormatting>
  <conditionalFormatting sqref="H27 H46">
    <cfRule type="expression" dxfId="9" priority="4" stopIfTrue="1">
      <formula>ABS(Temps_culmi-T_para)&gt;2</formula>
    </cfRule>
  </conditionalFormatting>
  <conditionalFormatting sqref="B26">
    <cfRule type="expression" dxfId="8" priority="89" stopIfTrue="1">
      <formula>NOT(OR(C25=F108,C25=F102,Nb_sat="1 satellite"))</formula>
    </cfRule>
  </conditionalFormatting>
  <conditionalFormatting sqref="C26">
    <cfRule type="expression" dxfId="7" priority="91" stopIfTrue="1">
      <formula>NOT(OR(C25=F108,C25=F102))</formula>
    </cfRule>
  </conditionalFormatting>
  <conditionalFormatting sqref="D25">
    <cfRule type="expression" dxfId="6" priority="2" stopIfTrue="1">
      <formula>Nb_sat="0 satellite"</formula>
    </cfRule>
  </conditionalFormatting>
  <dataValidations count="14">
    <dataValidation type="decimal" operator="greaterThanOrEqual" showErrorMessage="1" sqref="H40:K40 C29 C26 D26:D27">
      <formula1>0</formula1>
    </dataValidation>
    <dataValidation type="list" allowBlank="1" showInputMessage="1" showErrorMessage="1" sqref="H50">
      <formula1>gao</formula1>
    </dataValidation>
    <dataValidation operator="greaterThanOrEqual" showErrorMessage="1" sqref="D29 C27"/>
    <dataValidation type="decimal" errorStyle="warning" allowBlank="1" showErrorMessage="1" errorTitle="Cx para" error="Le Cx du parachute est souvent compris entre 0 et 2._x000a_Cx of parachute might be between 0 a 2." sqref="C28:D28">
      <formula1>0</formula1>
      <formula2>2</formula2>
    </dataValidation>
    <dataValidation sqref="C11:D11"/>
    <dataValidation operator="greaterThanOrEqual" sqref="C10:D10"/>
    <dataValidation type="decimal" errorStyle="warning" showErrorMessage="1" errorTitle="Cx" error="Le Cx est souvent compris entre 0,3 et 0,7._x000a_Cx may be between 0,3 &amp; 0,7." sqref="C15:D15">
      <formula1>0.3</formula1>
      <formula2>0.7</formula2>
    </dataValidation>
    <dataValidation type="decimal" operator="greaterThanOrEqual" allowBlank="1" showErrorMessage="1" sqref="C18:D18">
      <formula1>0</formula1>
    </dataValidation>
    <dataValidation type="decimal" errorStyle="information" allowBlank="1" showInputMessage="1" showErrorMessage="1" errorTitle="Angle de la rampe" error="Il est conseillé d'incliner à rampe entre 75° et 85° par rapport à l'horizontale._x000a_This Angle is recommended between 75° &amp; 85°." sqref="C19:D19">
      <formula1>75</formula1>
      <formula2>85</formula2>
    </dataValidation>
    <dataValidation type="whole" operator="greaterThanOrEqual" allowBlank="1" showErrorMessage="1" sqref="C20:D20">
      <formula1>0</formula1>
    </dataValidation>
    <dataValidation type="whole" allowBlank="1" showErrorMessage="1" sqref="M40">
      <formula1>-360</formula1>
      <formula2>360</formula2>
    </dataValidation>
    <dataValidation type="list" showInputMessage="1" showErrorMessage="1" sqref="D23">
      <formula1>Menu_sat</formula1>
    </dataValidation>
    <dataValidation type="whole" operator="greaterThanOrEqual" showErrorMessage="1" sqref="B43 B45 B51 B53">
      <formula1>0</formula1>
    </dataValidation>
    <dataValidation type="list" showInputMessage="1" showErrorMessage="1" sqref="C25">
      <formula1>IF(Depotage&lt;&gt;0,IF(LEFT(Type_propu,5)="Micro",$F$108,$F$103:$F$108),$F$102)</formula1>
    </dataValidation>
  </dataValidations>
  <hyperlinks>
    <hyperlink ref="B11" location="Stabilito!C17" display="Stabilito!C17"/>
  </hyperlinks>
  <printOptions horizontalCentered="1" verticalCentered="1"/>
  <pageMargins left="7.874015748031496E-2" right="7.874015748031496E-2" top="7.874015748031496E-2" bottom="7.874015748031496E-2" header="0" footer="0"/>
  <pageSetup paperSize="9" firstPageNumber="0" orientation="landscape" horizontalDpi="300" verticalDpi="300" r:id="rId1"/>
  <headerFooter alignWithMargins="0"/>
  <ignoredErrors>
    <ignoredError sqref="B126:B132 B138:B149 C149 C151 C136:C138 C140:C147 C124:C130" formula="1"/>
    <ignoredError sqref="H44:I44 H47 J44:M44" evalError="1"/>
    <ignoredError sqref="G103:G107" numberStoredAsText="1"/>
    <ignoredError sqref="D24" unlockedFormula="1"/>
  </ignoredErrors>
  <drawing r:id="rId2"/>
  <legacyDrawing r:id="rId3"/>
  <oleObjects>
    <mc:AlternateContent xmlns:mc="http://schemas.openxmlformats.org/markup-compatibility/2006">
      <mc:Choice Requires="x14">
        <oleObject progId="Equation.3" shapeId="1425294" r:id="rId4">
          <objectPr defaultSize="0" autoPict="0" r:id="rId5">
            <anchor moveWithCells="1">
              <from>
                <xdr:col>1</xdr:col>
                <xdr:colOff>28575</xdr:colOff>
                <xdr:row>93</xdr:row>
                <xdr:rowOff>95250</xdr:rowOff>
              </from>
              <to>
                <xdr:col>4</xdr:col>
                <xdr:colOff>85725</xdr:colOff>
                <xdr:row>99</xdr:row>
                <xdr:rowOff>114300</xdr:rowOff>
              </to>
            </anchor>
          </objectPr>
        </oleObject>
      </mc:Choice>
      <mc:Fallback>
        <oleObject progId="Equation.3" shapeId="1425294" r:id="rId4"/>
      </mc:Fallback>
    </mc:AlternateContent>
  </oleObjects>
  <mc:AlternateContent xmlns:mc="http://schemas.openxmlformats.org/markup-compatibility/2006">
    <mc:Choice Requires="x14">
      <controls>
        <mc:AlternateContent xmlns:mc="http://schemas.openxmlformats.org/markup-compatibility/2006">
          <mc:Choice Requires="x14">
            <control shapeId="1424424" r:id="rId6" name="Spinner 1064">
              <controlPr defaultSize="0" print="0" autoPict="0">
                <anchor moveWithCells="1" sizeWithCells="1">
                  <from>
                    <xdr:col>3</xdr:col>
                    <xdr:colOff>962025</xdr:colOff>
                    <xdr:row>9</xdr:row>
                    <xdr:rowOff>19050</xdr:rowOff>
                  </from>
                  <to>
                    <xdr:col>4</xdr:col>
                    <xdr:colOff>0</xdr:colOff>
                    <xdr:row>10</xdr:row>
                    <xdr:rowOff>0</xdr:rowOff>
                  </to>
                </anchor>
              </controlPr>
            </control>
          </mc:Choice>
        </mc:AlternateContent>
        <mc:AlternateContent xmlns:mc="http://schemas.openxmlformats.org/markup-compatibility/2006">
          <mc:Choice Requires="x14">
            <control shapeId="1424589" r:id="rId7" name="Spinner 1229">
              <controlPr defaultSize="0" print="0" autoPict="0">
                <anchor moveWithCells="1" sizeWithCells="1">
                  <from>
                    <xdr:col>1</xdr:col>
                    <xdr:colOff>1476375</xdr:colOff>
                    <xdr:row>42</xdr:row>
                    <xdr:rowOff>19050</xdr:rowOff>
                  </from>
                  <to>
                    <xdr:col>2</xdr:col>
                    <xdr:colOff>0</xdr:colOff>
                    <xdr:row>43</xdr:row>
                    <xdr:rowOff>0</xdr:rowOff>
                  </to>
                </anchor>
              </controlPr>
            </control>
          </mc:Choice>
        </mc:AlternateContent>
        <mc:AlternateContent xmlns:mc="http://schemas.openxmlformats.org/markup-compatibility/2006">
          <mc:Choice Requires="x14">
            <control shapeId="1424590" r:id="rId8" name="Spinner 1230">
              <controlPr defaultSize="0" print="0" autoPict="0">
                <anchor moveWithCells="1" sizeWithCells="1">
                  <from>
                    <xdr:col>1</xdr:col>
                    <xdr:colOff>1476375</xdr:colOff>
                    <xdr:row>44</xdr:row>
                    <xdr:rowOff>19050</xdr:rowOff>
                  </from>
                  <to>
                    <xdr:col>2</xdr:col>
                    <xdr:colOff>0</xdr:colOff>
                    <xdr:row>45</xdr:row>
                    <xdr:rowOff>0</xdr:rowOff>
                  </to>
                </anchor>
              </controlPr>
            </control>
          </mc:Choice>
        </mc:AlternateContent>
        <mc:AlternateContent xmlns:mc="http://schemas.openxmlformats.org/markup-compatibility/2006">
          <mc:Choice Requires="x14">
            <control shapeId="1424591" r:id="rId9" name="Spinner 1231">
              <controlPr defaultSize="0" print="0" autoPict="0">
                <anchor moveWithCells="1" sizeWithCells="1">
                  <from>
                    <xdr:col>1</xdr:col>
                    <xdr:colOff>1476375</xdr:colOff>
                    <xdr:row>50</xdr:row>
                    <xdr:rowOff>19050</xdr:rowOff>
                  </from>
                  <to>
                    <xdr:col>2</xdr:col>
                    <xdr:colOff>0</xdr:colOff>
                    <xdr:row>51</xdr:row>
                    <xdr:rowOff>0</xdr:rowOff>
                  </to>
                </anchor>
              </controlPr>
            </control>
          </mc:Choice>
        </mc:AlternateContent>
        <mc:AlternateContent xmlns:mc="http://schemas.openxmlformats.org/markup-compatibility/2006">
          <mc:Choice Requires="x14">
            <control shapeId="4779462" r:id="rId10" name="Spinner 4550">
              <controlPr defaultSize="0" print="0" autoPict="0">
                <anchor moveWithCells="1" sizeWithCells="1">
                  <from>
                    <xdr:col>1</xdr:col>
                    <xdr:colOff>1476375</xdr:colOff>
                    <xdr:row>52</xdr:row>
                    <xdr:rowOff>19050</xdr:rowOff>
                  </from>
                  <to>
                    <xdr:col>2</xdr:col>
                    <xdr:colOff>0</xdr:colOff>
                    <xdr:row>53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pageSetUpPr fitToPage="1"/>
  </sheetPr>
  <dimension ref="B75:B146"/>
  <sheetViews>
    <sheetView showGridLines="0" zoomScaleNormal="100" workbookViewId="0"/>
  </sheetViews>
  <sheetFormatPr baseColWidth="10" defaultRowHeight="12.75" x14ac:dyDescent="0.2"/>
  <sheetData>
    <row r="75" spans="2:2" x14ac:dyDescent="0.2">
      <c r="B75" t="s">
        <v>44</v>
      </c>
    </row>
    <row r="76" spans="2:2" x14ac:dyDescent="0.2">
      <c r="B76" t="str">
        <f>IF(Lang="Français","Ces courbes représentent la trajectoire de la fusée dans l'hypothèse d'une descente balistique (sans ouverture du parachute). ","These curves show the rocket trajectory in case of ballistic fall (without parachute).")</f>
        <v xml:space="preserve">Ces courbes représentent la trajectoire de la fusée dans l'hypothèse d'une descente balistique (sans ouverture du parachute). </v>
      </c>
    </row>
    <row r="77" spans="2:2" x14ac:dyDescent="0.2">
      <c r="B77" t="str">
        <f>IF(Lang="Français","L'accélération longitudinale gravitationnelle définit le mouvement (dérivée de la vitesse) : Acc = (Poussee - Traînée ± Poids) / m",IF(Lang="English","Longitudinal Gravitaionnal Acceleration defines the motion (velocity derivative) : Acc = (Thrust - Drag ± Weight)/m",""))</f>
        <v>L'accélération longitudinale gravitationnelle définit le mouvement (dérivée de la vitesse) : Acc = (Poussee - Traînée ± Poids) / m</v>
      </c>
    </row>
    <row r="78" spans="2:2" x14ac:dyDescent="0.2">
      <c r="B78" t="str">
        <f>IF(Lang="Français","La charge ''non-gravitationnelle'' vue par un capteur d'accélération (masse-ressort) est : Charge = (Poussée - Traînée) / m",IF(Lang="English","''Non-Gravitaionnal'' Load seen by an acceleration sensor (mass-spring) is : Load = (Thrust - Drag) / m",""))</f>
        <v>La charge ''non-gravitationnelle'' vue par un capteur d'accélération (masse-ressort) est : Charge = (Poussée - Traînée) / m</v>
      </c>
    </row>
    <row r="79" spans="2:2" x14ac:dyDescent="0.2">
      <c r="B79" t="str">
        <f>IF(Lang="Français","Exemples : Si Poussée = Poids, Vitesse constante, Acc nulle, Charge = 1G ; En chute libre, Acc = -1G, Charge = 0",IF(Lang="English","",""))</f>
        <v>Exemples : Si Poussée = Poids, Vitesse constante, Acc nulle, Charge = 1G ; En chute libre, Acc = -1G, Charge = 0</v>
      </c>
    </row>
    <row r="131" spans="2:2" x14ac:dyDescent="0.2">
      <c r="B131" s="35" t="str">
        <f>IF(Lang="Français","Textes pour les graphiques :","Texts for graphics :")</f>
        <v>Textes pour les graphiques :</v>
      </c>
    </row>
    <row r="133" spans="2:2" x14ac:dyDescent="0.2">
      <c r="B133" t="str">
        <f>IF(Lang="Français","Traînée",IF(Lang="English","Drag",""))</f>
        <v>Traînée</v>
      </c>
    </row>
    <row r="134" spans="2:2" x14ac:dyDescent="0.2">
      <c r="B134" t="str">
        <f>IF(Lang="Français","Poussée",IF(Lang="English","Thrust",""))</f>
        <v>Poussée</v>
      </c>
    </row>
    <row r="135" spans="2:2" x14ac:dyDescent="0.2">
      <c r="B135" t="str">
        <f>IF(Lang="Français","Poids",IF(Lang="English","Weight",""))</f>
        <v>Poids</v>
      </c>
    </row>
    <row r="137" spans="2:2" x14ac:dyDescent="0.2">
      <c r="B137" t="str">
        <f>IF(Lang="Français","Accélération longitudinale",IF(Lang="English","Longitudinal Acceleration",""))</f>
        <v>Accélération longitudinale</v>
      </c>
    </row>
    <row r="138" spans="2:2" x14ac:dyDescent="0.2">
      <c r="B138" t="str">
        <f>IF(Lang="Français","Charge vue par un capteur",IF(Lang="English","Load seen by a sensor",""))</f>
        <v>Charge vue par un capteur</v>
      </c>
    </row>
    <row r="140" spans="2:2" x14ac:dyDescent="0.2">
      <c r="B140" t="str">
        <f>IF(Lang="Français","Vitesse",IF(Lang="English","Velocity",""))</f>
        <v>Vitesse</v>
      </c>
    </row>
    <row r="141" spans="2:2" x14ac:dyDescent="0.2">
      <c r="B141" t="str">
        <f>IF(Lang="Français","Vitesse [m/s]",IF(Lang="English","Velocity [m/s]",""))</f>
        <v>Vitesse [m/s]</v>
      </c>
    </row>
    <row r="143" spans="2:2" x14ac:dyDescent="0.2">
      <c r="B143" t="s">
        <v>6</v>
      </c>
    </row>
    <row r="144" spans="2:2" x14ac:dyDescent="0.2">
      <c r="B144" t="str">
        <f>IF(Lang="Français","Portée",IF(Lang="English","Range",""))</f>
        <v>Portée</v>
      </c>
    </row>
    <row r="146" spans="2:2" x14ac:dyDescent="0.2">
      <c r="B146" t="str">
        <f>IF(Lang="Français","Temps [s]",IF(Lang="English","Time [s]",""))</f>
        <v>Temps [s]</v>
      </c>
    </row>
  </sheetData>
  <sheetProtection password="C6AC" sheet="1"/>
  <phoneticPr fontId="8" type="noConversion"/>
  <printOptions horizontalCentered="1" verticalCentered="1"/>
  <pageMargins left="0.39370078740157483" right="0.39370078740157483" top="0.39370078740157483" bottom="0.39370078740157483" header="0" footer="0"/>
  <pageSetup scale="76" firstPageNumber="0"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Z346"/>
  <sheetViews>
    <sheetView showGridLines="0" zoomScale="80" zoomScaleNormal="80" workbookViewId="0">
      <selection activeCell="K6" sqref="K6"/>
    </sheetView>
  </sheetViews>
  <sheetFormatPr baseColWidth="10" defaultRowHeight="12.75" x14ac:dyDescent="0.2"/>
  <cols>
    <col min="1" max="1" width="22.5703125" bestFit="1" customWidth="1"/>
  </cols>
  <sheetData>
    <row r="1" spans="1:26" ht="13.5" thickBot="1" x14ac:dyDescent="0.25">
      <c r="A1" s="417" t="str">
        <f>IF(Lang="Français","Moteur sélectionné","Selected motor")</f>
        <v>Moteur sélectionné</v>
      </c>
      <c r="B1" s="417" t="s">
        <v>32</v>
      </c>
    </row>
    <row r="2" spans="1:26" ht="13.5" thickBot="1" x14ac:dyDescent="0.25">
      <c r="A2" s="407" t="str">
        <f>Propu</f>
        <v>Barasinga (Pro54-5G C)</v>
      </c>
      <c r="B2" s="407">
        <f>VLOOKUP(A2,A26:B314,2,FALSE)</f>
        <v>279</v>
      </c>
      <c r="C2" s="418" t="s">
        <v>116</v>
      </c>
      <c r="D2" s="408">
        <f ca="1">INDIRECT(ADDRESS(B2,4))</f>
        <v>2058.37</v>
      </c>
      <c r="E2" s="418" t="s">
        <v>115</v>
      </c>
      <c r="F2" s="409">
        <f ca="1">INDIRECT(ADDRESS(B2,6))</f>
        <v>203.12066731598335</v>
      </c>
      <c r="G2" s="418" t="s">
        <v>57</v>
      </c>
      <c r="H2" s="410">
        <f ca="1">INDIRECT(ADDRESS(B2,8))</f>
        <v>1.6850000000000001</v>
      </c>
      <c r="I2" s="418" t="s">
        <v>274</v>
      </c>
      <c r="J2" s="411">
        <f ca="1">INDIRECT(ADDRESS(B2,10))</f>
        <v>1.0329999999999999</v>
      </c>
      <c r="K2" s="418" t="s">
        <v>59</v>
      </c>
      <c r="L2" s="410">
        <f ca="1">INDIRECT(ADDRESS(B2,12))</f>
        <v>0.65200000000000002</v>
      </c>
      <c r="M2" s="418" t="s">
        <v>58</v>
      </c>
      <c r="N2" s="412">
        <f ca="1">INDIRECT(ADDRESS(B2,14))</f>
        <v>250</v>
      </c>
      <c r="O2" s="418" t="s">
        <v>60</v>
      </c>
      <c r="P2" s="412">
        <f ca="1">INDIRECT(ADDRESS(B2,16))</f>
        <v>240</v>
      </c>
      <c r="Q2" s="418" t="s">
        <v>61</v>
      </c>
      <c r="R2" s="412">
        <f ca="1">INDIRECT(ADDRESS(B2,18))</f>
        <v>488</v>
      </c>
      <c r="S2" s="418" t="s">
        <v>62</v>
      </c>
      <c r="T2" s="412">
        <f ca="1">INDIRECT(ADDRESS(B2,20))</f>
        <v>54</v>
      </c>
      <c r="U2" s="418" t="s">
        <v>55</v>
      </c>
      <c r="V2" s="413" t="str">
        <f ca="1">INDIRECT(ADDRESS(B2,22))</f>
        <v>Fusex</v>
      </c>
      <c r="W2" s="546" t="s">
        <v>396</v>
      </c>
      <c r="X2" s="547">
        <f ca="1">INDIRECT(ADDRESS(B2,24))</f>
        <v>0</v>
      </c>
      <c r="Y2" s="546" t="s">
        <v>395</v>
      </c>
      <c r="Z2" s="413">
        <f ca="1">INDIRECT(ADDRESS(B2,26))</f>
        <v>0</v>
      </c>
    </row>
    <row r="3" spans="1:26" x14ac:dyDescent="0.2">
      <c r="A3" s="417" t="str">
        <f>IF(Lang="Français","Temps (en s)","Time (s)")</f>
        <v>Temps (en s)</v>
      </c>
      <c r="B3" s="419">
        <f t="shared" ref="B3:Y3" ca="1" si="0">INDIRECT(ADDRESS($B2+1,COLUMN(B3)))</f>
        <v>0</v>
      </c>
      <c r="C3" s="420">
        <f t="shared" ca="1" si="0"/>
        <v>0.05</v>
      </c>
      <c r="D3" s="420">
        <f t="shared" ca="1" si="0"/>
        <v>0.5</v>
      </c>
      <c r="E3" s="420">
        <f t="shared" ca="1" si="0"/>
        <v>1</v>
      </c>
      <c r="F3" s="420">
        <f t="shared" ca="1" si="0"/>
        <v>1.5</v>
      </c>
      <c r="G3" s="420">
        <f t="shared" ca="1" si="0"/>
        <v>2</v>
      </c>
      <c r="H3" s="420">
        <f t="shared" ca="1" si="0"/>
        <v>2.5</v>
      </c>
      <c r="I3" s="420">
        <f t="shared" ca="1" si="0"/>
        <v>2.97</v>
      </c>
      <c r="J3" s="420">
        <f t="shared" ca="1" si="0"/>
        <v>3.2</v>
      </c>
      <c r="K3" s="420">
        <f t="shared" ca="1" si="0"/>
        <v>3.47</v>
      </c>
      <c r="L3" s="420">
        <f t="shared" ca="1" si="0"/>
        <v>3.59</v>
      </c>
      <c r="M3" s="420">
        <f t="shared" ca="1" si="0"/>
        <v>3.59</v>
      </c>
      <c r="N3" s="420">
        <f t="shared" ca="1" si="0"/>
        <v>3.59</v>
      </c>
      <c r="O3" s="420">
        <f t="shared" ca="1" si="0"/>
        <v>3.59</v>
      </c>
      <c r="P3" s="420">
        <f t="shared" ca="1" si="0"/>
        <v>3.59</v>
      </c>
      <c r="Q3" s="420">
        <f t="shared" ca="1" si="0"/>
        <v>3.59</v>
      </c>
      <c r="R3" s="420">
        <f t="shared" ca="1" si="0"/>
        <v>3.59</v>
      </c>
      <c r="S3" s="420">
        <f t="shared" ca="1" si="0"/>
        <v>3.59</v>
      </c>
      <c r="T3" s="420">
        <f t="shared" ca="1" si="0"/>
        <v>3.59</v>
      </c>
      <c r="U3" s="420">
        <f t="shared" ca="1" si="0"/>
        <v>3.59</v>
      </c>
      <c r="V3" s="420">
        <f t="shared" ca="1" si="0"/>
        <v>3.59</v>
      </c>
      <c r="W3" s="420">
        <f t="shared" ca="1" si="0"/>
        <v>3.59</v>
      </c>
      <c r="X3" s="420">
        <f ca="1">INDIRECT(ADDRESS($B2+1,COLUMN(X3)))</f>
        <v>3.59</v>
      </c>
      <c r="Y3" s="421">
        <f t="shared" ca="1" si="0"/>
        <v>1000</v>
      </c>
    </row>
    <row r="4" spans="1:26" ht="13.5" thickBot="1" x14ac:dyDescent="0.25">
      <c r="A4" s="435" t="str">
        <f>IF(Lang="Français","Poussée (en N)","Thrust (N)")</f>
        <v>Poussée (en N)</v>
      </c>
      <c r="B4" s="422">
        <f t="shared" ref="B4:Y4" ca="1" si="1">INDIRECT(ADDRESS($B2+2,COLUMN(B3)))</f>
        <v>0</v>
      </c>
      <c r="C4" s="423">
        <f t="shared" ca="1" si="1"/>
        <v>893</v>
      </c>
      <c r="D4" s="423">
        <f t="shared" ca="1" si="1"/>
        <v>798</v>
      </c>
      <c r="E4" s="423">
        <f t="shared" ca="1" si="1"/>
        <v>739</v>
      </c>
      <c r="F4" s="423">
        <f t="shared" ca="1" si="1"/>
        <v>659</v>
      </c>
      <c r="G4" s="423">
        <f t="shared" ca="1" si="1"/>
        <v>586</v>
      </c>
      <c r="H4" s="423">
        <f t="shared" ca="1" si="1"/>
        <v>513</v>
      </c>
      <c r="I4" s="423">
        <f t="shared" ca="1" si="1"/>
        <v>417</v>
      </c>
      <c r="J4" s="423">
        <f t="shared" ca="1" si="1"/>
        <v>225</v>
      </c>
      <c r="K4" s="423">
        <f t="shared" ca="1" si="1"/>
        <v>67</v>
      </c>
      <c r="L4" s="423">
        <f t="shared" ca="1" si="1"/>
        <v>0</v>
      </c>
      <c r="M4" s="423">
        <f t="shared" ca="1" si="1"/>
        <v>0</v>
      </c>
      <c r="N4" s="423">
        <f t="shared" ca="1" si="1"/>
        <v>0</v>
      </c>
      <c r="O4" s="423">
        <f t="shared" ca="1" si="1"/>
        <v>0</v>
      </c>
      <c r="P4" s="423">
        <f t="shared" ca="1" si="1"/>
        <v>0</v>
      </c>
      <c r="Q4" s="423">
        <f t="shared" ca="1" si="1"/>
        <v>0</v>
      </c>
      <c r="R4" s="423">
        <f t="shared" ca="1" si="1"/>
        <v>0</v>
      </c>
      <c r="S4" s="423">
        <f t="shared" ca="1" si="1"/>
        <v>0</v>
      </c>
      <c r="T4" s="423">
        <f t="shared" ca="1" si="1"/>
        <v>0</v>
      </c>
      <c r="U4" s="423">
        <f t="shared" ca="1" si="1"/>
        <v>0</v>
      </c>
      <c r="V4" s="423">
        <f t="shared" ca="1" si="1"/>
        <v>0</v>
      </c>
      <c r="W4" s="423">
        <f t="shared" ca="1" si="1"/>
        <v>0</v>
      </c>
      <c r="X4" s="423">
        <f ca="1">INDIRECT(ADDRESS($B2+2,COLUMN(X3)))</f>
        <v>0</v>
      </c>
      <c r="Y4" s="424">
        <f t="shared" ca="1" si="1"/>
        <v>0</v>
      </c>
    </row>
    <row r="5" spans="1:26" x14ac:dyDescent="0.2">
      <c r="B5" s="17"/>
      <c r="C5" s="17"/>
      <c r="D5" s="17"/>
      <c r="E5" s="17"/>
      <c r="F5" s="17"/>
      <c r="G5" s="17"/>
      <c r="H5" s="17"/>
      <c r="I5" s="17"/>
      <c r="J5" s="17"/>
      <c r="K5" s="17"/>
      <c r="L5" s="17"/>
      <c r="M5" s="17"/>
      <c r="N5" s="17"/>
      <c r="O5" s="17"/>
      <c r="P5" s="17"/>
      <c r="Q5" s="17"/>
      <c r="R5" s="17"/>
      <c r="S5" s="17"/>
      <c r="T5" s="17"/>
      <c r="U5" s="17"/>
      <c r="V5" s="17"/>
      <c r="W5" s="17"/>
      <c r="X5" s="17"/>
      <c r="Y5" s="17"/>
    </row>
    <row r="6" spans="1:26" x14ac:dyDescent="0.2">
      <c r="B6" s="17"/>
      <c r="C6" s="17"/>
      <c r="D6" s="17"/>
      <c r="E6" s="17"/>
      <c r="F6" s="17"/>
      <c r="G6" s="17"/>
      <c r="H6" s="17"/>
      <c r="I6" s="17"/>
      <c r="J6" s="17"/>
      <c r="K6" s="17"/>
      <c r="L6" s="17"/>
      <c r="M6" s="17"/>
      <c r="N6" s="17"/>
      <c r="O6" s="17"/>
      <c r="P6" s="17"/>
      <c r="Q6" s="17"/>
      <c r="R6" s="17"/>
      <c r="S6" s="17"/>
      <c r="T6" s="17"/>
      <c r="U6" s="17"/>
      <c r="V6" s="17"/>
      <c r="W6" s="17"/>
      <c r="X6" s="17"/>
      <c r="Y6" s="17"/>
    </row>
    <row r="7" spans="1:26" x14ac:dyDescent="0.2">
      <c r="B7" s="17"/>
      <c r="C7" s="17"/>
      <c r="D7" s="17"/>
      <c r="E7" s="17"/>
      <c r="F7" s="17"/>
      <c r="G7" s="17"/>
      <c r="H7" s="17"/>
      <c r="I7" s="17"/>
      <c r="J7" s="17"/>
      <c r="K7" s="17"/>
      <c r="L7" s="17"/>
      <c r="M7" s="17"/>
    </row>
    <row r="8" spans="1:26" x14ac:dyDescent="0.2">
      <c r="B8" s="17"/>
      <c r="C8" s="17"/>
      <c r="D8" s="17"/>
      <c r="E8" s="17"/>
      <c r="F8" s="17"/>
      <c r="G8" s="17"/>
      <c r="H8" s="17"/>
      <c r="I8" s="17"/>
      <c r="J8" s="17"/>
      <c r="K8" s="17"/>
      <c r="L8" s="17"/>
      <c r="M8" s="17"/>
    </row>
    <row r="9" spans="1:26" x14ac:dyDescent="0.2">
      <c r="B9" s="17"/>
      <c r="C9" s="17"/>
      <c r="D9" s="17"/>
      <c r="E9" s="17"/>
      <c r="F9" s="17"/>
      <c r="G9" s="17"/>
      <c r="H9" s="17"/>
      <c r="I9" s="17"/>
      <c r="J9" s="17"/>
      <c r="K9" s="17"/>
      <c r="L9" s="17"/>
      <c r="M9" s="17"/>
    </row>
    <row r="10" spans="1:26" x14ac:dyDescent="0.2">
      <c r="B10" s="17"/>
      <c r="C10" s="17"/>
      <c r="D10" s="17"/>
      <c r="E10" s="17"/>
      <c r="F10" s="17"/>
      <c r="G10" s="17"/>
      <c r="H10" s="17"/>
      <c r="I10" s="17"/>
      <c r="J10" s="17"/>
    </row>
    <row r="11" spans="1:26" x14ac:dyDescent="0.2">
      <c r="B11" s="17"/>
      <c r="C11" s="17"/>
      <c r="D11" s="17"/>
      <c r="E11" s="17"/>
      <c r="F11" s="17"/>
      <c r="G11" s="17"/>
      <c r="H11" s="17"/>
      <c r="I11" s="17"/>
      <c r="J11" s="17"/>
    </row>
    <row r="12" spans="1:26" x14ac:dyDescent="0.2">
      <c r="B12" s="17"/>
      <c r="C12" s="17"/>
      <c r="D12" s="17"/>
      <c r="E12" s="17"/>
      <c r="F12" s="17"/>
      <c r="G12" s="17"/>
      <c r="H12" s="17"/>
      <c r="I12" s="17"/>
      <c r="J12" s="17"/>
    </row>
    <row r="13" spans="1:26" x14ac:dyDescent="0.2">
      <c r="B13" s="17"/>
      <c r="C13" s="17"/>
      <c r="D13" s="17"/>
      <c r="E13" s="17"/>
      <c r="F13" s="17"/>
      <c r="G13" s="17"/>
      <c r="H13" s="17"/>
      <c r="I13" s="17"/>
      <c r="J13" s="17"/>
    </row>
    <row r="14" spans="1:26" x14ac:dyDescent="0.2">
      <c r="B14" s="17"/>
      <c r="C14" s="17"/>
      <c r="D14" s="17"/>
      <c r="E14" s="17"/>
      <c r="F14" s="17"/>
      <c r="G14" s="17"/>
      <c r="H14" s="17"/>
      <c r="I14" s="17"/>
      <c r="J14" s="17"/>
    </row>
    <row r="15" spans="1:26" x14ac:dyDescent="0.2">
      <c r="B15" s="17"/>
      <c r="C15" s="17"/>
      <c r="D15" s="17"/>
      <c r="E15" s="17"/>
      <c r="F15" s="17"/>
      <c r="G15" s="17"/>
      <c r="H15" s="17"/>
      <c r="I15" s="17"/>
      <c r="J15" s="17"/>
      <c r="K15" s="17"/>
      <c r="L15" s="17"/>
      <c r="M15" s="17"/>
    </row>
    <row r="16" spans="1:26" x14ac:dyDescent="0.2">
      <c r="B16" s="17"/>
      <c r="C16" s="17"/>
      <c r="D16" s="17"/>
      <c r="E16" s="17"/>
      <c r="F16" s="17"/>
      <c r="G16" s="17"/>
      <c r="H16" s="17"/>
      <c r="I16" s="17"/>
      <c r="J16" s="17"/>
      <c r="K16" s="17"/>
      <c r="L16" s="17"/>
      <c r="M16" s="17"/>
    </row>
    <row r="17" spans="1:25" x14ac:dyDescent="0.2">
      <c r="B17" s="17"/>
      <c r="C17" s="17"/>
      <c r="D17" s="17"/>
      <c r="E17" s="17"/>
      <c r="F17" s="17"/>
      <c r="G17" s="17"/>
      <c r="H17" s="17"/>
      <c r="I17" s="17"/>
      <c r="J17" s="17"/>
      <c r="K17" s="17"/>
      <c r="L17" s="17"/>
      <c r="M17" s="17"/>
    </row>
    <row r="18" spans="1:25" x14ac:dyDescent="0.2">
      <c r="B18" s="17"/>
      <c r="C18" s="17"/>
      <c r="D18" s="17"/>
      <c r="E18" s="17"/>
      <c r="F18" s="17"/>
      <c r="G18" s="17"/>
      <c r="H18" s="17"/>
      <c r="I18" s="17"/>
      <c r="J18" s="17"/>
      <c r="K18" s="17"/>
      <c r="L18" s="17"/>
      <c r="M18" s="17"/>
      <c r="N18" s="17"/>
      <c r="O18" s="17"/>
      <c r="P18" s="17"/>
      <c r="Q18" s="17"/>
      <c r="R18" s="17"/>
      <c r="S18" s="17"/>
      <c r="T18" s="17"/>
      <c r="U18" s="17"/>
      <c r="V18" s="17"/>
      <c r="W18" s="17"/>
      <c r="X18" s="17"/>
      <c r="Y18" s="17"/>
    </row>
    <row r="19" spans="1:25" x14ac:dyDescent="0.2">
      <c r="B19" s="17"/>
      <c r="C19" s="17"/>
      <c r="D19" s="17"/>
      <c r="E19" s="17"/>
      <c r="F19" s="17"/>
      <c r="G19" s="17"/>
      <c r="H19" s="17"/>
      <c r="I19" s="17"/>
      <c r="J19" s="17"/>
      <c r="K19" s="17"/>
      <c r="L19" s="17"/>
      <c r="M19" s="17"/>
      <c r="N19" s="17"/>
      <c r="O19" s="17"/>
      <c r="P19" s="17"/>
      <c r="Q19" s="17"/>
      <c r="R19" s="17"/>
      <c r="S19" s="17"/>
      <c r="T19" s="17"/>
      <c r="U19" s="17"/>
      <c r="V19" s="17"/>
      <c r="W19" s="17"/>
      <c r="X19" s="17"/>
      <c r="Y19" s="17"/>
    </row>
    <row r="20" spans="1:25" x14ac:dyDescent="0.2">
      <c r="B20" s="17"/>
      <c r="C20" s="17"/>
      <c r="D20" s="17"/>
      <c r="E20" s="17"/>
      <c r="F20" s="17"/>
      <c r="G20" s="17"/>
      <c r="H20" s="17"/>
      <c r="I20" s="17"/>
      <c r="J20" s="17"/>
      <c r="K20" s="17"/>
      <c r="L20" s="17"/>
      <c r="M20" s="17"/>
      <c r="N20" s="17"/>
      <c r="O20" s="17"/>
      <c r="P20" s="17"/>
      <c r="Q20" s="17"/>
      <c r="R20" s="17"/>
      <c r="S20" s="17"/>
      <c r="T20" s="17"/>
      <c r="U20" s="17"/>
      <c r="V20" s="17"/>
      <c r="W20" s="17"/>
      <c r="X20" s="17"/>
      <c r="Y20" s="17"/>
    </row>
    <row r="21" spans="1:25" x14ac:dyDescent="0.2">
      <c r="B21" s="17"/>
      <c r="C21" s="17"/>
      <c r="D21" s="17"/>
      <c r="E21" s="17"/>
      <c r="F21" s="17"/>
      <c r="G21" s="17"/>
      <c r="H21" s="17"/>
      <c r="I21" s="17"/>
      <c r="J21" s="17"/>
      <c r="K21" s="17"/>
      <c r="L21" s="17"/>
      <c r="M21" s="17"/>
      <c r="N21" s="17"/>
      <c r="O21" s="17"/>
      <c r="P21" s="17"/>
      <c r="Q21" s="17"/>
      <c r="R21" s="17"/>
      <c r="S21" s="17"/>
      <c r="T21" s="17"/>
      <c r="U21" s="17"/>
      <c r="V21" s="17"/>
      <c r="W21" s="17"/>
      <c r="X21" s="17"/>
      <c r="Y21" s="17"/>
    </row>
    <row r="22" spans="1:25" x14ac:dyDescent="0.2">
      <c r="B22" s="17"/>
      <c r="C22" s="17"/>
      <c r="D22" s="17"/>
      <c r="E22" s="17"/>
      <c r="F22" s="17"/>
      <c r="G22" s="17"/>
      <c r="H22" s="17"/>
      <c r="I22" s="17"/>
      <c r="J22" s="17"/>
      <c r="K22" s="17"/>
      <c r="L22" s="17"/>
      <c r="M22" s="17"/>
      <c r="N22" s="17"/>
      <c r="O22" s="17"/>
      <c r="P22" s="17"/>
      <c r="Q22" s="17"/>
      <c r="R22" s="17"/>
      <c r="S22" s="17"/>
      <c r="T22" s="17"/>
      <c r="U22" s="17"/>
      <c r="V22" s="17"/>
      <c r="W22" s="17"/>
      <c r="X22" s="17"/>
      <c r="Y22" s="17"/>
    </row>
    <row r="23" spans="1:25" x14ac:dyDescent="0.2">
      <c r="B23" s="17"/>
      <c r="C23" s="17"/>
      <c r="D23" s="17"/>
      <c r="E23" s="17"/>
      <c r="F23" s="17"/>
      <c r="G23" s="17"/>
      <c r="H23" s="17"/>
      <c r="I23" s="17"/>
      <c r="J23" s="17"/>
      <c r="K23" s="17"/>
      <c r="L23" s="17"/>
      <c r="M23" s="17"/>
      <c r="N23" s="17"/>
      <c r="O23" s="17"/>
      <c r="P23" s="17"/>
      <c r="Q23" s="17"/>
      <c r="R23" s="17"/>
      <c r="S23" s="17"/>
      <c r="T23" s="17"/>
      <c r="U23" s="17"/>
      <c r="V23" s="17"/>
      <c r="W23" s="17"/>
      <c r="X23" s="17"/>
      <c r="Y23" s="17"/>
    </row>
    <row r="25" spans="1:25" ht="13.5" thickBot="1" x14ac:dyDescent="0.25">
      <c r="A25" s="492" t="s">
        <v>277</v>
      </c>
    </row>
    <row r="26" spans="1:25" ht="13.5" thickBot="1" x14ac:dyDescent="0.25">
      <c r="A26" s="416" t="s">
        <v>310</v>
      </c>
      <c r="B26" s="414">
        <f>ROW(A26)</f>
        <v>26</v>
      </c>
      <c r="C26" s="418" t="s">
        <v>116</v>
      </c>
      <c r="D26" s="408">
        <f>SUM(B29:Y29)</f>
        <v>9.8449999999999989</v>
      </c>
      <c r="E26" s="418" t="s">
        <v>115</v>
      </c>
      <c r="F26" s="460">
        <f>D26/g/J26</f>
        <v>3.3452259599048584</v>
      </c>
      <c r="G26" s="418" t="s">
        <v>57</v>
      </c>
      <c r="H26" s="86">
        <v>0.3</v>
      </c>
      <c r="I26" s="418" t="s">
        <v>272</v>
      </c>
      <c r="J26" s="410">
        <f>H26-L26</f>
        <v>0.3</v>
      </c>
      <c r="K26" s="418" t="s">
        <v>273</v>
      </c>
      <c r="L26" s="86">
        <v>0</v>
      </c>
      <c r="M26" s="418" t="s">
        <v>58</v>
      </c>
      <c r="N26" s="87">
        <f>0.2*R26</f>
        <v>60</v>
      </c>
      <c r="O26" s="418" t="s">
        <v>60</v>
      </c>
      <c r="P26" s="87">
        <v>150</v>
      </c>
      <c r="Q26" s="418" t="s">
        <v>61</v>
      </c>
      <c r="R26" s="87">
        <v>300</v>
      </c>
      <c r="S26" s="418" t="s">
        <v>62</v>
      </c>
      <c r="T26" s="87">
        <v>90</v>
      </c>
      <c r="U26" s="418" t="s">
        <v>55</v>
      </c>
      <c r="V26" s="88" t="s">
        <v>277</v>
      </c>
      <c r="W26" s="17"/>
      <c r="X26" s="17"/>
      <c r="Y26" s="17"/>
    </row>
    <row r="27" spans="1:25" x14ac:dyDescent="0.2">
      <c r="A27" s="417" t="s">
        <v>33</v>
      </c>
      <c r="B27" s="425">
        <v>0</v>
      </c>
      <c r="C27" s="426">
        <v>1E-3</v>
      </c>
      <c r="D27" s="426">
        <v>0.02</v>
      </c>
      <c r="E27" s="426">
        <v>3.7999999999999999E-2</v>
      </c>
      <c r="F27" s="426">
        <v>0.04</v>
      </c>
      <c r="G27" s="426">
        <v>0.04</v>
      </c>
      <c r="H27" s="426">
        <v>0.04</v>
      </c>
      <c r="I27" s="426">
        <v>0.04</v>
      </c>
      <c r="J27" s="426">
        <v>0.04</v>
      </c>
      <c r="K27" s="426">
        <v>0.04</v>
      </c>
      <c r="L27" s="426">
        <v>0.04</v>
      </c>
      <c r="M27" s="426">
        <v>0.04</v>
      </c>
      <c r="N27" s="426">
        <v>0.04</v>
      </c>
      <c r="O27" s="426">
        <v>0.04</v>
      </c>
      <c r="P27" s="426">
        <v>0.04</v>
      </c>
      <c r="Q27" s="426">
        <v>0.04</v>
      </c>
      <c r="R27" s="426">
        <v>0.04</v>
      </c>
      <c r="S27" s="426">
        <v>0.04</v>
      </c>
      <c r="T27" s="426">
        <v>0.04</v>
      </c>
      <c r="U27" s="426">
        <v>0.04</v>
      </c>
      <c r="V27" s="426">
        <v>0.04</v>
      </c>
      <c r="W27" s="426">
        <v>0.04</v>
      </c>
      <c r="X27" s="426">
        <v>0.04</v>
      </c>
      <c r="Y27" s="437">
        <v>1000</v>
      </c>
    </row>
    <row r="28" spans="1:25" x14ac:dyDescent="0.2">
      <c r="A28" s="434" t="s">
        <v>34</v>
      </c>
      <c r="B28" s="427">
        <v>0</v>
      </c>
      <c r="C28" s="428">
        <v>310</v>
      </c>
      <c r="D28" s="428">
        <v>250</v>
      </c>
      <c r="E28" s="428">
        <v>212</v>
      </c>
      <c r="F28" s="428">
        <v>0</v>
      </c>
      <c r="G28" s="428">
        <v>0</v>
      </c>
      <c r="H28" s="428">
        <v>0</v>
      </c>
      <c r="I28" s="428">
        <v>0</v>
      </c>
      <c r="J28" s="428">
        <v>0</v>
      </c>
      <c r="K28" s="428">
        <v>0</v>
      </c>
      <c r="L28" s="428">
        <v>0</v>
      </c>
      <c r="M28" s="428">
        <v>0</v>
      </c>
      <c r="N28" s="428">
        <v>0</v>
      </c>
      <c r="O28" s="428">
        <v>0</v>
      </c>
      <c r="P28" s="428">
        <v>0</v>
      </c>
      <c r="Q28" s="428">
        <v>0</v>
      </c>
      <c r="R28" s="428">
        <v>0</v>
      </c>
      <c r="S28" s="428">
        <v>0</v>
      </c>
      <c r="T28" s="428">
        <v>0</v>
      </c>
      <c r="U28" s="428">
        <v>0</v>
      </c>
      <c r="V28" s="428">
        <v>0</v>
      </c>
      <c r="W28" s="428">
        <v>0</v>
      </c>
      <c r="X28" s="428">
        <v>0</v>
      </c>
      <c r="Y28" s="438">
        <v>0</v>
      </c>
    </row>
    <row r="29" spans="1:25" ht="13.5" thickBot="1" x14ac:dyDescent="0.25">
      <c r="A29" s="435" t="s">
        <v>117</v>
      </c>
      <c r="B29" s="429">
        <f t="shared" ref="B29:X29" si="2">(C28+B28)*(C27-B27)/2</f>
        <v>0.155</v>
      </c>
      <c r="C29" s="430">
        <f t="shared" si="2"/>
        <v>5.32</v>
      </c>
      <c r="D29" s="430">
        <f t="shared" si="2"/>
        <v>4.1579999999999995</v>
      </c>
      <c r="E29" s="430">
        <f t="shared" si="2"/>
        <v>0.21200000000000019</v>
      </c>
      <c r="F29" s="430">
        <f t="shared" si="2"/>
        <v>0</v>
      </c>
      <c r="G29" s="430">
        <f t="shared" si="2"/>
        <v>0</v>
      </c>
      <c r="H29" s="430">
        <f t="shared" si="2"/>
        <v>0</v>
      </c>
      <c r="I29" s="430">
        <f t="shared" si="2"/>
        <v>0</v>
      </c>
      <c r="J29" s="430">
        <f t="shared" si="2"/>
        <v>0</v>
      </c>
      <c r="K29" s="430">
        <f t="shared" si="2"/>
        <v>0</v>
      </c>
      <c r="L29" s="430">
        <f t="shared" si="2"/>
        <v>0</v>
      </c>
      <c r="M29" s="430">
        <f t="shared" si="2"/>
        <v>0</v>
      </c>
      <c r="N29" s="430">
        <f t="shared" si="2"/>
        <v>0</v>
      </c>
      <c r="O29" s="430">
        <f t="shared" si="2"/>
        <v>0</v>
      </c>
      <c r="P29" s="430">
        <f t="shared" si="2"/>
        <v>0</v>
      </c>
      <c r="Q29" s="430">
        <f t="shared" si="2"/>
        <v>0</v>
      </c>
      <c r="R29" s="430">
        <f t="shared" si="2"/>
        <v>0</v>
      </c>
      <c r="S29" s="430">
        <f t="shared" si="2"/>
        <v>0</v>
      </c>
      <c r="T29" s="430">
        <f t="shared" si="2"/>
        <v>0</v>
      </c>
      <c r="U29" s="430">
        <f t="shared" si="2"/>
        <v>0</v>
      </c>
      <c r="V29" s="430">
        <f t="shared" si="2"/>
        <v>0</v>
      </c>
      <c r="W29" s="430">
        <f t="shared" si="2"/>
        <v>0</v>
      </c>
      <c r="X29" s="430">
        <f t="shared" si="2"/>
        <v>0</v>
      </c>
      <c r="Y29" s="424"/>
    </row>
    <row r="30" spans="1:25" ht="13.5" thickBot="1" x14ac:dyDescent="0.25">
      <c r="A30" s="17"/>
      <c r="L30" s="17"/>
      <c r="M30" s="17"/>
      <c r="N30" s="17"/>
      <c r="O30" s="17"/>
      <c r="P30" s="17"/>
      <c r="Q30" s="17"/>
      <c r="R30" s="17"/>
      <c r="S30" s="17"/>
      <c r="T30" s="17"/>
      <c r="U30" s="17"/>
      <c r="V30" s="17"/>
      <c r="W30" s="17"/>
      <c r="X30" s="17"/>
      <c r="Y30" s="17"/>
    </row>
    <row r="31" spans="1:25" ht="13.5" thickBot="1" x14ac:dyDescent="0.25">
      <c r="A31" s="416" t="s">
        <v>311</v>
      </c>
      <c r="B31" s="414">
        <f>ROW(A31)</f>
        <v>31</v>
      </c>
      <c r="C31" s="418" t="s">
        <v>116</v>
      </c>
      <c r="D31" s="408">
        <f>SUM(B34:Y34)</f>
        <v>13.814500000000002</v>
      </c>
      <c r="E31" s="418" t="s">
        <v>115</v>
      </c>
      <c r="F31" s="460">
        <f>D31/g/J31</f>
        <v>3.1293464718541175</v>
      </c>
      <c r="G31" s="418" t="s">
        <v>57</v>
      </c>
      <c r="H31" s="86">
        <v>0.45</v>
      </c>
      <c r="I31" s="418" t="s">
        <v>272</v>
      </c>
      <c r="J31" s="410">
        <f>H31-L31</f>
        <v>0.45</v>
      </c>
      <c r="K31" s="418" t="s">
        <v>273</v>
      </c>
      <c r="L31" s="86">
        <v>0</v>
      </c>
      <c r="M31" s="418" t="s">
        <v>58</v>
      </c>
      <c r="N31" s="87">
        <f>0.3*R31</f>
        <v>90</v>
      </c>
      <c r="O31" s="418" t="s">
        <v>60</v>
      </c>
      <c r="P31" s="87">
        <v>150</v>
      </c>
      <c r="Q31" s="418" t="s">
        <v>61</v>
      </c>
      <c r="R31" s="87">
        <v>300</v>
      </c>
      <c r="S31" s="418" t="s">
        <v>62</v>
      </c>
      <c r="T31" s="87">
        <v>90</v>
      </c>
      <c r="U31" s="418" t="s">
        <v>55</v>
      </c>
      <c r="V31" s="88" t="s">
        <v>277</v>
      </c>
      <c r="W31" s="17"/>
      <c r="X31" s="17"/>
      <c r="Y31" s="17"/>
    </row>
    <row r="32" spans="1:25" x14ac:dyDescent="0.2">
      <c r="A32" s="417" t="s">
        <v>33</v>
      </c>
      <c r="B32" s="425">
        <v>0</v>
      </c>
      <c r="C32" s="426">
        <v>1E-3</v>
      </c>
      <c r="D32" s="426">
        <v>0.02</v>
      </c>
      <c r="E32" s="426">
        <v>0.04</v>
      </c>
      <c r="F32" s="426">
        <v>6.0999999999999999E-2</v>
      </c>
      <c r="G32" s="426">
        <v>6.2E-2</v>
      </c>
      <c r="H32" s="426">
        <v>6.2E-2</v>
      </c>
      <c r="I32" s="426">
        <v>6.2E-2</v>
      </c>
      <c r="J32" s="426">
        <v>6.2E-2</v>
      </c>
      <c r="K32" s="426">
        <v>6.2E-2</v>
      </c>
      <c r="L32" s="426">
        <v>6.2E-2</v>
      </c>
      <c r="M32" s="426">
        <v>6.2E-2</v>
      </c>
      <c r="N32" s="426">
        <v>6.2E-2</v>
      </c>
      <c r="O32" s="426">
        <v>6.2E-2</v>
      </c>
      <c r="P32" s="426">
        <v>6.2E-2</v>
      </c>
      <c r="Q32" s="426">
        <v>6.2E-2</v>
      </c>
      <c r="R32" s="426">
        <v>6.2E-2</v>
      </c>
      <c r="S32" s="426">
        <v>6.2E-2</v>
      </c>
      <c r="T32" s="426">
        <v>6.2E-2</v>
      </c>
      <c r="U32" s="426">
        <v>6.2E-2</v>
      </c>
      <c r="V32" s="426">
        <v>6.2E-2</v>
      </c>
      <c r="W32" s="426">
        <v>6.2E-2</v>
      </c>
      <c r="X32" s="426">
        <v>6.2E-2</v>
      </c>
      <c r="Y32" s="437">
        <v>1000</v>
      </c>
    </row>
    <row r="33" spans="1:25" x14ac:dyDescent="0.2">
      <c r="A33" s="434" t="s">
        <v>34</v>
      </c>
      <c r="B33" s="427">
        <v>0</v>
      </c>
      <c r="C33" s="428">
        <v>310</v>
      </c>
      <c r="D33" s="428">
        <v>245</v>
      </c>
      <c r="E33" s="428">
        <v>200</v>
      </c>
      <c r="F33" s="428">
        <v>167</v>
      </c>
      <c r="G33" s="428">
        <v>0</v>
      </c>
      <c r="H33" s="428">
        <v>0</v>
      </c>
      <c r="I33" s="428">
        <v>0</v>
      </c>
      <c r="J33" s="428">
        <v>0</v>
      </c>
      <c r="K33" s="428">
        <v>0</v>
      </c>
      <c r="L33" s="428">
        <v>0</v>
      </c>
      <c r="M33" s="428">
        <v>0</v>
      </c>
      <c r="N33" s="428">
        <v>0</v>
      </c>
      <c r="O33" s="428">
        <v>0</v>
      </c>
      <c r="P33" s="428">
        <v>0</v>
      </c>
      <c r="Q33" s="428">
        <v>0</v>
      </c>
      <c r="R33" s="428">
        <v>0</v>
      </c>
      <c r="S33" s="428">
        <v>0</v>
      </c>
      <c r="T33" s="428">
        <v>0</v>
      </c>
      <c r="U33" s="428">
        <v>0</v>
      </c>
      <c r="V33" s="428">
        <v>0</v>
      </c>
      <c r="W33" s="428">
        <v>0</v>
      </c>
      <c r="X33" s="428">
        <v>0</v>
      </c>
      <c r="Y33" s="438">
        <v>0</v>
      </c>
    </row>
    <row r="34" spans="1:25" ht="13.5" thickBot="1" x14ac:dyDescent="0.25">
      <c r="A34" s="435" t="s">
        <v>117</v>
      </c>
      <c r="B34" s="429">
        <f t="shared" ref="B34:X34" si="3">(C33+B33)*(C32-B32)/2</f>
        <v>0.155</v>
      </c>
      <c r="C34" s="430">
        <f t="shared" si="3"/>
        <v>5.2725</v>
      </c>
      <c r="D34" s="430">
        <f t="shared" si="3"/>
        <v>4.45</v>
      </c>
      <c r="E34" s="430">
        <f t="shared" si="3"/>
        <v>3.8534999999999995</v>
      </c>
      <c r="F34" s="430">
        <f t="shared" si="3"/>
        <v>8.3500000000000074E-2</v>
      </c>
      <c r="G34" s="430">
        <f t="shared" si="3"/>
        <v>0</v>
      </c>
      <c r="H34" s="430">
        <f t="shared" si="3"/>
        <v>0</v>
      </c>
      <c r="I34" s="430">
        <f t="shared" si="3"/>
        <v>0</v>
      </c>
      <c r="J34" s="430">
        <f t="shared" si="3"/>
        <v>0</v>
      </c>
      <c r="K34" s="430">
        <f t="shared" si="3"/>
        <v>0</v>
      </c>
      <c r="L34" s="430">
        <f t="shared" si="3"/>
        <v>0</v>
      </c>
      <c r="M34" s="430">
        <f t="shared" si="3"/>
        <v>0</v>
      </c>
      <c r="N34" s="430">
        <f t="shared" si="3"/>
        <v>0</v>
      </c>
      <c r="O34" s="430">
        <f t="shared" si="3"/>
        <v>0</v>
      </c>
      <c r="P34" s="430">
        <f t="shared" si="3"/>
        <v>0</v>
      </c>
      <c r="Q34" s="430">
        <f t="shared" si="3"/>
        <v>0</v>
      </c>
      <c r="R34" s="430">
        <f t="shared" si="3"/>
        <v>0</v>
      </c>
      <c r="S34" s="430">
        <f t="shared" si="3"/>
        <v>0</v>
      </c>
      <c r="T34" s="430">
        <f t="shared" si="3"/>
        <v>0</v>
      </c>
      <c r="U34" s="430">
        <f t="shared" si="3"/>
        <v>0</v>
      </c>
      <c r="V34" s="430">
        <f t="shared" si="3"/>
        <v>0</v>
      </c>
      <c r="W34" s="430">
        <f t="shared" si="3"/>
        <v>0</v>
      </c>
      <c r="X34" s="430">
        <f t="shared" si="3"/>
        <v>0</v>
      </c>
      <c r="Y34" s="424"/>
    </row>
    <row r="35" spans="1:25" ht="13.5" thickBot="1" x14ac:dyDescent="0.25">
      <c r="B35" s="17"/>
      <c r="C35" s="17"/>
      <c r="D35" s="17"/>
      <c r="E35" s="17"/>
      <c r="F35" s="17"/>
      <c r="G35" s="17"/>
      <c r="H35" s="17"/>
      <c r="I35" s="17"/>
      <c r="J35" s="17"/>
      <c r="K35" s="17"/>
      <c r="L35" s="17"/>
      <c r="M35" s="17"/>
      <c r="N35" s="17"/>
      <c r="O35" s="17"/>
      <c r="P35" s="17"/>
      <c r="Q35" s="17"/>
      <c r="R35" s="17"/>
      <c r="S35" s="17"/>
      <c r="T35" s="17"/>
      <c r="U35" s="17"/>
      <c r="V35" s="17"/>
      <c r="W35" s="17"/>
      <c r="X35" s="17"/>
      <c r="Y35" s="17"/>
    </row>
    <row r="36" spans="1:25" ht="13.5" thickBot="1" x14ac:dyDescent="0.25">
      <c r="A36" s="416" t="s">
        <v>312</v>
      </c>
      <c r="B36" s="414">
        <f>ROW(A36)</f>
        <v>36</v>
      </c>
      <c r="C36" s="418" t="s">
        <v>116</v>
      </c>
      <c r="D36" s="408">
        <f>SUM(B39:Y39)</f>
        <v>17.144499999999997</v>
      </c>
      <c r="E36" s="418" t="s">
        <v>115</v>
      </c>
      <c r="F36" s="460">
        <f>D36/g/J36</f>
        <v>2.9127590893645934</v>
      </c>
      <c r="G36" s="418" t="s">
        <v>57</v>
      </c>
      <c r="H36" s="86">
        <v>0.6</v>
      </c>
      <c r="I36" s="418" t="s">
        <v>272</v>
      </c>
      <c r="J36" s="410">
        <f>H36-L36</f>
        <v>0.6</v>
      </c>
      <c r="K36" s="418" t="s">
        <v>273</v>
      </c>
      <c r="L36" s="86">
        <v>0</v>
      </c>
      <c r="M36" s="418" t="s">
        <v>58</v>
      </c>
      <c r="N36" s="87">
        <f>0.4*R36</f>
        <v>120</v>
      </c>
      <c r="O36" s="418" t="s">
        <v>60</v>
      </c>
      <c r="P36" s="87">
        <v>150</v>
      </c>
      <c r="Q36" s="418" t="s">
        <v>61</v>
      </c>
      <c r="R36" s="87">
        <v>300</v>
      </c>
      <c r="S36" s="418" t="s">
        <v>62</v>
      </c>
      <c r="T36" s="87">
        <v>90</v>
      </c>
      <c r="U36" s="418" t="s">
        <v>55</v>
      </c>
      <c r="V36" s="88" t="s">
        <v>277</v>
      </c>
      <c r="W36" s="17"/>
      <c r="X36" s="17"/>
      <c r="Y36" s="17"/>
    </row>
    <row r="37" spans="1:25" x14ac:dyDescent="0.2">
      <c r="A37" s="417" t="s">
        <v>33</v>
      </c>
      <c r="B37" s="425">
        <v>0</v>
      </c>
      <c r="C37" s="426">
        <v>1E-3</v>
      </c>
      <c r="D37" s="426">
        <v>0.02</v>
      </c>
      <c r="E37" s="426">
        <v>0.04</v>
      </c>
      <c r="F37" s="426">
        <v>0.06</v>
      </c>
      <c r="G37" s="426">
        <v>0.08</v>
      </c>
      <c r="H37" s="426">
        <v>8.7999999999999995E-2</v>
      </c>
      <c r="I37" s="426">
        <v>8.8999999999999996E-2</v>
      </c>
      <c r="J37" s="426">
        <v>8.8999999999999996E-2</v>
      </c>
      <c r="K37" s="426">
        <v>8.8999999999999996E-2</v>
      </c>
      <c r="L37" s="426">
        <v>8.8999999999999996E-2</v>
      </c>
      <c r="M37" s="426">
        <v>8.8999999999999996E-2</v>
      </c>
      <c r="N37" s="426">
        <v>8.8999999999999996E-2</v>
      </c>
      <c r="O37" s="426">
        <v>8.8999999999999996E-2</v>
      </c>
      <c r="P37" s="426">
        <v>8.8999999999999996E-2</v>
      </c>
      <c r="Q37" s="426">
        <v>8.8999999999999996E-2</v>
      </c>
      <c r="R37" s="426">
        <v>8.8999999999999996E-2</v>
      </c>
      <c r="S37" s="426">
        <v>8.8999999999999996E-2</v>
      </c>
      <c r="T37" s="426">
        <v>8.8999999999999996E-2</v>
      </c>
      <c r="U37" s="426">
        <v>8.8999999999999996E-2</v>
      </c>
      <c r="V37" s="426">
        <v>8.8999999999999996E-2</v>
      </c>
      <c r="W37" s="426">
        <v>8.8999999999999996E-2</v>
      </c>
      <c r="X37" s="426">
        <v>8.8999999999999996E-2</v>
      </c>
      <c r="Y37" s="437">
        <v>1000</v>
      </c>
    </row>
    <row r="38" spans="1:25" x14ac:dyDescent="0.2">
      <c r="A38" s="434" t="s">
        <v>34</v>
      </c>
      <c r="B38" s="427">
        <v>0</v>
      </c>
      <c r="C38" s="428">
        <v>310</v>
      </c>
      <c r="D38" s="428">
        <v>240</v>
      </c>
      <c r="E38" s="428">
        <v>190</v>
      </c>
      <c r="F38" s="428">
        <v>157</v>
      </c>
      <c r="G38" s="428">
        <v>133</v>
      </c>
      <c r="H38" s="428">
        <v>125</v>
      </c>
      <c r="I38" s="428">
        <v>0</v>
      </c>
      <c r="J38" s="428">
        <v>0</v>
      </c>
      <c r="K38" s="428">
        <v>0</v>
      </c>
      <c r="L38" s="428">
        <v>0</v>
      </c>
      <c r="M38" s="428">
        <v>0</v>
      </c>
      <c r="N38" s="428">
        <v>0</v>
      </c>
      <c r="O38" s="428">
        <v>0</v>
      </c>
      <c r="P38" s="428">
        <v>0</v>
      </c>
      <c r="Q38" s="428">
        <v>0</v>
      </c>
      <c r="R38" s="428">
        <v>0</v>
      </c>
      <c r="S38" s="428">
        <v>0</v>
      </c>
      <c r="T38" s="428">
        <v>0</v>
      </c>
      <c r="U38" s="428">
        <v>0</v>
      </c>
      <c r="V38" s="428">
        <v>0</v>
      </c>
      <c r="W38" s="428">
        <v>0</v>
      </c>
      <c r="X38" s="428">
        <v>0</v>
      </c>
      <c r="Y38" s="438">
        <v>0</v>
      </c>
    </row>
    <row r="39" spans="1:25" ht="13.5" thickBot="1" x14ac:dyDescent="0.25">
      <c r="A39" s="435" t="s">
        <v>117</v>
      </c>
      <c r="B39" s="429">
        <f t="shared" ref="B39:X39" si="4">(C38+B38)*(C37-B37)/2</f>
        <v>0.155</v>
      </c>
      <c r="C39" s="430">
        <f t="shared" si="4"/>
        <v>5.2249999999999996</v>
      </c>
      <c r="D39" s="430">
        <f t="shared" si="4"/>
        <v>4.3</v>
      </c>
      <c r="E39" s="430">
        <f t="shared" si="4"/>
        <v>3.4699999999999993</v>
      </c>
      <c r="F39" s="430">
        <f t="shared" si="4"/>
        <v>2.9000000000000004</v>
      </c>
      <c r="G39" s="430">
        <f t="shared" si="4"/>
        <v>1.0319999999999991</v>
      </c>
      <c r="H39" s="430">
        <f t="shared" si="4"/>
        <v>6.2500000000000056E-2</v>
      </c>
      <c r="I39" s="430">
        <f t="shared" si="4"/>
        <v>0</v>
      </c>
      <c r="J39" s="430">
        <f t="shared" si="4"/>
        <v>0</v>
      </c>
      <c r="K39" s="430">
        <f t="shared" si="4"/>
        <v>0</v>
      </c>
      <c r="L39" s="430">
        <f t="shared" si="4"/>
        <v>0</v>
      </c>
      <c r="M39" s="430">
        <f t="shared" si="4"/>
        <v>0</v>
      </c>
      <c r="N39" s="430">
        <f t="shared" si="4"/>
        <v>0</v>
      </c>
      <c r="O39" s="430">
        <f t="shared" si="4"/>
        <v>0</v>
      </c>
      <c r="P39" s="430">
        <f t="shared" si="4"/>
        <v>0</v>
      </c>
      <c r="Q39" s="430">
        <f t="shared" si="4"/>
        <v>0</v>
      </c>
      <c r="R39" s="430">
        <f t="shared" si="4"/>
        <v>0</v>
      </c>
      <c r="S39" s="430">
        <f t="shared" si="4"/>
        <v>0</v>
      </c>
      <c r="T39" s="430">
        <f t="shared" si="4"/>
        <v>0</v>
      </c>
      <c r="U39" s="430">
        <f t="shared" si="4"/>
        <v>0</v>
      </c>
      <c r="V39" s="430">
        <f t="shared" si="4"/>
        <v>0</v>
      </c>
      <c r="W39" s="430">
        <f t="shared" si="4"/>
        <v>0</v>
      </c>
      <c r="X39" s="430">
        <f t="shared" si="4"/>
        <v>0</v>
      </c>
      <c r="Y39" s="424"/>
    </row>
    <row r="40" spans="1:25" ht="13.5" thickBot="1" x14ac:dyDescent="0.25">
      <c r="A40" s="17"/>
      <c r="L40" s="17"/>
      <c r="M40" s="17"/>
      <c r="N40" s="17"/>
      <c r="O40" s="17"/>
      <c r="P40" s="17"/>
      <c r="Q40" s="17"/>
      <c r="R40" s="17"/>
      <c r="S40" s="17"/>
      <c r="T40" s="17"/>
      <c r="U40" s="17"/>
      <c r="V40" s="17"/>
      <c r="W40" s="17"/>
      <c r="X40" s="17"/>
      <c r="Y40" s="17"/>
    </row>
    <row r="41" spans="1:25" ht="13.5" thickBot="1" x14ac:dyDescent="0.25">
      <c r="A41" s="416" t="s">
        <v>313</v>
      </c>
      <c r="B41" s="414">
        <f>ROW(A41)</f>
        <v>41</v>
      </c>
      <c r="C41" s="418" t="s">
        <v>116</v>
      </c>
      <c r="D41" s="408">
        <f>SUM(B44:Y44)</f>
        <v>19.415000000000003</v>
      </c>
      <c r="E41" s="418" t="s">
        <v>115</v>
      </c>
      <c r="F41" s="460">
        <f>D41/g/J41</f>
        <v>2.6388039415562354</v>
      </c>
      <c r="G41" s="418" t="s">
        <v>57</v>
      </c>
      <c r="H41" s="86">
        <v>0.75</v>
      </c>
      <c r="I41" s="418" t="s">
        <v>272</v>
      </c>
      <c r="J41" s="410">
        <f>H41-L41</f>
        <v>0.75</v>
      </c>
      <c r="K41" s="418" t="s">
        <v>273</v>
      </c>
      <c r="L41" s="86">
        <v>0</v>
      </c>
      <c r="M41" s="418" t="s">
        <v>58</v>
      </c>
      <c r="N41" s="87">
        <f>0.5*R41</f>
        <v>150</v>
      </c>
      <c r="O41" s="418" t="s">
        <v>60</v>
      </c>
      <c r="P41" s="87">
        <v>150</v>
      </c>
      <c r="Q41" s="418" t="s">
        <v>61</v>
      </c>
      <c r="R41" s="87">
        <v>300</v>
      </c>
      <c r="S41" s="418" t="s">
        <v>62</v>
      </c>
      <c r="T41" s="87">
        <v>90</v>
      </c>
      <c r="U41" s="418" t="s">
        <v>55</v>
      </c>
      <c r="V41" s="88" t="s">
        <v>277</v>
      </c>
      <c r="W41" s="17"/>
      <c r="X41" s="17"/>
      <c r="Y41" s="17"/>
    </row>
    <row r="42" spans="1:25" x14ac:dyDescent="0.2">
      <c r="A42" s="417" t="s">
        <v>33</v>
      </c>
      <c r="B42" s="425">
        <v>0</v>
      </c>
      <c r="C42" s="426">
        <v>1E-3</v>
      </c>
      <c r="D42" s="426">
        <v>0.02</v>
      </c>
      <c r="E42" s="426">
        <v>0.04</v>
      </c>
      <c r="F42" s="426">
        <v>0.06</v>
      </c>
      <c r="G42" s="426">
        <v>0.08</v>
      </c>
      <c r="H42" s="426">
        <v>0.1</v>
      </c>
      <c r="I42" s="426">
        <v>0.123</v>
      </c>
      <c r="J42" s="426">
        <v>0.124</v>
      </c>
      <c r="K42" s="426">
        <v>0.124</v>
      </c>
      <c r="L42" s="426">
        <v>0.124</v>
      </c>
      <c r="M42" s="426">
        <v>0.124</v>
      </c>
      <c r="N42" s="426">
        <v>0.124</v>
      </c>
      <c r="O42" s="426">
        <v>0.124</v>
      </c>
      <c r="P42" s="426">
        <v>0.124</v>
      </c>
      <c r="Q42" s="426">
        <v>0.124</v>
      </c>
      <c r="R42" s="426">
        <v>0.124</v>
      </c>
      <c r="S42" s="426">
        <v>0.124</v>
      </c>
      <c r="T42" s="426">
        <v>0.124</v>
      </c>
      <c r="U42" s="426">
        <v>0.124</v>
      </c>
      <c r="V42" s="426">
        <v>0.124</v>
      </c>
      <c r="W42" s="426">
        <v>0.124</v>
      </c>
      <c r="X42" s="426">
        <v>0.124</v>
      </c>
      <c r="Y42" s="437">
        <v>1000</v>
      </c>
    </row>
    <row r="43" spans="1:25" x14ac:dyDescent="0.2">
      <c r="A43" s="434" t="s">
        <v>34</v>
      </c>
      <c r="B43" s="427">
        <v>0</v>
      </c>
      <c r="C43" s="428">
        <v>310</v>
      </c>
      <c r="D43" s="428">
        <v>230</v>
      </c>
      <c r="E43" s="428">
        <v>175</v>
      </c>
      <c r="F43" s="428">
        <v>140</v>
      </c>
      <c r="G43" s="428">
        <v>118</v>
      </c>
      <c r="H43" s="428">
        <v>100</v>
      </c>
      <c r="I43" s="428">
        <v>85</v>
      </c>
      <c r="J43" s="428">
        <v>0</v>
      </c>
      <c r="K43" s="428">
        <v>0</v>
      </c>
      <c r="L43" s="428">
        <v>0</v>
      </c>
      <c r="M43" s="428">
        <v>0</v>
      </c>
      <c r="N43" s="428">
        <v>0</v>
      </c>
      <c r="O43" s="428">
        <v>0</v>
      </c>
      <c r="P43" s="428">
        <v>0</v>
      </c>
      <c r="Q43" s="428">
        <v>0</v>
      </c>
      <c r="R43" s="428">
        <v>0</v>
      </c>
      <c r="S43" s="428">
        <v>0</v>
      </c>
      <c r="T43" s="428">
        <v>0</v>
      </c>
      <c r="U43" s="428">
        <v>0</v>
      </c>
      <c r="V43" s="428">
        <v>0</v>
      </c>
      <c r="W43" s="428">
        <v>0</v>
      </c>
      <c r="X43" s="428">
        <v>0</v>
      </c>
      <c r="Y43" s="438">
        <v>0</v>
      </c>
    </row>
    <row r="44" spans="1:25" ht="13.5" thickBot="1" x14ac:dyDescent="0.25">
      <c r="A44" s="435" t="s">
        <v>117</v>
      </c>
      <c r="B44" s="429">
        <f t="shared" ref="B44:X44" si="5">(C43+B43)*(C42-B42)/2</f>
        <v>0.155</v>
      </c>
      <c r="C44" s="430">
        <f t="shared" si="5"/>
        <v>5.13</v>
      </c>
      <c r="D44" s="430">
        <f t="shared" si="5"/>
        <v>4.05</v>
      </c>
      <c r="E44" s="430">
        <f t="shared" si="5"/>
        <v>3.1499999999999995</v>
      </c>
      <c r="F44" s="430">
        <f t="shared" si="5"/>
        <v>2.5800000000000005</v>
      </c>
      <c r="G44" s="430">
        <f t="shared" si="5"/>
        <v>2.1800000000000006</v>
      </c>
      <c r="H44" s="430">
        <f t="shared" si="5"/>
        <v>2.1274999999999995</v>
      </c>
      <c r="I44" s="430">
        <f t="shared" si="5"/>
        <v>4.2500000000000038E-2</v>
      </c>
      <c r="J44" s="430">
        <f t="shared" si="5"/>
        <v>0</v>
      </c>
      <c r="K44" s="430">
        <f t="shared" si="5"/>
        <v>0</v>
      </c>
      <c r="L44" s="430">
        <f t="shared" si="5"/>
        <v>0</v>
      </c>
      <c r="M44" s="430">
        <f t="shared" si="5"/>
        <v>0</v>
      </c>
      <c r="N44" s="430">
        <f t="shared" si="5"/>
        <v>0</v>
      </c>
      <c r="O44" s="430">
        <f t="shared" si="5"/>
        <v>0</v>
      </c>
      <c r="P44" s="430">
        <f t="shared" si="5"/>
        <v>0</v>
      </c>
      <c r="Q44" s="430">
        <f t="shared" si="5"/>
        <v>0</v>
      </c>
      <c r="R44" s="430">
        <f t="shared" si="5"/>
        <v>0</v>
      </c>
      <c r="S44" s="430">
        <f t="shared" si="5"/>
        <v>0</v>
      </c>
      <c r="T44" s="430">
        <f t="shared" si="5"/>
        <v>0</v>
      </c>
      <c r="U44" s="430">
        <f t="shared" si="5"/>
        <v>0</v>
      </c>
      <c r="V44" s="430">
        <f t="shared" si="5"/>
        <v>0</v>
      </c>
      <c r="W44" s="430">
        <f t="shared" si="5"/>
        <v>0</v>
      </c>
      <c r="X44" s="430">
        <f t="shared" si="5"/>
        <v>0</v>
      </c>
      <c r="Y44" s="424"/>
    </row>
    <row r="45" spans="1:25" ht="13.5" thickBot="1" x14ac:dyDescent="0.25"/>
    <row r="46" spans="1:25" ht="13.5" thickBot="1" x14ac:dyDescent="0.25">
      <c r="A46" s="416" t="s">
        <v>278</v>
      </c>
      <c r="B46" s="414">
        <f>ROW(A46)</f>
        <v>46</v>
      </c>
      <c r="C46" s="418" t="s">
        <v>116</v>
      </c>
      <c r="D46" s="408">
        <f>SUM(B49:Y49)</f>
        <v>12.8695</v>
      </c>
      <c r="E46" s="418" t="s">
        <v>115</v>
      </c>
      <c r="F46" s="460">
        <f>D46/g/J46</f>
        <v>3.2796890927624869</v>
      </c>
      <c r="G46" s="418" t="s">
        <v>57</v>
      </c>
      <c r="H46" s="86">
        <v>0.5</v>
      </c>
      <c r="I46" s="418" t="s">
        <v>272</v>
      </c>
      <c r="J46" s="410">
        <f>H46-L46</f>
        <v>0.4</v>
      </c>
      <c r="K46" s="418" t="s">
        <v>273</v>
      </c>
      <c r="L46" s="86">
        <v>0.1</v>
      </c>
      <c r="M46" s="418" t="s">
        <v>58</v>
      </c>
      <c r="N46" s="87">
        <f>0.2*R46</f>
        <v>60</v>
      </c>
      <c r="O46" s="418" t="s">
        <v>60</v>
      </c>
      <c r="P46" s="87">
        <v>150</v>
      </c>
      <c r="Q46" s="418" t="s">
        <v>61</v>
      </c>
      <c r="R46" s="87">
        <v>300</v>
      </c>
      <c r="S46" s="418" t="s">
        <v>62</v>
      </c>
      <c r="T46" s="87">
        <v>98</v>
      </c>
      <c r="U46" s="418" t="s">
        <v>55</v>
      </c>
      <c r="V46" s="88" t="s">
        <v>277</v>
      </c>
      <c r="W46" s="17"/>
      <c r="X46" s="17"/>
      <c r="Y46" s="17"/>
    </row>
    <row r="47" spans="1:25" x14ac:dyDescent="0.2">
      <c r="A47" s="417" t="s">
        <v>33</v>
      </c>
      <c r="B47" s="425">
        <v>0</v>
      </c>
      <c r="C47" s="426">
        <v>1E-3</v>
      </c>
      <c r="D47" s="426">
        <v>0.02</v>
      </c>
      <c r="E47" s="426">
        <v>0.04</v>
      </c>
      <c r="F47" s="426">
        <v>0.05</v>
      </c>
      <c r="G47" s="426">
        <v>5.0999999999999997E-2</v>
      </c>
      <c r="H47" s="426">
        <v>5.0999999999999997E-2</v>
      </c>
      <c r="I47" s="426">
        <v>5.0999999999999997E-2</v>
      </c>
      <c r="J47" s="426">
        <v>5.0999999999999997E-2</v>
      </c>
      <c r="K47" s="426">
        <v>5.0999999999999997E-2</v>
      </c>
      <c r="L47" s="426">
        <v>5.0999999999999997E-2</v>
      </c>
      <c r="M47" s="426">
        <v>5.0999999999999997E-2</v>
      </c>
      <c r="N47" s="426">
        <v>5.0999999999999997E-2</v>
      </c>
      <c r="O47" s="426">
        <v>5.0999999999999997E-2</v>
      </c>
      <c r="P47" s="426">
        <v>5.0999999999999997E-2</v>
      </c>
      <c r="Q47" s="426">
        <v>5.0999999999999997E-2</v>
      </c>
      <c r="R47" s="426">
        <v>5.0999999999999997E-2</v>
      </c>
      <c r="S47" s="426">
        <v>5.0999999999999997E-2</v>
      </c>
      <c r="T47" s="426">
        <v>5.0999999999999997E-2</v>
      </c>
      <c r="U47" s="426">
        <v>5.0999999999999997E-2</v>
      </c>
      <c r="V47" s="426">
        <v>5.0999999999999997E-2</v>
      </c>
      <c r="W47" s="426">
        <v>5.0999999999999997E-2</v>
      </c>
      <c r="X47" s="426">
        <v>5.0999999999999997E-2</v>
      </c>
      <c r="Y47" s="437">
        <v>1000</v>
      </c>
    </row>
    <row r="48" spans="1:25" x14ac:dyDescent="0.2">
      <c r="A48" s="434" t="s">
        <v>34</v>
      </c>
      <c r="B48" s="427">
        <v>0</v>
      </c>
      <c r="C48" s="428">
        <v>310</v>
      </c>
      <c r="D48" s="428">
        <v>264</v>
      </c>
      <c r="E48" s="428">
        <v>230</v>
      </c>
      <c r="F48" s="428">
        <v>213</v>
      </c>
      <c r="G48" s="428">
        <v>0</v>
      </c>
      <c r="H48" s="428">
        <v>0</v>
      </c>
      <c r="I48" s="428">
        <v>0</v>
      </c>
      <c r="J48" s="428">
        <v>0</v>
      </c>
      <c r="K48" s="428">
        <v>0</v>
      </c>
      <c r="L48" s="428">
        <v>0</v>
      </c>
      <c r="M48" s="428">
        <v>0</v>
      </c>
      <c r="N48" s="428">
        <v>0</v>
      </c>
      <c r="O48" s="428">
        <v>0</v>
      </c>
      <c r="P48" s="428">
        <v>0</v>
      </c>
      <c r="Q48" s="428">
        <v>0</v>
      </c>
      <c r="R48" s="428">
        <v>0</v>
      </c>
      <c r="S48" s="428">
        <v>0</v>
      </c>
      <c r="T48" s="428">
        <v>0</v>
      </c>
      <c r="U48" s="428">
        <v>0</v>
      </c>
      <c r="V48" s="428">
        <v>0</v>
      </c>
      <c r="W48" s="428">
        <v>0</v>
      </c>
      <c r="X48" s="428">
        <v>0</v>
      </c>
      <c r="Y48" s="438">
        <v>0</v>
      </c>
    </row>
    <row r="49" spans="1:25" ht="13.5" thickBot="1" x14ac:dyDescent="0.25">
      <c r="A49" s="435" t="s">
        <v>117</v>
      </c>
      <c r="B49" s="429">
        <f t="shared" ref="B49:X49" si="6">(C48+B48)*(C47-B47)/2</f>
        <v>0.155</v>
      </c>
      <c r="C49" s="430">
        <f t="shared" si="6"/>
        <v>5.4530000000000003</v>
      </c>
      <c r="D49" s="430">
        <f t="shared" si="6"/>
        <v>4.9400000000000004</v>
      </c>
      <c r="E49" s="430">
        <f t="shared" si="6"/>
        <v>2.2150000000000003</v>
      </c>
      <c r="F49" s="430">
        <f t="shared" si="6"/>
        <v>0.10649999999999936</v>
      </c>
      <c r="G49" s="430">
        <f t="shared" si="6"/>
        <v>0</v>
      </c>
      <c r="H49" s="430">
        <f t="shared" si="6"/>
        <v>0</v>
      </c>
      <c r="I49" s="430">
        <f t="shared" si="6"/>
        <v>0</v>
      </c>
      <c r="J49" s="430">
        <f t="shared" si="6"/>
        <v>0</v>
      </c>
      <c r="K49" s="430">
        <f t="shared" si="6"/>
        <v>0</v>
      </c>
      <c r="L49" s="430">
        <f t="shared" si="6"/>
        <v>0</v>
      </c>
      <c r="M49" s="430">
        <f t="shared" si="6"/>
        <v>0</v>
      </c>
      <c r="N49" s="430">
        <f t="shared" si="6"/>
        <v>0</v>
      </c>
      <c r="O49" s="430">
        <f t="shared" si="6"/>
        <v>0</v>
      </c>
      <c r="P49" s="430">
        <f t="shared" si="6"/>
        <v>0</v>
      </c>
      <c r="Q49" s="430">
        <f t="shared" si="6"/>
        <v>0</v>
      </c>
      <c r="R49" s="430">
        <f t="shared" si="6"/>
        <v>0</v>
      </c>
      <c r="S49" s="430">
        <f t="shared" si="6"/>
        <v>0</v>
      </c>
      <c r="T49" s="430">
        <f t="shared" si="6"/>
        <v>0</v>
      </c>
      <c r="U49" s="430">
        <f t="shared" si="6"/>
        <v>0</v>
      </c>
      <c r="V49" s="430">
        <f t="shared" si="6"/>
        <v>0</v>
      </c>
      <c r="W49" s="430">
        <f t="shared" si="6"/>
        <v>0</v>
      </c>
      <c r="X49" s="430">
        <f t="shared" si="6"/>
        <v>0</v>
      </c>
      <c r="Y49" s="424"/>
    </row>
    <row r="50" spans="1:25" ht="13.5" thickBot="1" x14ac:dyDescent="0.25">
      <c r="A50" s="17"/>
      <c r="L50" s="17"/>
      <c r="M50" s="17"/>
      <c r="N50" s="17"/>
      <c r="O50" s="17"/>
      <c r="P50" s="17"/>
      <c r="Q50" s="17"/>
      <c r="R50" s="17"/>
      <c r="S50" s="17"/>
      <c r="T50" s="17"/>
      <c r="U50" s="17"/>
      <c r="V50" s="17"/>
      <c r="W50" s="17"/>
      <c r="X50" s="17"/>
      <c r="Y50" s="17"/>
    </row>
    <row r="51" spans="1:25" ht="13.5" thickBot="1" x14ac:dyDescent="0.25">
      <c r="A51" s="416" t="s">
        <v>279</v>
      </c>
      <c r="B51" s="414">
        <f>ROW(A51)</f>
        <v>51</v>
      </c>
      <c r="C51" s="418" t="s">
        <v>116</v>
      </c>
      <c r="D51" s="408">
        <f>SUM(B54:Y54)</f>
        <v>18.123500000000003</v>
      </c>
      <c r="E51" s="418" t="s">
        <v>115</v>
      </c>
      <c r="F51" s="460">
        <f>D51/g/J51</f>
        <v>3.0790859667006463</v>
      </c>
      <c r="G51" s="418" t="s">
        <v>57</v>
      </c>
      <c r="H51" s="86">
        <v>0.7</v>
      </c>
      <c r="I51" s="418" t="s">
        <v>272</v>
      </c>
      <c r="J51" s="410">
        <f>H51-L51</f>
        <v>0.6</v>
      </c>
      <c r="K51" s="418" t="s">
        <v>273</v>
      </c>
      <c r="L51" s="86">
        <v>0.1</v>
      </c>
      <c r="M51" s="418" t="s">
        <v>58</v>
      </c>
      <c r="N51" s="87">
        <f>0.3*R51</f>
        <v>90</v>
      </c>
      <c r="O51" s="418" t="s">
        <v>60</v>
      </c>
      <c r="P51" s="87">
        <v>150</v>
      </c>
      <c r="Q51" s="418" t="s">
        <v>61</v>
      </c>
      <c r="R51" s="87">
        <v>300</v>
      </c>
      <c r="S51" s="418" t="s">
        <v>62</v>
      </c>
      <c r="T51" s="87">
        <v>98</v>
      </c>
      <c r="U51" s="418" t="s">
        <v>55</v>
      </c>
      <c r="V51" s="88" t="s">
        <v>277</v>
      </c>
      <c r="W51" s="17"/>
      <c r="X51" s="17"/>
      <c r="Y51" s="17"/>
    </row>
    <row r="52" spans="1:25" x14ac:dyDescent="0.2">
      <c r="A52" s="417" t="s">
        <v>33</v>
      </c>
      <c r="B52" s="425">
        <v>0</v>
      </c>
      <c r="C52" s="426">
        <v>1E-3</v>
      </c>
      <c r="D52" s="426">
        <v>0.02</v>
      </c>
      <c r="E52" s="426">
        <v>0.04</v>
      </c>
      <c r="F52" s="426">
        <v>0.06</v>
      </c>
      <c r="G52" s="426">
        <v>0.08</v>
      </c>
      <c r="H52" s="426">
        <v>8.1000000000000003E-2</v>
      </c>
      <c r="I52" s="426">
        <v>8.1000000000000003E-2</v>
      </c>
      <c r="J52" s="426">
        <v>8.1000000000000003E-2</v>
      </c>
      <c r="K52" s="426">
        <v>8.1000000000000003E-2</v>
      </c>
      <c r="L52" s="426">
        <v>8.1000000000000003E-2</v>
      </c>
      <c r="M52" s="426">
        <v>8.1000000000000003E-2</v>
      </c>
      <c r="N52" s="426">
        <v>8.1000000000000003E-2</v>
      </c>
      <c r="O52" s="426">
        <v>8.1000000000000003E-2</v>
      </c>
      <c r="P52" s="426">
        <v>8.1000000000000003E-2</v>
      </c>
      <c r="Q52" s="426">
        <v>8.1000000000000003E-2</v>
      </c>
      <c r="R52" s="426">
        <v>8.1000000000000003E-2</v>
      </c>
      <c r="S52" s="426">
        <v>8.1000000000000003E-2</v>
      </c>
      <c r="T52" s="426">
        <v>8.1000000000000003E-2</v>
      </c>
      <c r="U52" s="426">
        <v>8.1000000000000003E-2</v>
      </c>
      <c r="V52" s="426">
        <v>8.1000000000000003E-2</v>
      </c>
      <c r="W52" s="426">
        <v>8.1000000000000003E-2</v>
      </c>
      <c r="X52" s="426">
        <v>8.1000000000000003E-2</v>
      </c>
      <c r="Y52" s="437">
        <v>1000</v>
      </c>
    </row>
    <row r="53" spans="1:25" x14ac:dyDescent="0.2">
      <c r="A53" s="434" t="s">
        <v>34</v>
      </c>
      <c r="B53" s="427">
        <v>0</v>
      </c>
      <c r="C53" s="428">
        <v>310</v>
      </c>
      <c r="D53" s="428">
        <v>260</v>
      </c>
      <c r="E53" s="428">
        <v>220</v>
      </c>
      <c r="F53" s="428">
        <v>190</v>
      </c>
      <c r="G53" s="428">
        <v>167</v>
      </c>
      <c r="H53" s="428">
        <v>0</v>
      </c>
      <c r="I53" s="428">
        <v>0</v>
      </c>
      <c r="J53" s="428">
        <v>0</v>
      </c>
      <c r="K53" s="428">
        <v>0</v>
      </c>
      <c r="L53" s="428">
        <v>0</v>
      </c>
      <c r="M53" s="428">
        <v>0</v>
      </c>
      <c r="N53" s="428">
        <v>0</v>
      </c>
      <c r="O53" s="428">
        <v>0</v>
      </c>
      <c r="P53" s="428">
        <v>0</v>
      </c>
      <c r="Q53" s="428">
        <v>0</v>
      </c>
      <c r="R53" s="428">
        <v>0</v>
      </c>
      <c r="S53" s="428">
        <v>0</v>
      </c>
      <c r="T53" s="428">
        <v>0</v>
      </c>
      <c r="U53" s="428">
        <v>0</v>
      </c>
      <c r="V53" s="428">
        <v>0</v>
      </c>
      <c r="W53" s="428">
        <v>0</v>
      </c>
      <c r="X53" s="428">
        <v>0</v>
      </c>
      <c r="Y53" s="438">
        <v>0</v>
      </c>
    </row>
    <row r="54" spans="1:25" ht="13.5" thickBot="1" x14ac:dyDescent="0.25">
      <c r="A54" s="435" t="s">
        <v>117</v>
      </c>
      <c r="B54" s="429">
        <f t="shared" ref="B54:X54" si="7">(C53+B53)*(C52-B52)/2</f>
        <v>0.155</v>
      </c>
      <c r="C54" s="430">
        <f t="shared" si="7"/>
        <v>5.415</v>
      </c>
      <c r="D54" s="430">
        <f t="shared" si="7"/>
        <v>4.8</v>
      </c>
      <c r="E54" s="430">
        <f t="shared" si="7"/>
        <v>4.0999999999999996</v>
      </c>
      <c r="F54" s="430">
        <f t="shared" si="7"/>
        <v>3.5700000000000007</v>
      </c>
      <c r="G54" s="430">
        <f t="shared" si="7"/>
        <v>8.3500000000000074E-2</v>
      </c>
      <c r="H54" s="430">
        <f t="shared" si="7"/>
        <v>0</v>
      </c>
      <c r="I54" s="430">
        <f t="shared" si="7"/>
        <v>0</v>
      </c>
      <c r="J54" s="430">
        <f t="shared" si="7"/>
        <v>0</v>
      </c>
      <c r="K54" s="430">
        <f t="shared" si="7"/>
        <v>0</v>
      </c>
      <c r="L54" s="430">
        <f t="shared" si="7"/>
        <v>0</v>
      </c>
      <c r="M54" s="430">
        <f t="shared" si="7"/>
        <v>0</v>
      </c>
      <c r="N54" s="430">
        <f t="shared" si="7"/>
        <v>0</v>
      </c>
      <c r="O54" s="430">
        <f t="shared" si="7"/>
        <v>0</v>
      </c>
      <c r="P54" s="430">
        <f t="shared" si="7"/>
        <v>0</v>
      </c>
      <c r="Q54" s="430">
        <f t="shared" si="7"/>
        <v>0</v>
      </c>
      <c r="R54" s="430">
        <f t="shared" si="7"/>
        <v>0</v>
      </c>
      <c r="S54" s="430">
        <f t="shared" si="7"/>
        <v>0</v>
      </c>
      <c r="T54" s="430">
        <f t="shared" si="7"/>
        <v>0</v>
      </c>
      <c r="U54" s="430">
        <f t="shared" si="7"/>
        <v>0</v>
      </c>
      <c r="V54" s="430">
        <f t="shared" si="7"/>
        <v>0</v>
      </c>
      <c r="W54" s="430">
        <f t="shared" si="7"/>
        <v>0</v>
      </c>
      <c r="X54" s="430">
        <f t="shared" si="7"/>
        <v>0</v>
      </c>
      <c r="Y54" s="424"/>
    </row>
    <row r="55" spans="1:25" ht="13.5" thickBot="1" x14ac:dyDescent="0.25">
      <c r="B55" s="17"/>
      <c r="C55" s="17"/>
      <c r="D55" s="17"/>
      <c r="E55" s="17"/>
      <c r="F55" s="17"/>
      <c r="G55" s="17"/>
      <c r="H55" s="17"/>
      <c r="I55" s="17"/>
      <c r="J55" s="17"/>
      <c r="K55" s="17"/>
      <c r="L55" s="17"/>
      <c r="M55" s="17"/>
      <c r="N55" s="17"/>
      <c r="O55" s="17"/>
      <c r="P55" s="17"/>
      <c r="Q55" s="17"/>
      <c r="R55" s="17"/>
      <c r="S55" s="17"/>
      <c r="T55" s="17"/>
      <c r="U55" s="17"/>
      <c r="V55" s="17"/>
      <c r="W55" s="17"/>
      <c r="X55" s="17"/>
      <c r="Y55" s="17"/>
    </row>
    <row r="56" spans="1:25" ht="13.5" thickBot="1" x14ac:dyDescent="0.25">
      <c r="A56" s="416" t="s">
        <v>280</v>
      </c>
      <c r="B56" s="414">
        <f>ROW(A56)</f>
        <v>56</v>
      </c>
      <c r="C56" s="418" t="s">
        <v>116</v>
      </c>
      <c r="D56" s="408">
        <f>SUM(B59:Y59)</f>
        <v>22.610000000000003</v>
      </c>
      <c r="E56" s="418" t="s">
        <v>115</v>
      </c>
      <c r="F56" s="460">
        <f>D56/g/J56</f>
        <v>2.88098878695209</v>
      </c>
      <c r="G56" s="418" t="s">
        <v>57</v>
      </c>
      <c r="H56" s="86">
        <v>0.9</v>
      </c>
      <c r="I56" s="418" t="s">
        <v>272</v>
      </c>
      <c r="J56" s="410">
        <f>H56-L56</f>
        <v>0.8</v>
      </c>
      <c r="K56" s="418" t="s">
        <v>273</v>
      </c>
      <c r="L56" s="86">
        <v>0.1</v>
      </c>
      <c r="M56" s="418" t="s">
        <v>58</v>
      </c>
      <c r="N56" s="87">
        <f>0.4*R56</f>
        <v>120</v>
      </c>
      <c r="O56" s="418" t="s">
        <v>60</v>
      </c>
      <c r="P56" s="87">
        <v>150</v>
      </c>
      <c r="Q56" s="418" t="s">
        <v>61</v>
      </c>
      <c r="R56" s="87">
        <v>300</v>
      </c>
      <c r="S56" s="418" t="s">
        <v>62</v>
      </c>
      <c r="T56" s="87">
        <v>98</v>
      </c>
      <c r="U56" s="418" t="s">
        <v>55</v>
      </c>
      <c r="V56" s="88" t="s">
        <v>277</v>
      </c>
      <c r="W56" s="17"/>
      <c r="X56" s="17"/>
      <c r="Y56" s="17"/>
    </row>
    <row r="57" spans="1:25" x14ac:dyDescent="0.2">
      <c r="A57" s="417" t="s">
        <v>33</v>
      </c>
      <c r="B57" s="425">
        <v>0</v>
      </c>
      <c r="C57" s="426">
        <v>1E-3</v>
      </c>
      <c r="D57" s="426">
        <v>0.02</v>
      </c>
      <c r="E57" s="426">
        <v>0.04</v>
      </c>
      <c r="F57" s="426">
        <v>0.06</v>
      </c>
      <c r="G57" s="426">
        <v>0.08</v>
      </c>
      <c r="H57" s="426">
        <v>0.1</v>
      </c>
      <c r="I57" s="426">
        <v>0.11700000000000001</v>
      </c>
      <c r="J57" s="426">
        <v>0.11799999999999999</v>
      </c>
      <c r="K57" s="426">
        <v>0.11799999999999999</v>
      </c>
      <c r="L57" s="426">
        <v>0.11799999999999999</v>
      </c>
      <c r="M57" s="426">
        <v>0.11799999999999999</v>
      </c>
      <c r="N57" s="426">
        <v>0.11799999999999999</v>
      </c>
      <c r="O57" s="426">
        <v>0.11799999999999999</v>
      </c>
      <c r="P57" s="426">
        <v>0.11799999999999999</v>
      </c>
      <c r="Q57" s="426">
        <v>0.11799999999999999</v>
      </c>
      <c r="R57" s="426">
        <v>0.11799999999999999</v>
      </c>
      <c r="S57" s="426">
        <v>0.11799999999999999</v>
      </c>
      <c r="T57" s="426">
        <v>0.11799999999999999</v>
      </c>
      <c r="U57" s="426">
        <v>0.11799999999999999</v>
      </c>
      <c r="V57" s="426">
        <v>0.11799999999999999</v>
      </c>
      <c r="W57" s="426">
        <v>0.11799999999999999</v>
      </c>
      <c r="X57" s="426">
        <v>0.11799999999999999</v>
      </c>
      <c r="Y57" s="437">
        <v>1000</v>
      </c>
    </row>
    <row r="58" spans="1:25" x14ac:dyDescent="0.2">
      <c r="A58" s="434" t="s">
        <v>34</v>
      </c>
      <c r="B58" s="427">
        <v>0</v>
      </c>
      <c r="C58" s="428">
        <v>310</v>
      </c>
      <c r="D58" s="428">
        <v>250</v>
      </c>
      <c r="E58" s="428">
        <v>210</v>
      </c>
      <c r="F58" s="428">
        <v>180</v>
      </c>
      <c r="G58" s="428">
        <v>156</v>
      </c>
      <c r="H58" s="428">
        <v>140</v>
      </c>
      <c r="I58" s="428">
        <v>125</v>
      </c>
      <c r="J58" s="428">
        <v>0</v>
      </c>
      <c r="K58" s="428">
        <v>0</v>
      </c>
      <c r="L58" s="428">
        <v>0</v>
      </c>
      <c r="M58" s="428">
        <v>0</v>
      </c>
      <c r="N58" s="428">
        <v>0</v>
      </c>
      <c r="O58" s="428">
        <v>0</v>
      </c>
      <c r="P58" s="428">
        <v>0</v>
      </c>
      <c r="Q58" s="428">
        <v>0</v>
      </c>
      <c r="R58" s="428">
        <v>0</v>
      </c>
      <c r="S58" s="428">
        <v>0</v>
      </c>
      <c r="T58" s="428">
        <v>0</v>
      </c>
      <c r="U58" s="428">
        <v>0</v>
      </c>
      <c r="V58" s="428">
        <v>0</v>
      </c>
      <c r="W58" s="428">
        <v>0</v>
      </c>
      <c r="X58" s="428">
        <v>0</v>
      </c>
      <c r="Y58" s="438">
        <v>0</v>
      </c>
    </row>
    <row r="59" spans="1:25" ht="13.5" thickBot="1" x14ac:dyDescent="0.25">
      <c r="A59" s="435" t="s">
        <v>117</v>
      </c>
      <c r="B59" s="429">
        <f t="shared" ref="B59:X59" si="8">(C58+B58)*(C57-B57)/2</f>
        <v>0.155</v>
      </c>
      <c r="C59" s="430">
        <f t="shared" si="8"/>
        <v>5.32</v>
      </c>
      <c r="D59" s="430">
        <f t="shared" si="8"/>
        <v>4.6000000000000005</v>
      </c>
      <c r="E59" s="430">
        <f t="shared" si="8"/>
        <v>3.8999999999999995</v>
      </c>
      <c r="F59" s="430">
        <f t="shared" si="8"/>
        <v>3.3600000000000008</v>
      </c>
      <c r="G59" s="430">
        <f t="shared" si="8"/>
        <v>2.9600000000000004</v>
      </c>
      <c r="H59" s="430">
        <f t="shared" si="8"/>
        <v>2.2524999999999999</v>
      </c>
      <c r="I59" s="430">
        <f t="shared" si="8"/>
        <v>6.2499999999999188E-2</v>
      </c>
      <c r="J59" s="430">
        <f t="shared" si="8"/>
        <v>0</v>
      </c>
      <c r="K59" s="430">
        <f t="shared" si="8"/>
        <v>0</v>
      </c>
      <c r="L59" s="430">
        <f t="shared" si="8"/>
        <v>0</v>
      </c>
      <c r="M59" s="430">
        <f t="shared" si="8"/>
        <v>0</v>
      </c>
      <c r="N59" s="430">
        <f t="shared" si="8"/>
        <v>0</v>
      </c>
      <c r="O59" s="430">
        <f t="shared" si="8"/>
        <v>0</v>
      </c>
      <c r="P59" s="430">
        <f t="shared" si="8"/>
        <v>0</v>
      </c>
      <c r="Q59" s="430">
        <f t="shared" si="8"/>
        <v>0</v>
      </c>
      <c r="R59" s="430">
        <f t="shared" si="8"/>
        <v>0</v>
      </c>
      <c r="S59" s="430">
        <f t="shared" si="8"/>
        <v>0</v>
      </c>
      <c r="T59" s="430">
        <f t="shared" si="8"/>
        <v>0</v>
      </c>
      <c r="U59" s="430">
        <f t="shared" si="8"/>
        <v>0</v>
      </c>
      <c r="V59" s="430">
        <f t="shared" si="8"/>
        <v>0</v>
      </c>
      <c r="W59" s="430">
        <f t="shared" si="8"/>
        <v>0</v>
      </c>
      <c r="X59" s="430">
        <f t="shared" si="8"/>
        <v>0</v>
      </c>
      <c r="Y59" s="424"/>
    </row>
    <row r="60" spans="1:25" ht="13.5" thickBot="1" x14ac:dyDescent="0.25">
      <c r="A60" s="17"/>
      <c r="L60" s="17"/>
      <c r="M60" s="17"/>
      <c r="N60" s="17"/>
      <c r="O60" s="17"/>
      <c r="P60" s="17"/>
      <c r="Q60" s="17"/>
      <c r="R60" s="17"/>
      <c r="S60" s="17"/>
      <c r="T60" s="17"/>
      <c r="U60" s="17"/>
      <c r="V60" s="17"/>
      <c r="W60" s="17"/>
      <c r="X60" s="17"/>
      <c r="Y60" s="17"/>
    </row>
    <row r="61" spans="1:25" ht="13.5" thickBot="1" x14ac:dyDescent="0.25">
      <c r="A61" s="416" t="s">
        <v>281</v>
      </c>
      <c r="B61" s="414">
        <f>ROW(A61)</f>
        <v>61</v>
      </c>
      <c r="C61" s="418" t="s">
        <v>116</v>
      </c>
      <c r="D61" s="408">
        <f>SUM(B64:Y64)</f>
        <v>25.874000000000006</v>
      </c>
      <c r="E61" s="418" t="s">
        <v>115</v>
      </c>
      <c r="F61" s="460">
        <f>D61/g/J61</f>
        <v>2.6375127420998985</v>
      </c>
      <c r="G61" s="418" t="s">
        <v>57</v>
      </c>
      <c r="H61" s="86">
        <v>1.1000000000000001</v>
      </c>
      <c r="I61" s="418" t="s">
        <v>272</v>
      </c>
      <c r="J61" s="410">
        <f>H61-L61</f>
        <v>1</v>
      </c>
      <c r="K61" s="418" t="s">
        <v>273</v>
      </c>
      <c r="L61" s="86">
        <v>0.1</v>
      </c>
      <c r="M61" s="418" t="s">
        <v>58</v>
      </c>
      <c r="N61" s="87">
        <f>0.5*R61</f>
        <v>150</v>
      </c>
      <c r="O61" s="418" t="s">
        <v>60</v>
      </c>
      <c r="P61" s="87">
        <v>150</v>
      </c>
      <c r="Q61" s="418" t="s">
        <v>61</v>
      </c>
      <c r="R61" s="87">
        <v>300</v>
      </c>
      <c r="S61" s="418" t="s">
        <v>62</v>
      </c>
      <c r="T61" s="87">
        <v>98</v>
      </c>
      <c r="U61" s="418" t="s">
        <v>55</v>
      </c>
      <c r="V61" s="88" t="s">
        <v>277</v>
      </c>
      <c r="W61" s="17"/>
      <c r="X61" s="17"/>
      <c r="Y61" s="17"/>
    </row>
    <row r="62" spans="1:25" x14ac:dyDescent="0.2">
      <c r="A62" s="417" t="s">
        <v>33</v>
      </c>
      <c r="B62" s="425">
        <v>0</v>
      </c>
      <c r="C62" s="426">
        <v>1E-3</v>
      </c>
      <c r="D62" s="426">
        <v>0.02</v>
      </c>
      <c r="E62" s="426">
        <v>0.04</v>
      </c>
      <c r="F62" s="426">
        <v>0.06</v>
      </c>
      <c r="G62" s="426">
        <v>0.08</v>
      </c>
      <c r="H62" s="426">
        <v>0.1</v>
      </c>
      <c r="I62" s="426">
        <v>0.12</v>
      </c>
      <c r="J62" s="426">
        <v>0.14000000000000001</v>
      </c>
      <c r="K62" s="426">
        <v>0.16400000000000001</v>
      </c>
      <c r="L62" s="426">
        <v>0.16500000000000001</v>
      </c>
      <c r="M62" s="426">
        <v>0.16500000000000001</v>
      </c>
      <c r="N62" s="426">
        <v>0.16500000000000001</v>
      </c>
      <c r="O62" s="426">
        <v>0.16500000000000001</v>
      </c>
      <c r="P62" s="426">
        <v>0.16500000000000001</v>
      </c>
      <c r="Q62" s="426">
        <v>0.16500000000000001</v>
      </c>
      <c r="R62" s="426">
        <v>0.16500000000000001</v>
      </c>
      <c r="S62" s="426">
        <v>0.16500000000000001</v>
      </c>
      <c r="T62" s="426">
        <v>0.16500000000000001</v>
      </c>
      <c r="U62" s="426">
        <v>0.16500000000000001</v>
      </c>
      <c r="V62" s="426">
        <v>0.16500000000000001</v>
      </c>
      <c r="W62" s="426">
        <v>0.16500000000000001</v>
      </c>
      <c r="X62" s="426">
        <v>0.16500000000000001</v>
      </c>
      <c r="Y62" s="437">
        <v>1000</v>
      </c>
    </row>
    <row r="63" spans="1:25" x14ac:dyDescent="0.2">
      <c r="A63" s="434" t="s">
        <v>34</v>
      </c>
      <c r="B63" s="427">
        <v>0</v>
      </c>
      <c r="C63" s="428">
        <v>310</v>
      </c>
      <c r="D63" s="428">
        <v>245</v>
      </c>
      <c r="E63" s="428">
        <v>200</v>
      </c>
      <c r="F63" s="428">
        <v>165</v>
      </c>
      <c r="G63" s="428">
        <v>143</v>
      </c>
      <c r="H63" s="428">
        <v>124</v>
      </c>
      <c r="I63" s="428">
        <v>108</v>
      </c>
      <c r="J63" s="428">
        <v>97</v>
      </c>
      <c r="K63" s="428">
        <v>85</v>
      </c>
      <c r="L63" s="428">
        <v>0</v>
      </c>
      <c r="M63" s="428">
        <v>0</v>
      </c>
      <c r="N63" s="428">
        <v>0</v>
      </c>
      <c r="O63" s="428">
        <v>0</v>
      </c>
      <c r="P63" s="428">
        <v>0</v>
      </c>
      <c r="Q63" s="428">
        <v>0</v>
      </c>
      <c r="R63" s="428">
        <v>0</v>
      </c>
      <c r="S63" s="428">
        <v>0</v>
      </c>
      <c r="T63" s="428">
        <v>0</v>
      </c>
      <c r="U63" s="428">
        <v>0</v>
      </c>
      <c r="V63" s="428">
        <v>0</v>
      </c>
      <c r="W63" s="428">
        <v>0</v>
      </c>
      <c r="X63" s="428">
        <v>0</v>
      </c>
      <c r="Y63" s="438">
        <v>0</v>
      </c>
    </row>
    <row r="64" spans="1:25" ht="13.5" thickBot="1" x14ac:dyDescent="0.25">
      <c r="A64" s="435" t="s">
        <v>117</v>
      </c>
      <c r="B64" s="429">
        <f t="shared" ref="B64:X64" si="9">(C63+B63)*(C62-B62)/2</f>
        <v>0.155</v>
      </c>
      <c r="C64" s="430">
        <f t="shared" si="9"/>
        <v>5.2725</v>
      </c>
      <c r="D64" s="430">
        <f t="shared" si="9"/>
        <v>4.45</v>
      </c>
      <c r="E64" s="430">
        <f t="shared" si="9"/>
        <v>3.6499999999999995</v>
      </c>
      <c r="F64" s="430">
        <f t="shared" si="9"/>
        <v>3.0800000000000005</v>
      </c>
      <c r="G64" s="430">
        <f t="shared" si="9"/>
        <v>2.6700000000000004</v>
      </c>
      <c r="H64" s="430">
        <f t="shared" si="9"/>
        <v>2.319999999999999</v>
      </c>
      <c r="I64" s="430">
        <f t="shared" si="9"/>
        <v>2.0500000000000016</v>
      </c>
      <c r="J64" s="430">
        <f t="shared" si="9"/>
        <v>2.1839999999999993</v>
      </c>
      <c r="K64" s="430">
        <f t="shared" si="9"/>
        <v>4.2500000000000038E-2</v>
      </c>
      <c r="L64" s="430">
        <f t="shared" si="9"/>
        <v>0</v>
      </c>
      <c r="M64" s="430">
        <f t="shared" si="9"/>
        <v>0</v>
      </c>
      <c r="N64" s="430">
        <f t="shared" si="9"/>
        <v>0</v>
      </c>
      <c r="O64" s="430">
        <f t="shared" si="9"/>
        <v>0</v>
      </c>
      <c r="P64" s="430">
        <f t="shared" si="9"/>
        <v>0</v>
      </c>
      <c r="Q64" s="430">
        <f t="shared" si="9"/>
        <v>0</v>
      </c>
      <c r="R64" s="430">
        <f t="shared" si="9"/>
        <v>0</v>
      </c>
      <c r="S64" s="430">
        <f t="shared" si="9"/>
        <v>0</v>
      </c>
      <c r="T64" s="430">
        <f t="shared" si="9"/>
        <v>0</v>
      </c>
      <c r="U64" s="430">
        <f t="shared" si="9"/>
        <v>0</v>
      </c>
      <c r="V64" s="430">
        <f t="shared" si="9"/>
        <v>0</v>
      </c>
      <c r="W64" s="430">
        <f t="shared" si="9"/>
        <v>0</v>
      </c>
      <c r="X64" s="430">
        <f t="shared" si="9"/>
        <v>0</v>
      </c>
      <c r="Y64" s="424"/>
    </row>
    <row r="66" spans="1:26" ht="13.5" thickBot="1" x14ac:dyDescent="0.25">
      <c r="A66" s="492" t="s">
        <v>182</v>
      </c>
    </row>
    <row r="67" spans="1:26" ht="13.5" thickBot="1" x14ac:dyDescent="0.25">
      <c r="A67" s="416" t="s">
        <v>112</v>
      </c>
      <c r="B67" s="414">
        <f>ROW(A67)</f>
        <v>67</v>
      </c>
      <c r="C67" s="418" t="s">
        <v>116</v>
      </c>
      <c r="D67" s="408">
        <f>SUM(B70:Y70)</f>
        <v>2.65</v>
      </c>
      <c r="E67" s="418" t="s">
        <v>115</v>
      </c>
      <c r="F67" s="409">
        <f>D67/g/J67</f>
        <v>54.026503567787969</v>
      </c>
      <c r="G67" s="418" t="s">
        <v>57</v>
      </c>
      <c r="H67" s="86">
        <v>1.4999999999999999E-2</v>
      </c>
      <c r="I67" s="418" t="s">
        <v>272</v>
      </c>
      <c r="J67" s="410">
        <f>H67-L67</f>
        <v>4.9999999999999992E-3</v>
      </c>
      <c r="K67" s="418" t="s">
        <v>273</v>
      </c>
      <c r="L67" s="86">
        <v>0.01</v>
      </c>
      <c r="M67" s="418" t="s">
        <v>58</v>
      </c>
      <c r="N67" s="87">
        <v>30</v>
      </c>
      <c r="O67" s="418" t="s">
        <v>60</v>
      </c>
      <c r="P67" s="87">
        <v>30</v>
      </c>
      <c r="Q67" s="418" t="s">
        <v>61</v>
      </c>
      <c r="R67" s="87">
        <v>70</v>
      </c>
      <c r="S67" s="418" t="s">
        <v>62</v>
      </c>
      <c r="T67" s="87">
        <v>15</v>
      </c>
      <c r="U67" s="418" t="s">
        <v>55</v>
      </c>
      <c r="V67" s="88" t="s">
        <v>118</v>
      </c>
      <c r="W67" s="546" t="s">
        <v>396</v>
      </c>
      <c r="X67" s="548">
        <v>0.32</v>
      </c>
      <c r="Y67" s="546" t="s">
        <v>395</v>
      </c>
      <c r="Z67" s="413">
        <v>3</v>
      </c>
    </row>
    <row r="68" spans="1:26" x14ac:dyDescent="0.2">
      <c r="A68" s="417" t="s">
        <v>33</v>
      </c>
      <c r="B68" s="425">
        <v>0</v>
      </c>
      <c r="C68" s="426">
        <v>0.2</v>
      </c>
      <c r="D68" s="426">
        <v>0.3</v>
      </c>
      <c r="E68" s="426">
        <v>0.4</v>
      </c>
      <c r="F68" s="426">
        <v>0.5</v>
      </c>
      <c r="G68" s="426">
        <v>0.55000000000000004</v>
      </c>
      <c r="H68" s="426">
        <v>0.6</v>
      </c>
      <c r="I68" s="426">
        <v>0.6</v>
      </c>
      <c r="J68" s="426">
        <v>0.6</v>
      </c>
      <c r="K68" s="426">
        <v>0.6</v>
      </c>
      <c r="L68" s="426">
        <v>0.6</v>
      </c>
      <c r="M68" s="426">
        <v>0.6</v>
      </c>
      <c r="N68" s="426">
        <v>0.6</v>
      </c>
      <c r="O68" s="426">
        <v>0.6</v>
      </c>
      <c r="P68" s="426">
        <v>0.6</v>
      </c>
      <c r="Q68" s="426">
        <v>0.6</v>
      </c>
      <c r="R68" s="426">
        <v>0.6</v>
      </c>
      <c r="S68" s="426">
        <v>0.6</v>
      </c>
      <c r="T68" s="426">
        <v>0.6</v>
      </c>
      <c r="U68" s="426">
        <v>0.6</v>
      </c>
      <c r="V68" s="426">
        <v>0.6</v>
      </c>
      <c r="W68" s="426">
        <v>0.6</v>
      </c>
      <c r="X68" s="426">
        <v>0.6</v>
      </c>
      <c r="Y68" s="437">
        <v>1000</v>
      </c>
    </row>
    <row r="69" spans="1:26" x14ac:dyDescent="0.2">
      <c r="A69" s="434" t="s">
        <v>34</v>
      </c>
      <c r="B69" s="427">
        <v>0</v>
      </c>
      <c r="C69" s="428">
        <v>9</v>
      </c>
      <c r="D69" s="428">
        <v>4.5</v>
      </c>
      <c r="E69" s="428">
        <v>4</v>
      </c>
      <c r="F69" s="428">
        <v>4</v>
      </c>
      <c r="G69" s="428">
        <v>3</v>
      </c>
      <c r="H69" s="428">
        <v>0</v>
      </c>
      <c r="I69" s="428">
        <v>0</v>
      </c>
      <c r="J69" s="428">
        <v>0</v>
      </c>
      <c r="K69" s="428">
        <v>0</v>
      </c>
      <c r="L69" s="428">
        <v>0</v>
      </c>
      <c r="M69" s="428">
        <v>0</v>
      </c>
      <c r="N69" s="428">
        <v>0</v>
      </c>
      <c r="O69" s="428">
        <v>0</v>
      </c>
      <c r="P69" s="428">
        <v>0</v>
      </c>
      <c r="Q69" s="428">
        <v>0</v>
      </c>
      <c r="R69" s="428">
        <v>0</v>
      </c>
      <c r="S69" s="428">
        <v>0</v>
      </c>
      <c r="T69" s="428">
        <v>0</v>
      </c>
      <c r="U69" s="428">
        <v>0</v>
      </c>
      <c r="V69" s="428">
        <v>0</v>
      </c>
      <c r="W69" s="428">
        <v>0</v>
      </c>
      <c r="X69" s="428">
        <v>0</v>
      </c>
      <c r="Y69" s="438">
        <v>0</v>
      </c>
    </row>
    <row r="70" spans="1:26" ht="13.5" thickBot="1" x14ac:dyDescent="0.25">
      <c r="A70" s="435" t="s">
        <v>117</v>
      </c>
      <c r="B70" s="429">
        <f t="shared" ref="B70:X70" si="10">(C69+B69)*(C68-B68)/2</f>
        <v>0.9</v>
      </c>
      <c r="C70" s="430">
        <f t="shared" si="10"/>
        <v>0.67499999999999982</v>
      </c>
      <c r="D70" s="430">
        <f t="shared" si="10"/>
        <v>0.42500000000000016</v>
      </c>
      <c r="E70" s="430">
        <f t="shared" si="10"/>
        <v>0.39999999999999991</v>
      </c>
      <c r="F70" s="430">
        <f t="shared" si="10"/>
        <v>0.17500000000000016</v>
      </c>
      <c r="G70" s="430">
        <f t="shared" si="10"/>
        <v>7.49999999999999E-2</v>
      </c>
      <c r="H70" s="430">
        <f t="shared" si="10"/>
        <v>0</v>
      </c>
      <c r="I70" s="430">
        <f t="shared" si="10"/>
        <v>0</v>
      </c>
      <c r="J70" s="430">
        <f t="shared" si="10"/>
        <v>0</v>
      </c>
      <c r="K70" s="430">
        <f t="shared" si="10"/>
        <v>0</v>
      </c>
      <c r="L70" s="430">
        <f t="shared" si="10"/>
        <v>0</v>
      </c>
      <c r="M70" s="430">
        <f t="shared" si="10"/>
        <v>0</v>
      </c>
      <c r="N70" s="430">
        <f t="shared" si="10"/>
        <v>0</v>
      </c>
      <c r="O70" s="430">
        <f t="shared" si="10"/>
        <v>0</v>
      </c>
      <c r="P70" s="430">
        <f t="shared" si="10"/>
        <v>0</v>
      </c>
      <c r="Q70" s="430">
        <f t="shared" si="10"/>
        <v>0</v>
      </c>
      <c r="R70" s="430">
        <f t="shared" si="10"/>
        <v>0</v>
      </c>
      <c r="S70" s="430">
        <f t="shared" si="10"/>
        <v>0</v>
      </c>
      <c r="T70" s="430">
        <f t="shared" si="10"/>
        <v>0</v>
      </c>
      <c r="U70" s="430">
        <f t="shared" si="10"/>
        <v>0</v>
      </c>
      <c r="V70" s="430">
        <f t="shared" si="10"/>
        <v>0</v>
      </c>
      <c r="W70" s="430">
        <f t="shared" si="10"/>
        <v>0</v>
      </c>
      <c r="X70" s="430">
        <f t="shared" si="10"/>
        <v>0</v>
      </c>
      <c r="Y70" s="424"/>
    </row>
    <row r="71" spans="1:26" ht="13.5" thickBot="1" x14ac:dyDescent="0.25">
      <c r="A71" s="17"/>
      <c r="L71" s="17"/>
      <c r="M71" s="17"/>
      <c r="N71" s="17"/>
      <c r="O71" s="17"/>
      <c r="P71" s="17"/>
      <c r="Q71" s="17"/>
      <c r="R71" s="17"/>
      <c r="S71" s="17"/>
      <c r="T71" s="17"/>
      <c r="U71" s="17"/>
      <c r="V71" s="17"/>
      <c r="W71" s="17"/>
      <c r="X71" s="17"/>
      <c r="Y71" s="17"/>
    </row>
    <row r="72" spans="1:26" ht="13.5" thickBot="1" x14ac:dyDescent="0.25">
      <c r="A72" s="416" t="s">
        <v>113</v>
      </c>
      <c r="B72" s="414">
        <f>ROW(A72)</f>
        <v>72</v>
      </c>
      <c r="C72" s="418" t="s">
        <v>116</v>
      </c>
      <c r="D72" s="408">
        <f>SUM(B75:Y75)</f>
        <v>5.25</v>
      </c>
      <c r="E72" s="418" t="s">
        <v>115</v>
      </c>
      <c r="F72" s="409">
        <f>D72/g/J72</f>
        <v>89.1946992864424</v>
      </c>
      <c r="G72" s="418" t="s">
        <v>57</v>
      </c>
      <c r="H72" s="86">
        <v>0.02</v>
      </c>
      <c r="I72" s="418" t="s">
        <v>272</v>
      </c>
      <c r="J72" s="410">
        <f>H72-L72</f>
        <v>6.0000000000000001E-3</v>
      </c>
      <c r="K72" s="418" t="s">
        <v>273</v>
      </c>
      <c r="L72" s="86">
        <v>1.4E-2</v>
      </c>
      <c r="M72" s="418" t="s">
        <v>58</v>
      </c>
      <c r="N72" s="87">
        <v>30</v>
      </c>
      <c r="O72" s="418" t="s">
        <v>60</v>
      </c>
      <c r="P72" s="87">
        <v>30</v>
      </c>
      <c r="Q72" s="418" t="s">
        <v>61</v>
      </c>
      <c r="R72" s="87">
        <v>70</v>
      </c>
      <c r="S72" s="418" t="s">
        <v>62</v>
      </c>
      <c r="T72" s="87">
        <v>15</v>
      </c>
      <c r="U72" s="418" t="s">
        <v>55</v>
      </c>
      <c r="V72" s="88" t="s">
        <v>118</v>
      </c>
      <c r="W72" s="546" t="s">
        <v>396</v>
      </c>
      <c r="X72" s="548">
        <v>1.2</v>
      </c>
      <c r="Y72" s="546" t="s">
        <v>395</v>
      </c>
      <c r="Z72" s="413">
        <v>4</v>
      </c>
    </row>
    <row r="73" spans="1:26" x14ac:dyDescent="0.2">
      <c r="A73" s="417" t="s">
        <v>33</v>
      </c>
      <c r="B73" s="425">
        <v>0</v>
      </c>
      <c r="C73" s="426">
        <v>0.2</v>
      </c>
      <c r="D73" s="426">
        <v>0.3</v>
      </c>
      <c r="E73" s="426">
        <v>0.55000000000000004</v>
      </c>
      <c r="F73" s="426">
        <v>1.05</v>
      </c>
      <c r="G73" s="426">
        <v>1.1499999999999999</v>
      </c>
      <c r="H73" s="426">
        <v>1.1499999999999999</v>
      </c>
      <c r="I73" s="426">
        <v>1.1499999999999999</v>
      </c>
      <c r="J73" s="426">
        <v>1.1499999999999999</v>
      </c>
      <c r="K73" s="426">
        <v>1.1499999999999999</v>
      </c>
      <c r="L73" s="426">
        <v>1.1499999999999999</v>
      </c>
      <c r="M73" s="426">
        <v>1.1499999999999999</v>
      </c>
      <c r="N73" s="426">
        <v>1.1499999999999999</v>
      </c>
      <c r="O73" s="426">
        <v>1.1499999999999999</v>
      </c>
      <c r="P73" s="426">
        <v>1.1499999999999999</v>
      </c>
      <c r="Q73" s="426">
        <v>1.1499999999999999</v>
      </c>
      <c r="R73" s="426">
        <v>1.1499999999999999</v>
      </c>
      <c r="S73" s="426">
        <v>1.1499999999999999</v>
      </c>
      <c r="T73" s="426">
        <v>1.1499999999999999</v>
      </c>
      <c r="U73" s="426">
        <v>1.1499999999999999</v>
      </c>
      <c r="V73" s="426">
        <v>1.1499999999999999</v>
      </c>
      <c r="W73" s="426">
        <v>1.1499999999999999</v>
      </c>
      <c r="X73" s="426">
        <v>1.1499999999999999</v>
      </c>
      <c r="Y73" s="437">
        <v>1000</v>
      </c>
    </row>
    <row r="74" spans="1:26" x14ac:dyDescent="0.2">
      <c r="A74" s="434" t="s">
        <v>34</v>
      </c>
      <c r="B74" s="427">
        <v>0</v>
      </c>
      <c r="C74" s="428">
        <v>10</v>
      </c>
      <c r="D74" s="428">
        <v>6</v>
      </c>
      <c r="E74" s="428">
        <v>4</v>
      </c>
      <c r="F74" s="428">
        <v>4</v>
      </c>
      <c r="G74" s="428">
        <v>0</v>
      </c>
      <c r="H74" s="428">
        <v>0</v>
      </c>
      <c r="I74" s="428">
        <v>0</v>
      </c>
      <c r="J74" s="428">
        <v>0</v>
      </c>
      <c r="K74" s="428">
        <v>0</v>
      </c>
      <c r="L74" s="428">
        <v>0</v>
      </c>
      <c r="M74" s="428">
        <v>0</v>
      </c>
      <c r="N74" s="428">
        <v>0</v>
      </c>
      <c r="O74" s="428">
        <v>0</v>
      </c>
      <c r="P74" s="428">
        <v>0</v>
      </c>
      <c r="Q74" s="428">
        <v>0</v>
      </c>
      <c r="R74" s="428">
        <v>0</v>
      </c>
      <c r="S74" s="428">
        <v>0</v>
      </c>
      <c r="T74" s="428">
        <v>0</v>
      </c>
      <c r="U74" s="428">
        <v>0</v>
      </c>
      <c r="V74" s="428">
        <v>0</v>
      </c>
      <c r="W74" s="428">
        <v>0</v>
      </c>
      <c r="X74" s="428">
        <v>0</v>
      </c>
      <c r="Y74" s="438">
        <v>0</v>
      </c>
    </row>
    <row r="75" spans="1:26" ht="13.5" thickBot="1" x14ac:dyDescent="0.25">
      <c r="A75" s="435" t="s">
        <v>117</v>
      </c>
      <c r="B75" s="429">
        <f t="shared" ref="B75:V75" si="11">(C74+B74)*(C73-B73)/2</f>
        <v>1</v>
      </c>
      <c r="C75" s="430">
        <f t="shared" si="11"/>
        <v>0.79999999999999982</v>
      </c>
      <c r="D75" s="430">
        <f t="shared" si="11"/>
        <v>1.2500000000000002</v>
      </c>
      <c r="E75" s="430">
        <f t="shared" si="11"/>
        <v>2</v>
      </c>
      <c r="F75" s="430">
        <f t="shared" si="11"/>
        <v>0.19999999999999973</v>
      </c>
      <c r="G75" s="430">
        <f t="shared" si="11"/>
        <v>0</v>
      </c>
      <c r="H75" s="430">
        <f t="shared" si="11"/>
        <v>0</v>
      </c>
      <c r="I75" s="430">
        <f t="shared" si="11"/>
        <v>0</v>
      </c>
      <c r="J75" s="430">
        <f>(K74+J74)*(K73-J73)/2</f>
        <v>0</v>
      </c>
      <c r="K75" s="430">
        <f t="shared" si="11"/>
        <v>0</v>
      </c>
      <c r="L75" s="430">
        <f t="shared" si="11"/>
        <v>0</v>
      </c>
      <c r="M75" s="430">
        <f t="shared" si="11"/>
        <v>0</v>
      </c>
      <c r="N75" s="430">
        <f t="shared" si="11"/>
        <v>0</v>
      </c>
      <c r="O75" s="430">
        <f t="shared" si="11"/>
        <v>0</v>
      </c>
      <c r="P75" s="430">
        <f t="shared" si="11"/>
        <v>0</v>
      </c>
      <c r="Q75" s="430">
        <f t="shared" si="11"/>
        <v>0</v>
      </c>
      <c r="R75" s="430">
        <f t="shared" si="11"/>
        <v>0</v>
      </c>
      <c r="S75" s="430">
        <f>(T74+S74)*(T73-S73)/2</f>
        <v>0</v>
      </c>
      <c r="T75" s="430">
        <f t="shared" si="11"/>
        <v>0</v>
      </c>
      <c r="U75" s="430">
        <f t="shared" si="11"/>
        <v>0</v>
      </c>
      <c r="V75" s="430">
        <f t="shared" si="11"/>
        <v>0</v>
      </c>
      <c r="W75" s="430">
        <f>(X74+W74)*(X73-W73)/2</f>
        <v>0</v>
      </c>
      <c r="X75" s="430">
        <f>(Y74+X74)*(Y73-X73)/2</f>
        <v>0</v>
      </c>
      <c r="Y75" s="424"/>
    </row>
    <row r="76" spans="1:26" ht="13.5" thickBot="1" x14ac:dyDescent="0.25">
      <c r="B76" s="17"/>
      <c r="C76" s="17"/>
      <c r="D76" s="17"/>
      <c r="E76" s="17"/>
      <c r="F76" s="17"/>
      <c r="G76" s="17"/>
      <c r="H76" s="17"/>
      <c r="I76" s="17"/>
      <c r="J76" s="17"/>
      <c r="K76" s="17"/>
      <c r="L76" s="17"/>
      <c r="M76" s="17"/>
      <c r="N76" s="17"/>
      <c r="O76" s="17"/>
      <c r="P76" s="17"/>
      <c r="Q76" s="17"/>
      <c r="R76" s="17"/>
      <c r="S76" s="17"/>
      <c r="T76" s="17"/>
      <c r="U76" s="17"/>
      <c r="V76" s="17"/>
      <c r="W76" s="17"/>
      <c r="X76" s="17"/>
      <c r="Y76" s="17"/>
    </row>
    <row r="77" spans="1:26" ht="13.5" thickBot="1" x14ac:dyDescent="0.25">
      <c r="A77" s="416" t="s">
        <v>114</v>
      </c>
      <c r="B77" s="414">
        <f>ROW(A77)</f>
        <v>77</v>
      </c>
      <c r="C77" s="418" t="s">
        <v>116</v>
      </c>
      <c r="D77" s="408">
        <f>SUM(B80:Y80)</f>
        <v>10.26</v>
      </c>
      <c r="E77" s="418" t="s">
        <v>115</v>
      </c>
      <c r="F77" s="409">
        <f>D77/g/J77</f>
        <v>80.451658433309802</v>
      </c>
      <c r="G77" s="418" t="s">
        <v>57</v>
      </c>
      <c r="H77" s="86">
        <v>2.4E-2</v>
      </c>
      <c r="I77" s="418" t="s">
        <v>272</v>
      </c>
      <c r="J77" s="410">
        <f>H77-L77</f>
        <v>1.3000000000000001E-2</v>
      </c>
      <c r="K77" s="418" t="s">
        <v>273</v>
      </c>
      <c r="L77" s="86">
        <v>1.0999999999999999E-2</v>
      </c>
      <c r="M77" s="418" t="s">
        <v>58</v>
      </c>
      <c r="N77" s="87">
        <v>30</v>
      </c>
      <c r="O77" s="418" t="s">
        <v>60</v>
      </c>
      <c r="P77" s="87">
        <v>30</v>
      </c>
      <c r="Q77" s="418" t="s">
        <v>61</v>
      </c>
      <c r="R77" s="87">
        <v>70</v>
      </c>
      <c r="S77" s="418" t="s">
        <v>62</v>
      </c>
      <c r="T77" s="87">
        <v>15</v>
      </c>
      <c r="U77" s="418" t="s">
        <v>55</v>
      </c>
      <c r="V77" s="88" t="s">
        <v>118</v>
      </c>
      <c r="W77" s="546" t="s">
        <v>396</v>
      </c>
      <c r="X77" s="548">
        <v>1.7</v>
      </c>
      <c r="Y77" s="546" t="s">
        <v>395</v>
      </c>
      <c r="Z77" s="413">
        <v>3</v>
      </c>
    </row>
    <row r="78" spans="1:26" x14ac:dyDescent="0.2">
      <c r="A78" s="417" t="s">
        <v>33</v>
      </c>
      <c r="B78" s="425">
        <v>0</v>
      </c>
      <c r="C78" s="426">
        <v>0.2</v>
      </c>
      <c r="D78" s="426">
        <v>0.3</v>
      </c>
      <c r="E78" s="426">
        <v>0.6</v>
      </c>
      <c r="F78" s="426">
        <v>0.8</v>
      </c>
      <c r="G78" s="426">
        <v>2</v>
      </c>
      <c r="H78" s="426">
        <v>2.1</v>
      </c>
      <c r="I78" s="426">
        <v>2.1</v>
      </c>
      <c r="J78" s="426">
        <v>2.1</v>
      </c>
      <c r="K78" s="426">
        <v>2.1</v>
      </c>
      <c r="L78" s="426">
        <v>2.1</v>
      </c>
      <c r="M78" s="426">
        <v>2.1</v>
      </c>
      <c r="N78" s="426">
        <v>2.1</v>
      </c>
      <c r="O78" s="426">
        <v>2.1</v>
      </c>
      <c r="P78" s="426">
        <v>2.1</v>
      </c>
      <c r="Q78" s="426">
        <v>2.1</v>
      </c>
      <c r="R78" s="426">
        <v>2.1</v>
      </c>
      <c r="S78" s="426">
        <v>2.1</v>
      </c>
      <c r="T78" s="426">
        <v>2.1</v>
      </c>
      <c r="U78" s="426">
        <v>2.1</v>
      </c>
      <c r="V78" s="426">
        <v>2.1</v>
      </c>
      <c r="W78" s="426">
        <v>2.1</v>
      </c>
      <c r="X78" s="426">
        <v>2.1</v>
      </c>
      <c r="Y78" s="437">
        <v>1000</v>
      </c>
    </row>
    <row r="79" spans="1:26" x14ac:dyDescent="0.2">
      <c r="A79" s="434" t="s">
        <v>34</v>
      </c>
      <c r="B79" s="427">
        <v>0</v>
      </c>
      <c r="C79" s="428">
        <v>11</v>
      </c>
      <c r="D79" s="428">
        <v>7</v>
      </c>
      <c r="E79" s="428">
        <v>4</v>
      </c>
      <c r="F79" s="428">
        <v>4.5999999999999996</v>
      </c>
      <c r="G79" s="428">
        <v>4.5999999999999996</v>
      </c>
      <c r="H79" s="428">
        <v>0</v>
      </c>
      <c r="I79" s="428">
        <v>0</v>
      </c>
      <c r="J79" s="428">
        <v>0</v>
      </c>
      <c r="K79" s="428">
        <v>0</v>
      </c>
      <c r="L79" s="428">
        <v>0</v>
      </c>
      <c r="M79" s="428">
        <v>0</v>
      </c>
      <c r="N79" s="428">
        <v>0</v>
      </c>
      <c r="O79" s="428">
        <v>0</v>
      </c>
      <c r="P79" s="428">
        <v>0</v>
      </c>
      <c r="Q79" s="428">
        <v>0</v>
      </c>
      <c r="R79" s="428">
        <v>0</v>
      </c>
      <c r="S79" s="428">
        <v>0</v>
      </c>
      <c r="T79" s="428">
        <v>0</v>
      </c>
      <c r="U79" s="428">
        <v>0</v>
      </c>
      <c r="V79" s="428">
        <v>0</v>
      </c>
      <c r="W79" s="428">
        <v>0</v>
      </c>
      <c r="X79" s="428">
        <v>0</v>
      </c>
      <c r="Y79" s="438">
        <v>0</v>
      </c>
    </row>
    <row r="80" spans="1:26" ht="13.5" thickBot="1" x14ac:dyDescent="0.25">
      <c r="A80" s="435" t="s">
        <v>117</v>
      </c>
      <c r="B80" s="429">
        <f t="shared" ref="B80:G80" si="12">(C79+B79)*(C78-B78)/2</f>
        <v>1.1000000000000001</v>
      </c>
      <c r="C80" s="430">
        <f t="shared" si="12"/>
        <v>0.8999999999999998</v>
      </c>
      <c r="D80" s="430">
        <f t="shared" si="12"/>
        <v>1.65</v>
      </c>
      <c r="E80" s="430">
        <f t="shared" si="12"/>
        <v>0.86000000000000021</v>
      </c>
      <c r="F80" s="430">
        <f t="shared" si="12"/>
        <v>5.52</v>
      </c>
      <c r="G80" s="430">
        <f t="shared" si="12"/>
        <v>0.23000000000000018</v>
      </c>
      <c r="H80" s="430">
        <f t="shared" ref="H80:V80" si="13">(I79+H79)*(I78-H78)/2</f>
        <v>0</v>
      </c>
      <c r="I80" s="430">
        <f t="shared" si="13"/>
        <v>0</v>
      </c>
      <c r="J80" s="430">
        <f>(K79+J79)*(K78-J78)/2</f>
        <v>0</v>
      </c>
      <c r="K80" s="430">
        <f t="shared" si="13"/>
        <v>0</v>
      </c>
      <c r="L80" s="430">
        <f t="shared" si="13"/>
        <v>0</v>
      </c>
      <c r="M80" s="430">
        <f t="shared" si="13"/>
        <v>0</v>
      </c>
      <c r="N80" s="430">
        <f t="shared" si="13"/>
        <v>0</v>
      </c>
      <c r="O80" s="430">
        <f t="shared" si="13"/>
        <v>0</v>
      </c>
      <c r="P80" s="430">
        <f t="shared" si="13"/>
        <v>0</v>
      </c>
      <c r="Q80" s="430">
        <f t="shared" si="13"/>
        <v>0</v>
      </c>
      <c r="R80" s="430">
        <f t="shared" si="13"/>
        <v>0</v>
      </c>
      <c r="S80" s="430">
        <f>(T79+S79)*(T78-S78)/2</f>
        <v>0</v>
      </c>
      <c r="T80" s="430">
        <f t="shared" si="13"/>
        <v>0</v>
      </c>
      <c r="U80" s="430">
        <f t="shared" si="13"/>
        <v>0</v>
      </c>
      <c r="V80" s="430">
        <f t="shared" si="13"/>
        <v>0</v>
      </c>
      <c r="W80" s="430">
        <f>(X79+W79)*(X78-W78)/2</f>
        <v>0</v>
      </c>
      <c r="X80" s="430">
        <f>(Y79+X79)*(Y78-X78)/2</f>
        <v>0</v>
      </c>
      <c r="Y80" s="424"/>
    </row>
    <row r="81" spans="1:26" ht="13.5" thickBot="1" x14ac:dyDescent="0.25">
      <c r="A81" s="17"/>
      <c r="L81" s="17"/>
      <c r="M81" s="17"/>
      <c r="N81" s="17"/>
      <c r="O81" s="17"/>
      <c r="P81" s="17"/>
      <c r="Q81" s="17"/>
      <c r="R81" s="17"/>
      <c r="S81" s="17"/>
      <c r="T81" s="17"/>
      <c r="U81" s="17"/>
      <c r="V81" s="17"/>
      <c r="W81" s="17"/>
      <c r="X81" s="17"/>
      <c r="Y81" s="17"/>
    </row>
    <row r="82" spans="1:26" ht="13.5" thickBot="1" x14ac:dyDescent="0.25">
      <c r="A82" s="416" t="s">
        <v>331</v>
      </c>
      <c r="B82" s="414">
        <f>ROW(A82)</f>
        <v>82</v>
      </c>
      <c r="C82" s="418" t="s">
        <v>116</v>
      </c>
      <c r="D82" s="408">
        <f>SUM(B85:Y85)</f>
        <v>20.52</v>
      </c>
      <c r="E82" s="418" t="s">
        <v>115</v>
      </c>
      <c r="F82" s="409">
        <f>D82/g/J82</f>
        <v>80.451658433309802</v>
      </c>
      <c r="G82" s="418" t="s">
        <v>57</v>
      </c>
      <c r="H82" s="86">
        <f>H77*2</f>
        <v>4.8000000000000001E-2</v>
      </c>
      <c r="I82" s="418" t="s">
        <v>272</v>
      </c>
      <c r="J82" s="410">
        <f>H82-L82</f>
        <v>2.6000000000000002E-2</v>
      </c>
      <c r="K82" s="418" t="s">
        <v>273</v>
      </c>
      <c r="L82" s="86">
        <f>L77*2</f>
        <v>2.1999999999999999E-2</v>
      </c>
      <c r="M82" s="418" t="s">
        <v>58</v>
      </c>
      <c r="N82" s="87">
        <v>30</v>
      </c>
      <c r="O82" s="418" t="s">
        <v>60</v>
      </c>
      <c r="P82" s="87">
        <v>30</v>
      </c>
      <c r="Q82" s="418" t="s">
        <v>61</v>
      </c>
      <c r="R82" s="87">
        <v>70</v>
      </c>
      <c r="S82" s="418" t="s">
        <v>62</v>
      </c>
      <c r="T82" s="87">
        <v>30</v>
      </c>
      <c r="U82" s="418" t="s">
        <v>55</v>
      </c>
      <c r="V82" s="88" t="s">
        <v>118</v>
      </c>
      <c r="W82" s="546" t="s">
        <v>396</v>
      </c>
      <c r="X82" s="548">
        <v>1.7</v>
      </c>
      <c r="Y82" s="546" t="s">
        <v>395</v>
      </c>
      <c r="Z82" s="413">
        <v>3</v>
      </c>
    </row>
    <row r="83" spans="1:26" x14ac:dyDescent="0.2">
      <c r="A83" s="417" t="s">
        <v>33</v>
      </c>
      <c r="B83" s="425">
        <v>0</v>
      </c>
      <c r="C83" s="426">
        <v>0.2</v>
      </c>
      <c r="D83" s="426">
        <v>0.3</v>
      </c>
      <c r="E83" s="426">
        <v>0.6</v>
      </c>
      <c r="F83" s="426">
        <v>0.8</v>
      </c>
      <c r="G83" s="426">
        <v>2</v>
      </c>
      <c r="H83" s="426">
        <v>2.1</v>
      </c>
      <c r="I83" s="426">
        <v>2.1</v>
      </c>
      <c r="J83" s="426">
        <v>2.1</v>
      </c>
      <c r="K83" s="426">
        <v>2.1</v>
      </c>
      <c r="L83" s="426">
        <v>2.1</v>
      </c>
      <c r="M83" s="426">
        <v>2.1</v>
      </c>
      <c r="N83" s="426">
        <v>2.1</v>
      </c>
      <c r="O83" s="426">
        <v>2.1</v>
      </c>
      <c r="P83" s="426">
        <v>2.1</v>
      </c>
      <c r="Q83" s="426">
        <v>2.1</v>
      </c>
      <c r="R83" s="426">
        <v>2.1</v>
      </c>
      <c r="S83" s="426">
        <v>2.1</v>
      </c>
      <c r="T83" s="426">
        <v>2.1</v>
      </c>
      <c r="U83" s="426">
        <v>2.1</v>
      </c>
      <c r="V83" s="426">
        <v>2.1</v>
      </c>
      <c r="W83" s="426">
        <v>2.1</v>
      </c>
      <c r="X83" s="426">
        <v>2.1</v>
      </c>
      <c r="Y83" s="437">
        <v>1000</v>
      </c>
    </row>
    <row r="84" spans="1:26" x14ac:dyDescent="0.2">
      <c r="A84" s="434" t="s">
        <v>34</v>
      </c>
      <c r="B84" s="427">
        <f>B79*2</f>
        <v>0</v>
      </c>
      <c r="C84" s="428">
        <f t="shared" ref="C84:X84" si="14">C79*2</f>
        <v>22</v>
      </c>
      <c r="D84" s="428">
        <f t="shared" si="14"/>
        <v>14</v>
      </c>
      <c r="E84" s="428">
        <f t="shared" si="14"/>
        <v>8</v>
      </c>
      <c r="F84" s="428">
        <f t="shared" si="14"/>
        <v>9.1999999999999993</v>
      </c>
      <c r="G84" s="428">
        <f t="shared" si="14"/>
        <v>9.1999999999999993</v>
      </c>
      <c r="H84" s="428">
        <f t="shared" si="14"/>
        <v>0</v>
      </c>
      <c r="I84" s="428">
        <f t="shared" si="14"/>
        <v>0</v>
      </c>
      <c r="J84" s="428">
        <f t="shared" si="14"/>
        <v>0</v>
      </c>
      <c r="K84" s="428">
        <f t="shared" si="14"/>
        <v>0</v>
      </c>
      <c r="L84" s="428">
        <f t="shared" si="14"/>
        <v>0</v>
      </c>
      <c r="M84" s="428">
        <f t="shared" si="14"/>
        <v>0</v>
      </c>
      <c r="N84" s="428">
        <f t="shared" si="14"/>
        <v>0</v>
      </c>
      <c r="O84" s="428">
        <f t="shared" si="14"/>
        <v>0</v>
      </c>
      <c r="P84" s="428">
        <f t="shared" si="14"/>
        <v>0</v>
      </c>
      <c r="Q84" s="428">
        <f t="shared" si="14"/>
        <v>0</v>
      </c>
      <c r="R84" s="428">
        <f t="shared" si="14"/>
        <v>0</v>
      </c>
      <c r="S84" s="428">
        <f t="shared" si="14"/>
        <v>0</v>
      </c>
      <c r="T84" s="428">
        <f t="shared" si="14"/>
        <v>0</v>
      </c>
      <c r="U84" s="428">
        <f t="shared" si="14"/>
        <v>0</v>
      </c>
      <c r="V84" s="428">
        <f t="shared" si="14"/>
        <v>0</v>
      </c>
      <c r="W84" s="428">
        <f t="shared" si="14"/>
        <v>0</v>
      </c>
      <c r="X84" s="428">
        <f t="shared" si="14"/>
        <v>0</v>
      </c>
      <c r="Y84" s="438">
        <v>0</v>
      </c>
    </row>
    <row r="85" spans="1:26" ht="13.5" thickBot="1" x14ac:dyDescent="0.25">
      <c r="A85" s="435" t="s">
        <v>117</v>
      </c>
      <c r="B85" s="429">
        <f t="shared" ref="B85:X85" si="15">(C84+B84)*(C83-B83)/2</f>
        <v>2.2000000000000002</v>
      </c>
      <c r="C85" s="430">
        <f t="shared" si="15"/>
        <v>1.7999999999999996</v>
      </c>
      <c r="D85" s="430">
        <f t="shared" si="15"/>
        <v>3.3</v>
      </c>
      <c r="E85" s="430">
        <f t="shared" si="15"/>
        <v>1.7200000000000004</v>
      </c>
      <c r="F85" s="430">
        <f t="shared" si="15"/>
        <v>11.04</v>
      </c>
      <c r="G85" s="430">
        <f t="shared" si="15"/>
        <v>0.46000000000000035</v>
      </c>
      <c r="H85" s="430">
        <f t="shared" si="15"/>
        <v>0</v>
      </c>
      <c r="I85" s="430">
        <f t="shared" si="15"/>
        <v>0</v>
      </c>
      <c r="J85" s="430">
        <f t="shared" si="15"/>
        <v>0</v>
      </c>
      <c r="K85" s="430">
        <f t="shared" si="15"/>
        <v>0</v>
      </c>
      <c r="L85" s="430">
        <f t="shared" si="15"/>
        <v>0</v>
      </c>
      <c r="M85" s="430">
        <f t="shared" si="15"/>
        <v>0</v>
      </c>
      <c r="N85" s="430">
        <f t="shared" si="15"/>
        <v>0</v>
      </c>
      <c r="O85" s="430">
        <f t="shared" si="15"/>
        <v>0</v>
      </c>
      <c r="P85" s="430">
        <f t="shared" si="15"/>
        <v>0</v>
      </c>
      <c r="Q85" s="430">
        <f t="shared" si="15"/>
        <v>0</v>
      </c>
      <c r="R85" s="430">
        <f t="shared" si="15"/>
        <v>0</v>
      </c>
      <c r="S85" s="430">
        <f t="shared" si="15"/>
        <v>0</v>
      </c>
      <c r="T85" s="430">
        <f t="shared" si="15"/>
        <v>0</v>
      </c>
      <c r="U85" s="430">
        <f t="shared" si="15"/>
        <v>0</v>
      </c>
      <c r="V85" s="430">
        <f t="shared" si="15"/>
        <v>0</v>
      </c>
      <c r="W85" s="430">
        <f t="shared" si="15"/>
        <v>0</v>
      </c>
      <c r="X85" s="430">
        <f t="shared" si="15"/>
        <v>0</v>
      </c>
      <c r="Y85" s="424"/>
    </row>
    <row r="86" spans="1:26" ht="13.5" thickBot="1" x14ac:dyDescent="0.25">
      <c r="B86" s="17"/>
      <c r="C86" s="17"/>
      <c r="D86" s="17"/>
      <c r="E86" s="17"/>
      <c r="F86" s="17"/>
      <c r="G86" s="17"/>
      <c r="H86" s="17"/>
      <c r="I86" s="17"/>
      <c r="J86" s="17"/>
      <c r="K86" s="17"/>
      <c r="L86" s="17"/>
      <c r="M86" s="17"/>
      <c r="N86" s="17"/>
      <c r="O86" s="17"/>
      <c r="P86" s="17"/>
      <c r="Q86" s="17"/>
      <c r="R86" s="17"/>
      <c r="S86" s="17"/>
      <c r="T86" s="17"/>
      <c r="U86" s="17"/>
      <c r="V86" s="17"/>
      <c r="W86" s="17"/>
      <c r="X86" s="17"/>
      <c r="Y86" s="17"/>
    </row>
    <row r="87" spans="1:26" ht="13.5" thickBot="1" x14ac:dyDescent="0.25">
      <c r="A87" s="416" t="s">
        <v>332</v>
      </c>
      <c r="B87" s="414">
        <f>ROW(A87)</f>
        <v>87</v>
      </c>
      <c r="C87" s="418" t="s">
        <v>116</v>
      </c>
      <c r="D87" s="408">
        <f>SUM(B90:Y90)</f>
        <v>30.779999999999998</v>
      </c>
      <c r="E87" s="418" t="s">
        <v>115</v>
      </c>
      <c r="F87" s="409">
        <f>D87/g/J87</f>
        <v>80.451658433309774</v>
      </c>
      <c r="G87" s="418" t="s">
        <v>57</v>
      </c>
      <c r="H87" s="86">
        <f>H77*3</f>
        <v>7.2000000000000008E-2</v>
      </c>
      <c r="I87" s="418" t="s">
        <v>272</v>
      </c>
      <c r="J87" s="410">
        <f>H87-L87</f>
        <v>3.9000000000000007E-2</v>
      </c>
      <c r="K87" s="418" t="s">
        <v>273</v>
      </c>
      <c r="L87" s="86">
        <f>L77*3</f>
        <v>3.3000000000000002E-2</v>
      </c>
      <c r="M87" s="418" t="s">
        <v>58</v>
      </c>
      <c r="N87" s="87">
        <v>30</v>
      </c>
      <c r="O87" s="418" t="s">
        <v>60</v>
      </c>
      <c r="P87" s="87">
        <v>30</v>
      </c>
      <c r="Q87" s="418" t="s">
        <v>61</v>
      </c>
      <c r="R87" s="87">
        <v>70</v>
      </c>
      <c r="S87" s="418" t="s">
        <v>62</v>
      </c>
      <c r="T87" s="87">
        <v>40</v>
      </c>
      <c r="U87" s="418" t="s">
        <v>55</v>
      </c>
      <c r="V87" s="88" t="s">
        <v>118</v>
      </c>
      <c r="W87" s="546" t="s">
        <v>396</v>
      </c>
      <c r="X87" s="548">
        <v>1.7</v>
      </c>
      <c r="Y87" s="546" t="s">
        <v>395</v>
      </c>
      <c r="Z87" s="413">
        <v>3</v>
      </c>
    </row>
    <row r="88" spans="1:26" x14ac:dyDescent="0.2">
      <c r="A88" s="417" t="s">
        <v>33</v>
      </c>
      <c r="B88" s="425">
        <v>0</v>
      </c>
      <c r="C88" s="426">
        <v>0.2</v>
      </c>
      <c r="D88" s="426">
        <v>0.3</v>
      </c>
      <c r="E88" s="426">
        <v>0.6</v>
      </c>
      <c r="F88" s="426">
        <v>0.8</v>
      </c>
      <c r="G88" s="426">
        <v>2</v>
      </c>
      <c r="H88" s="426">
        <v>2.1</v>
      </c>
      <c r="I88" s="426">
        <v>2.1</v>
      </c>
      <c r="J88" s="426">
        <v>2.1</v>
      </c>
      <c r="K88" s="426">
        <v>2.1</v>
      </c>
      <c r="L88" s="426">
        <v>2.1</v>
      </c>
      <c r="M88" s="426">
        <v>2.1</v>
      </c>
      <c r="N88" s="426">
        <v>2.1</v>
      </c>
      <c r="O88" s="426">
        <v>2.1</v>
      </c>
      <c r="P88" s="426">
        <v>2.1</v>
      </c>
      <c r="Q88" s="426">
        <v>2.1</v>
      </c>
      <c r="R88" s="426">
        <v>2.1</v>
      </c>
      <c r="S88" s="426">
        <v>2.1</v>
      </c>
      <c r="T88" s="426">
        <v>2.1</v>
      </c>
      <c r="U88" s="426">
        <v>2.1</v>
      </c>
      <c r="V88" s="426">
        <v>2.1</v>
      </c>
      <c r="W88" s="426">
        <v>2.1</v>
      </c>
      <c r="X88" s="426">
        <v>2.1</v>
      </c>
      <c r="Y88" s="437">
        <v>1000</v>
      </c>
    </row>
    <row r="89" spans="1:26" x14ac:dyDescent="0.2">
      <c r="A89" s="434" t="s">
        <v>34</v>
      </c>
      <c r="B89" s="427">
        <f>B79*3</f>
        <v>0</v>
      </c>
      <c r="C89" s="428">
        <f t="shared" ref="C89:X89" si="16">C79*3</f>
        <v>33</v>
      </c>
      <c r="D89" s="428">
        <f t="shared" si="16"/>
        <v>21</v>
      </c>
      <c r="E89" s="428">
        <f t="shared" si="16"/>
        <v>12</v>
      </c>
      <c r="F89" s="428">
        <f t="shared" si="16"/>
        <v>13.799999999999999</v>
      </c>
      <c r="G89" s="428">
        <f t="shared" si="16"/>
        <v>13.799999999999999</v>
      </c>
      <c r="H89" s="428">
        <f t="shared" si="16"/>
        <v>0</v>
      </c>
      <c r="I89" s="428">
        <f t="shared" si="16"/>
        <v>0</v>
      </c>
      <c r="J89" s="428">
        <f t="shared" si="16"/>
        <v>0</v>
      </c>
      <c r="K89" s="428">
        <f t="shared" si="16"/>
        <v>0</v>
      </c>
      <c r="L89" s="428">
        <f t="shared" si="16"/>
        <v>0</v>
      </c>
      <c r="M89" s="428">
        <f t="shared" si="16"/>
        <v>0</v>
      </c>
      <c r="N89" s="428">
        <f t="shared" si="16"/>
        <v>0</v>
      </c>
      <c r="O89" s="428">
        <f t="shared" si="16"/>
        <v>0</v>
      </c>
      <c r="P89" s="428">
        <f t="shared" si="16"/>
        <v>0</v>
      </c>
      <c r="Q89" s="428">
        <f t="shared" si="16"/>
        <v>0</v>
      </c>
      <c r="R89" s="428">
        <f t="shared" si="16"/>
        <v>0</v>
      </c>
      <c r="S89" s="428">
        <f t="shared" si="16"/>
        <v>0</v>
      </c>
      <c r="T89" s="428">
        <f t="shared" si="16"/>
        <v>0</v>
      </c>
      <c r="U89" s="428">
        <f t="shared" si="16"/>
        <v>0</v>
      </c>
      <c r="V89" s="428">
        <f t="shared" si="16"/>
        <v>0</v>
      </c>
      <c r="W89" s="428">
        <f t="shared" si="16"/>
        <v>0</v>
      </c>
      <c r="X89" s="428">
        <f t="shared" si="16"/>
        <v>0</v>
      </c>
      <c r="Y89" s="438">
        <v>0</v>
      </c>
    </row>
    <row r="90" spans="1:26" ht="13.5" thickBot="1" x14ac:dyDescent="0.25">
      <c r="A90" s="435" t="s">
        <v>117</v>
      </c>
      <c r="B90" s="429">
        <f t="shared" ref="B90:X90" si="17">(C89+B89)*(C88-B88)/2</f>
        <v>3.3000000000000003</v>
      </c>
      <c r="C90" s="430">
        <f t="shared" si="17"/>
        <v>2.6999999999999993</v>
      </c>
      <c r="D90" s="430">
        <f t="shared" si="17"/>
        <v>4.95</v>
      </c>
      <c r="E90" s="430">
        <f t="shared" si="17"/>
        <v>2.5800000000000005</v>
      </c>
      <c r="F90" s="430">
        <f t="shared" si="17"/>
        <v>16.559999999999999</v>
      </c>
      <c r="G90" s="430">
        <f t="shared" si="17"/>
        <v>0.69000000000000061</v>
      </c>
      <c r="H90" s="430">
        <f t="shared" si="17"/>
        <v>0</v>
      </c>
      <c r="I90" s="430">
        <f t="shared" si="17"/>
        <v>0</v>
      </c>
      <c r="J90" s="430">
        <f t="shared" si="17"/>
        <v>0</v>
      </c>
      <c r="K90" s="430">
        <f t="shared" si="17"/>
        <v>0</v>
      </c>
      <c r="L90" s="430">
        <f t="shared" si="17"/>
        <v>0</v>
      </c>
      <c r="M90" s="430">
        <f t="shared" si="17"/>
        <v>0</v>
      </c>
      <c r="N90" s="430">
        <f t="shared" si="17"/>
        <v>0</v>
      </c>
      <c r="O90" s="430">
        <f t="shared" si="17"/>
        <v>0</v>
      </c>
      <c r="P90" s="430">
        <f t="shared" si="17"/>
        <v>0</v>
      </c>
      <c r="Q90" s="430">
        <f t="shared" si="17"/>
        <v>0</v>
      </c>
      <c r="R90" s="430">
        <f t="shared" si="17"/>
        <v>0</v>
      </c>
      <c r="S90" s="430">
        <f t="shared" si="17"/>
        <v>0</v>
      </c>
      <c r="T90" s="430">
        <f t="shared" si="17"/>
        <v>0</v>
      </c>
      <c r="U90" s="430">
        <f t="shared" si="17"/>
        <v>0</v>
      </c>
      <c r="V90" s="430">
        <f t="shared" si="17"/>
        <v>0</v>
      </c>
      <c r="W90" s="430">
        <f t="shared" si="17"/>
        <v>0</v>
      </c>
      <c r="X90" s="430">
        <f t="shared" si="17"/>
        <v>0</v>
      </c>
      <c r="Y90" s="424"/>
    </row>
    <row r="91" spans="1:26" ht="13.5" thickBot="1" x14ac:dyDescent="0.25">
      <c r="B91" s="17"/>
      <c r="C91" s="17"/>
      <c r="D91" s="17"/>
      <c r="E91" s="17"/>
      <c r="F91" s="17"/>
      <c r="G91" s="17"/>
      <c r="H91" s="17"/>
      <c r="I91" s="17"/>
      <c r="J91" s="17"/>
      <c r="K91" s="17"/>
      <c r="L91" s="17"/>
      <c r="M91" s="17"/>
      <c r="N91" s="17"/>
      <c r="O91" s="17"/>
      <c r="P91" s="17"/>
      <c r="Q91" s="17"/>
      <c r="R91" s="17"/>
      <c r="S91" s="17"/>
      <c r="T91" s="17"/>
      <c r="U91" s="17"/>
      <c r="V91" s="17"/>
      <c r="W91" s="17"/>
      <c r="X91" s="17"/>
      <c r="Y91" s="17"/>
    </row>
    <row r="92" spans="1:26" ht="13.5" thickBot="1" x14ac:dyDescent="0.25">
      <c r="A92" s="416" t="s">
        <v>543</v>
      </c>
      <c r="B92" s="414">
        <f>ROW(A92)</f>
        <v>92</v>
      </c>
      <c r="C92" s="418" t="s">
        <v>116</v>
      </c>
      <c r="D92" s="408">
        <f>SUM(B95:Y95)</f>
        <v>19.961989000000003</v>
      </c>
      <c r="E92" s="418" t="s">
        <v>115</v>
      </c>
      <c r="F92" s="409">
        <f>D92/g/J92</f>
        <v>118.30588744280873</v>
      </c>
      <c r="G92" s="418" t="s">
        <v>57</v>
      </c>
      <c r="H92" s="86">
        <v>2.8199999999999999E-2</v>
      </c>
      <c r="I92" s="418" t="s">
        <v>272</v>
      </c>
      <c r="J92" s="410">
        <f>H92-L92</f>
        <v>1.72E-2</v>
      </c>
      <c r="K92" s="418" t="s">
        <v>273</v>
      </c>
      <c r="L92" s="86">
        <v>1.0999999999999999E-2</v>
      </c>
      <c r="M92" s="418" t="s">
        <v>58</v>
      </c>
      <c r="N92" s="87">
        <v>30</v>
      </c>
      <c r="O92" s="418" t="s">
        <v>60</v>
      </c>
      <c r="P92" s="87">
        <v>30</v>
      </c>
      <c r="Q92" s="418" t="s">
        <v>61</v>
      </c>
      <c r="R92" s="87">
        <v>70</v>
      </c>
      <c r="S92" s="418" t="s">
        <v>62</v>
      </c>
      <c r="T92" s="87">
        <v>18</v>
      </c>
      <c r="U92" s="418" t="s">
        <v>55</v>
      </c>
      <c r="V92" s="88" t="s">
        <v>403</v>
      </c>
      <c r="W92" s="546" t="s">
        <v>396</v>
      </c>
      <c r="X92" s="548">
        <v>2.1</v>
      </c>
      <c r="Y92" s="546" t="s">
        <v>395</v>
      </c>
      <c r="Z92" s="413">
        <v>7</v>
      </c>
    </row>
    <row r="93" spans="1:26" x14ac:dyDescent="0.2">
      <c r="A93" s="417" t="s">
        <v>33</v>
      </c>
      <c r="B93" s="425">
        <v>0</v>
      </c>
      <c r="C93" s="556">
        <v>0.04</v>
      </c>
      <c r="D93" s="556">
        <v>0.11600000000000001</v>
      </c>
      <c r="E93" s="556">
        <v>0.21299999999999999</v>
      </c>
      <c r="F93" s="556">
        <v>0.28599999999999998</v>
      </c>
      <c r="G93" s="556">
        <v>0.32900000000000001</v>
      </c>
      <c r="H93" s="556">
        <v>0.36899999999999999</v>
      </c>
      <c r="I93" s="556">
        <v>0.42</v>
      </c>
      <c r="J93" s="556">
        <v>0.495</v>
      </c>
      <c r="K93" s="556">
        <v>0.59699999999999998</v>
      </c>
      <c r="L93" s="556">
        <v>1.7110000000000001</v>
      </c>
      <c r="M93" s="556">
        <v>1.8260000000000001</v>
      </c>
      <c r="N93" s="556">
        <v>1.917</v>
      </c>
      <c r="O93" s="556">
        <v>1.9750000000000001</v>
      </c>
      <c r="P93" s="556">
        <v>2.206</v>
      </c>
      <c r="Q93" s="556">
        <v>2.242</v>
      </c>
      <c r="R93" s="426">
        <v>2.5</v>
      </c>
      <c r="S93" s="426">
        <v>2.5</v>
      </c>
      <c r="T93" s="426">
        <v>2.5</v>
      </c>
      <c r="U93" s="426">
        <v>2.5</v>
      </c>
      <c r="V93" s="426">
        <v>2.5</v>
      </c>
      <c r="W93" s="426">
        <v>2.5</v>
      </c>
      <c r="X93" s="426">
        <v>2.5</v>
      </c>
      <c r="Y93" s="437">
        <v>1000</v>
      </c>
    </row>
    <row r="94" spans="1:26" x14ac:dyDescent="0.2">
      <c r="A94" s="434" t="s">
        <v>34</v>
      </c>
      <c r="B94" s="427">
        <v>0</v>
      </c>
      <c r="C94" s="556">
        <v>2.1110000000000002</v>
      </c>
      <c r="D94" s="556">
        <v>9.6850000000000005</v>
      </c>
      <c r="E94" s="556">
        <v>25</v>
      </c>
      <c r="F94" s="556">
        <v>15.738</v>
      </c>
      <c r="G94" s="556">
        <v>12.472</v>
      </c>
      <c r="H94" s="556">
        <v>10.67</v>
      </c>
      <c r="I94" s="556">
        <v>9.7129999999999992</v>
      </c>
      <c r="J94" s="556">
        <v>9.1780000000000008</v>
      </c>
      <c r="K94" s="556">
        <v>8.8960000000000008</v>
      </c>
      <c r="L94" s="556">
        <v>8.9250000000000007</v>
      </c>
      <c r="M94" s="556">
        <v>8.6989999999999998</v>
      </c>
      <c r="N94" s="556">
        <v>8.0519999999999996</v>
      </c>
      <c r="O94" s="556">
        <v>6.9539999999999997</v>
      </c>
      <c r="P94" s="556">
        <v>1.07</v>
      </c>
      <c r="Q94" s="556">
        <v>0</v>
      </c>
      <c r="R94" s="428">
        <v>0</v>
      </c>
      <c r="S94" s="428">
        <v>0</v>
      </c>
      <c r="T94" s="428">
        <v>0</v>
      </c>
      <c r="U94" s="428">
        <v>0</v>
      </c>
      <c r="V94" s="428">
        <v>0</v>
      </c>
      <c r="W94" s="428">
        <v>0</v>
      </c>
      <c r="X94" s="428">
        <v>0</v>
      </c>
      <c r="Y94" s="438">
        <v>0</v>
      </c>
    </row>
    <row r="95" spans="1:26" ht="13.5" thickBot="1" x14ac:dyDescent="0.25">
      <c r="A95" s="435" t="s">
        <v>117</v>
      </c>
      <c r="B95" s="429">
        <f t="shared" ref="B95:X95" si="18">(C94+B94)*(C93-B93)/2</f>
        <v>4.2220000000000008E-2</v>
      </c>
      <c r="C95" s="430">
        <f t="shared" si="18"/>
        <v>0.44824800000000009</v>
      </c>
      <c r="D95" s="430">
        <f t="shared" si="18"/>
        <v>1.6822225</v>
      </c>
      <c r="E95" s="430">
        <f t="shared" si="18"/>
        <v>1.4869369999999995</v>
      </c>
      <c r="F95" s="430">
        <f t="shared" si="18"/>
        <v>0.60651500000000058</v>
      </c>
      <c r="G95" s="430">
        <f t="shared" si="18"/>
        <v>0.46283999999999975</v>
      </c>
      <c r="H95" s="430">
        <f t="shared" si="18"/>
        <v>0.51976649999999991</v>
      </c>
      <c r="I95" s="430">
        <f t="shared" si="18"/>
        <v>0.7084125</v>
      </c>
      <c r="J95" s="430">
        <f t="shared" si="18"/>
        <v>0.92177399999999987</v>
      </c>
      <c r="K95" s="430">
        <f t="shared" si="18"/>
        <v>9.9262970000000017</v>
      </c>
      <c r="L95" s="430">
        <f t="shared" si="18"/>
        <v>1.0133799999999999</v>
      </c>
      <c r="M95" s="430">
        <f t="shared" si="18"/>
        <v>0.76217049999999964</v>
      </c>
      <c r="N95" s="430">
        <f t="shared" si="18"/>
        <v>0.43517400000000039</v>
      </c>
      <c r="O95" s="430">
        <f t="shared" si="18"/>
        <v>0.92677199999999937</v>
      </c>
      <c r="P95" s="430">
        <f t="shared" si="18"/>
        <v>1.9260000000000017E-2</v>
      </c>
      <c r="Q95" s="430">
        <f t="shared" si="18"/>
        <v>0</v>
      </c>
      <c r="R95" s="430">
        <f t="shared" si="18"/>
        <v>0</v>
      </c>
      <c r="S95" s="430">
        <f t="shared" si="18"/>
        <v>0</v>
      </c>
      <c r="T95" s="430">
        <f t="shared" si="18"/>
        <v>0</v>
      </c>
      <c r="U95" s="430">
        <f t="shared" si="18"/>
        <v>0</v>
      </c>
      <c r="V95" s="430">
        <f t="shared" si="18"/>
        <v>0</v>
      </c>
      <c r="W95" s="430">
        <f t="shared" si="18"/>
        <v>0</v>
      </c>
      <c r="X95" s="430">
        <f t="shared" si="18"/>
        <v>0</v>
      </c>
      <c r="Y95" s="424"/>
    </row>
    <row r="96" spans="1:26" ht="13.5" thickBot="1" x14ac:dyDescent="0.25">
      <c r="A96" s="17"/>
      <c r="L96" s="17"/>
      <c r="M96" s="17"/>
      <c r="N96" s="17"/>
      <c r="O96" s="17"/>
      <c r="P96" s="17"/>
      <c r="Q96" s="17"/>
      <c r="R96" s="17"/>
      <c r="S96" s="17"/>
      <c r="T96" s="17"/>
      <c r="U96" s="17"/>
      <c r="V96" s="17"/>
      <c r="W96" s="17"/>
      <c r="X96" s="17"/>
      <c r="Y96" s="17"/>
    </row>
    <row r="97" spans="1:26" ht="13.5" thickBot="1" x14ac:dyDescent="0.25">
      <c r="A97" s="416" t="s">
        <v>541</v>
      </c>
      <c r="B97" s="414">
        <f>ROW(A97)</f>
        <v>97</v>
      </c>
      <c r="C97" s="418" t="s">
        <v>116</v>
      </c>
      <c r="D97" s="408">
        <f>SUM(B100:Y100)</f>
        <v>39.923978000000005</v>
      </c>
      <c r="E97" s="418" t="s">
        <v>115</v>
      </c>
      <c r="F97" s="409">
        <f>D97/g/J97</f>
        <v>118.30588744280873</v>
      </c>
      <c r="G97" s="418" t="s">
        <v>57</v>
      </c>
      <c r="H97" s="86">
        <f>H92*2</f>
        <v>5.6399999999999999E-2</v>
      </c>
      <c r="I97" s="418" t="s">
        <v>272</v>
      </c>
      <c r="J97" s="410">
        <f>H97-L97</f>
        <v>3.44E-2</v>
      </c>
      <c r="K97" s="418" t="s">
        <v>273</v>
      </c>
      <c r="L97" s="86">
        <f>L92*2</f>
        <v>2.1999999999999999E-2</v>
      </c>
      <c r="M97" s="418" t="s">
        <v>58</v>
      </c>
      <c r="N97" s="87">
        <v>30</v>
      </c>
      <c r="O97" s="418" t="s">
        <v>60</v>
      </c>
      <c r="P97" s="87">
        <v>30</v>
      </c>
      <c r="Q97" s="418" t="s">
        <v>61</v>
      </c>
      <c r="R97" s="87">
        <v>70</v>
      </c>
      <c r="S97" s="418" t="s">
        <v>62</v>
      </c>
      <c r="T97" s="87">
        <v>30</v>
      </c>
      <c r="U97" s="418" t="s">
        <v>55</v>
      </c>
      <c r="V97" s="88" t="s">
        <v>403</v>
      </c>
      <c r="W97" s="546" t="s">
        <v>396</v>
      </c>
      <c r="X97" s="548">
        <v>2.1</v>
      </c>
      <c r="Y97" s="546" t="s">
        <v>395</v>
      </c>
      <c r="Z97" s="413">
        <v>7</v>
      </c>
    </row>
    <row r="98" spans="1:26" x14ac:dyDescent="0.2">
      <c r="A98" s="417" t="s">
        <v>33</v>
      </c>
      <c r="B98" s="425">
        <v>0</v>
      </c>
      <c r="C98" s="426">
        <f>C93</f>
        <v>0.04</v>
      </c>
      <c r="D98" s="426">
        <f t="shared" ref="D98:X98" si="19">D93</f>
        <v>0.11600000000000001</v>
      </c>
      <c r="E98" s="426">
        <f t="shared" si="19"/>
        <v>0.21299999999999999</v>
      </c>
      <c r="F98" s="426">
        <f t="shared" si="19"/>
        <v>0.28599999999999998</v>
      </c>
      <c r="G98" s="426">
        <f t="shared" si="19"/>
        <v>0.32900000000000001</v>
      </c>
      <c r="H98" s="426">
        <f t="shared" si="19"/>
        <v>0.36899999999999999</v>
      </c>
      <c r="I98" s="426">
        <f t="shared" si="19"/>
        <v>0.42</v>
      </c>
      <c r="J98" s="426">
        <f t="shared" si="19"/>
        <v>0.495</v>
      </c>
      <c r="K98" s="426">
        <f t="shared" si="19"/>
        <v>0.59699999999999998</v>
      </c>
      <c r="L98" s="426">
        <f t="shared" si="19"/>
        <v>1.7110000000000001</v>
      </c>
      <c r="M98" s="426">
        <f t="shared" si="19"/>
        <v>1.8260000000000001</v>
      </c>
      <c r="N98" s="426">
        <f t="shared" si="19"/>
        <v>1.917</v>
      </c>
      <c r="O98" s="426">
        <f t="shared" si="19"/>
        <v>1.9750000000000001</v>
      </c>
      <c r="P98" s="426">
        <f t="shared" si="19"/>
        <v>2.206</v>
      </c>
      <c r="Q98" s="426">
        <f t="shared" si="19"/>
        <v>2.242</v>
      </c>
      <c r="R98" s="426">
        <f t="shared" si="19"/>
        <v>2.5</v>
      </c>
      <c r="S98" s="426">
        <f>S93</f>
        <v>2.5</v>
      </c>
      <c r="T98" s="426">
        <f t="shared" si="19"/>
        <v>2.5</v>
      </c>
      <c r="U98" s="426">
        <f t="shared" si="19"/>
        <v>2.5</v>
      </c>
      <c r="V98" s="426">
        <f t="shared" si="19"/>
        <v>2.5</v>
      </c>
      <c r="W98" s="426">
        <f t="shared" si="19"/>
        <v>2.5</v>
      </c>
      <c r="X98" s="426">
        <f t="shared" si="19"/>
        <v>2.5</v>
      </c>
      <c r="Y98" s="437">
        <v>1000</v>
      </c>
    </row>
    <row r="99" spans="1:26" x14ac:dyDescent="0.2">
      <c r="A99" s="434" t="s">
        <v>34</v>
      </c>
      <c r="B99" s="427">
        <f>B94*2</f>
        <v>0</v>
      </c>
      <c r="C99" s="428">
        <f t="shared" ref="C99:X99" si="20">C94*2</f>
        <v>4.2220000000000004</v>
      </c>
      <c r="D99" s="428">
        <f t="shared" si="20"/>
        <v>19.37</v>
      </c>
      <c r="E99" s="428">
        <f t="shared" si="20"/>
        <v>50</v>
      </c>
      <c r="F99" s="428">
        <f t="shared" si="20"/>
        <v>31.475999999999999</v>
      </c>
      <c r="G99" s="428">
        <f t="shared" si="20"/>
        <v>24.943999999999999</v>
      </c>
      <c r="H99" s="428">
        <f t="shared" si="20"/>
        <v>21.34</v>
      </c>
      <c r="I99" s="428">
        <f t="shared" si="20"/>
        <v>19.425999999999998</v>
      </c>
      <c r="J99" s="428">
        <f t="shared" si="20"/>
        <v>18.356000000000002</v>
      </c>
      <c r="K99" s="428">
        <f t="shared" si="20"/>
        <v>17.792000000000002</v>
      </c>
      <c r="L99" s="428">
        <f t="shared" si="20"/>
        <v>17.850000000000001</v>
      </c>
      <c r="M99" s="428">
        <f t="shared" si="20"/>
        <v>17.398</v>
      </c>
      <c r="N99" s="428">
        <f t="shared" si="20"/>
        <v>16.103999999999999</v>
      </c>
      <c r="O99" s="428">
        <f t="shared" si="20"/>
        <v>13.907999999999999</v>
      </c>
      <c r="P99" s="428">
        <f t="shared" si="20"/>
        <v>2.14</v>
      </c>
      <c r="Q99" s="428">
        <f t="shared" si="20"/>
        <v>0</v>
      </c>
      <c r="R99" s="428">
        <f t="shared" si="20"/>
        <v>0</v>
      </c>
      <c r="S99" s="428">
        <f t="shared" si="20"/>
        <v>0</v>
      </c>
      <c r="T99" s="428">
        <f t="shared" si="20"/>
        <v>0</v>
      </c>
      <c r="U99" s="428">
        <f t="shared" si="20"/>
        <v>0</v>
      </c>
      <c r="V99" s="428">
        <f t="shared" si="20"/>
        <v>0</v>
      </c>
      <c r="W99" s="428">
        <f t="shared" si="20"/>
        <v>0</v>
      </c>
      <c r="X99" s="428">
        <f t="shared" si="20"/>
        <v>0</v>
      </c>
      <c r="Y99" s="438">
        <v>0</v>
      </c>
    </row>
    <row r="100" spans="1:26" ht="13.5" thickBot="1" x14ac:dyDescent="0.25">
      <c r="A100" s="435" t="s">
        <v>117</v>
      </c>
      <c r="B100" s="429">
        <f t="shared" ref="B100:X100" si="21">(C99+B99)*(C98-B98)/2</f>
        <v>8.4440000000000015E-2</v>
      </c>
      <c r="C100" s="430">
        <f t="shared" si="21"/>
        <v>0.89649600000000018</v>
      </c>
      <c r="D100" s="430">
        <f t="shared" si="21"/>
        <v>3.3644449999999999</v>
      </c>
      <c r="E100" s="430">
        <f t="shared" si="21"/>
        <v>2.973873999999999</v>
      </c>
      <c r="F100" s="430">
        <f t="shared" si="21"/>
        <v>1.2130300000000012</v>
      </c>
      <c r="G100" s="430">
        <f t="shared" si="21"/>
        <v>0.9256799999999995</v>
      </c>
      <c r="H100" s="430">
        <f t="shared" si="21"/>
        <v>1.0395329999999998</v>
      </c>
      <c r="I100" s="430">
        <f t="shared" si="21"/>
        <v>1.416825</v>
      </c>
      <c r="J100" s="430">
        <f t="shared" si="21"/>
        <v>1.8435479999999997</v>
      </c>
      <c r="K100" s="430">
        <f t="shared" si="21"/>
        <v>19.852594000000003</v>
      </c>
      <c r="L100" s="430">
        <f t="shared" si="21"/>
        <v>2.0267599999999999</v>
      </c>
      <c r="M100" s="430">
        <f t="shared" si="21"/>
        <v>1.5243409999999993</v>
      </c>
      <c r="N100" s="430">
        <f t="shared" si="21"/>
        <v>0.87034800000000079</v>
      </c>
      <c r="O100" s="430">
        <f t="shared" si="21"/>
        <v>1.8535439999999987</v>
      </c>
      <c r="P100" s="430">
        <f t="shared" si="21"/>
        <v>3.8520000000000033E-2</v>
      </c>
      <c r="Q100" s="430">
        <f t="shared" si="21"/>
        <v>0</v>
      </c>
      <c r="R100" s="430">
        <f t="shared" si="21"/>
        <v>0</v>
      </c>
      <c r="S100" s="430">
        <f t="shared" si="21"/>
        <v>0</v>
      </c>
      <c r="T100" s="430">
        <f t="shared" si="21"/>
        <v>0</v>
      </c>
      <c r="U100" s="430">
        <f t="shared" si="21"/>
        <v>0</v>
      </c>
      <c r="V100" s="430">
        <f t="shared" si="21"/>
        <v>0</v>
      </c>
      <c r="W100" s="430">
        <f t="shared" si="21"/>
        <v>0</v>
      </c>
      <c r="X100" s="430">
        <f t="shared" si="21"/>
        <v>0</v>
      </c>
      <c r="Y100" s="424"/>
    </row>
    <row r="101" spans="1:26" ht="13.5" thickBot="1" x14ac:dyDescent="0.25">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row>
    <row r="102" spans="1:26" ht="13.5" thickBot="1" x14ac:dyDescent="0.25">
      <c r="A102" s="416" t="s">
        <v>542</v>
      </c>
      <c r="B102" s="414">
        <f>ROW(A102)</f>
        <v>102</v>
      </c>
      <c r="C102" s="418" t="s">
        <v>116</v>
      </c>
      <c r="D102" s="408">
        <f>SUM(B105:Y105)</f>
        <v>59.885967000000008</v>
      </c>
      <c r="E102" s="418" t="s">
        <v>115</v>
      </c>
      <c r="F102" s="409">
        <f>D102/g/J102</f>
        <v>118.30588744280874</v>
      </c>
      <c r="G102" s="418" t="s">
        <v>57</v>
      </c>
      <c r="H102" s="86">
        <f>H92*3</f>
        <v>8.4599999999999995E-2</v>
      </c>
      <c r="I102" s="418" t="s">
        <v>272</v>
      </c>
      <c r="J102" s="410">
        <f>H102-L102</f>
        <v>5.1599999999999993E-2</v>
      </c>
      <c r="K102" s="418" t="s">
        <v>273</v>
      </c>
      <c r="L102" s="86">
        <f>L92*3</f>
        <v>3.3000000000000002E-2</v>
      </c>
      <c r="M102" s="418" t="s">
        <v>58</v>
      </c>
      <c r="N102" s="87">
        <v>30</v>
      </c>
      <c r="O102" s="418" t="s">
        <v>60</v>
      </c>
      <c r="P102" s="87">
        <v>30</v>
      </c>
      <c r="Q102" s="418" t="s">
        <v>61</v>
      </c>
      <c r="R102" s="87">
        <v>70</v>
      </c>
      <c r="S102" s="418" t="s">
        <v>62</v>
      </c>
      <c r="T102" s="87">
        <v>40</v>
      </c>
      <c r="U102" s="418" t="s">
        <v>55</v>
      </c>
      <c r="V102" s="88" t="s">
        <v>403</v>
      </c>
      <c r="W102" s="546" t="s">
        <v>396</v>
      </c>
      <c r="X102" s="548">
        <v>2.1</v>
      </c>
      <c r="Y102" s="546" t="s">
        <v>395</v>
      </c>
      <c r="Z102" s="413">
        <v>7</v>
      </c>
    </row>
    <row r="103" spans="1:26" x14ac:dyDescent="0.2">
      <c r="A103" s="417" t="s">
        <v>33</v>
      </c>
      <c r="B103" s="425">
        <v>0</v>
      </c>
      <c r="C103" s="426">
        <f>C93</f>
        <v>0.04</v>
      </c>
      <c r="D103" s="426">
        <f t="shared" ref="D103:X103" si="22">D93</f>
        <v>0.11600000000000001</v>
      </c>
      <c r="E103" s="426">
        <f t="shared" si="22"/>
        <v>0.21299999999999999</v>
      </c>
      <c r="F103" s="426">
        <f t="shared" si="22"/>
        <v>0.28599999999999998</v>
      </c>
      <c r="G103" s="426">
        <f t="shared" si="22"/>
        <v>0.32900000000000001</v>
      </c>
      <c r="H103" s="426">
        <f t="shared" si="22"/>
        <v>0.36899999999999999</v>
      </c>
      <c r="I103" s="426">
        <f t="shared" si="22"/>
        <v>0.42</v>
      </c>
      <c r="J103" s="426">
        <f t="shared" si="22"/>
        <v>0.495</v>
      </c>
      <c r="K103" s="426">
        <f t="shared" si="22"/>
        <v>0.59699999999999998</v>
      </c>
      <c r="L103" s="426">
        <f t="shared" si="22"/>
        <v>1.7110000000000001</v>
      </c>
      <c r="M103" s="426">
        <f t="shared" si="22"/>
        <v>1.8260000000000001</v>
      </c>
      <c r="N103" s="426">
        <f t="shared" si="22"/>
        <v>1.917</v>
      </c>
      <c r="O103" s="426">
        <f t="shared" si="22"/>
        <v>1.9750000000000001</v>
      </c>
      <c r="P103" s="426">
        <f t="shared" si="22"/>
        <v>2.206</v>
      </c>
      <c r="Q103" s="426">
        <f t="shared" si="22"/>
        <v>2.242</v>
      </c>
      <c r="R103" s="426">
        <f t="shared" si="22"/>
        <v>2.5</v>
      </c>
      <c r="S103" s="426">
        <f t="shared" si="22"/>
        <v>2.5</v>
      </c>
      <c r="T103" s="426">
        <f t="shared" si="22"/>
        <v>2.5</v>
      </c>
      <c r="U103" s="426">
        <f t="shared" si="22"/>
        <v>2.5</v>
      </c>
      <c r="V103" s="426">
        <f t="shared" si="22"/>
        <v>2.5</v>
      </c>
      <c r="W103" s="426">
        <f t="shared" si="22"/>
        <v>2.5</v>
      </c>
      <c r="X103" s="426">
        <f t="shared" si="22"/>
        <v>2.5</v>
      </c>
      <c r="Y103" s="437">
        <v>1000</v>
      </c>
    </row>
    <row r="104" spans="1:26" x14ac:dyDescent="0.2">
      <c r="A104" s="434" t="s">
        <v>34</v>
      </c>
      <c r="B104" s="427">
        <f>B94*3</f>
        <v>0</v>
      </c>
      <c r="C104" s="428">
        <f t="shared" ref="C104:X104" si="23">C94*3</f>
        <v>6.3330000000000002</v>
      </c>
      <c r="D104" s="428">
        <f t="shared" si="23"/>
        <v>29.055</v>
      </c>
      <c r="E104" s="428">
        <f t="shared" si="23"/>
        <v>75</v>
      </c>
      <c r="F104" s="428">
        <f t="shared" si="23"/>
        <v>47.213999999999999</v>
      </c>
      <c r="G104" s="428">
        <f t="shared" si="23"/>
        <v>37.415999999999997</v>
      </c>
      <c r="H104" s="428">
        <f t="shared" si="23"/>
        <v>32.01</v>
      </c>
      <c r="I104" s="428">
        <f t="shared" si="23"/>
        <v>29.138999999999996</v>
      </c>
      <c r="J104" s="428">
        <f t="shared" si="23"/>
        <v>27.534000000000002</v>
      </c>
      <c r="K104" s="428">
        <f t="shared" si="23"/>
        <v>26.688000000000002</v>
      </c>
      <c r="L104" s="428">
        <f t="shared" si="23"/>
        <v>26.775000000000002</v>
      </c>
      <c r="M104" s="428">
        <f t="shared" si="23"/>
        <v>26.097000000000001</v>
      </c>
      <c r="N104" s="428">
        <f t="shared" si="23"/>
        <v>24.155999999999999</v>
      </c>
      <c r="O104" s="428">
        <f t="shared" si="23"/>
        <v>20.861999999999998</v>
      </c>
      <c r="P104" s="428">
        <f t="shared" si="23"/>
        <v>3.21</v>
      </c>
      <c r="Q104" s="428">
        <f t="shared" si="23"/>
        <v>0</v>
      </c>
      <c r="R104" s="428">
        <f t="shared" si="23"/>
        <v>0</v>
      </c>
      <c r="S104" s="428">
        <f t="shared" si="23"/>
        <v>0</v>
      </c>
      <c r="T104" s="428">
        <f t="shared" si="23"/>
        <v>0</v>
      </c>
      <c r="U104" s="428">
        <f t="shared" si="23"/>
        <v>0</v>
      </c>
      <c r="V104" s="428">
        <f t="shared" si="23"/>
        <v>0</v>
      </c>
      <c r="W104" s="428">
        <f t="shared" si="23"/>
        <v>0</v>
      </c>
      <c r="X104" s="428">
        <f t="shared" si="23"/>
        <v>0</v>
      </c>
      <c r="Y104" s="438">
        <v>0</v>
      </c>
    </row>
    <row r="105" spans="1:26" ht="13.5" thickBot="1" x14ac:dyDescent="0.25">
      <c r="A105" s="435" t="s">
        <v>117</v>
      </c>
      <c r="B105" s="429">
        <f t="shared" ref="B105:X105" si="24">(C104+B104)*(C103-B103)/2</f>
        <v>0.12665999999999999</v>
      </c>
      <c r="C105" s="430">
        <f t="shared" si="24"/>
        <v>1.3447440000000002</v>
      </c>
      <c r="D105" s="430">
        <f t="shared" si="24"/>
        <v>5.0466674999999999</v>
      </c>
      <c r="E105" s="430">
        <f t="shared" si="24"/>
        <v>4.4608109999999987</v>
      </c>
      <c r="F105" s="430">
        <f t="shared" si="24"/>
        <v>1.8195450000000015</v>
      </c>
      <c r="G105" s="430">
        <f t="shared" si="24"/>
        <v>1.3885199999999991</v>
      </c>
      <c r="H105" s="430">
        <f t="shared" si="24"/>
        <v>1.5592994999999996</v>
      </c>
      <c r="I105" s="430">
        <f t="shared" si="24"/>
        <v>2.1252375000000003</v>
      </c>
      <c r="J105" s="430">
        <f t="shared" si="24"/>
        <v>2.7653219999999998</v>
      </c>
      <c r="K105" s="430">
        <f t="shared" si="24"/>
        <v>29.778891000000009</v>
      </c>
      <c r="L105" s="430">
        <f t="shared" si="24"/>
        <v>3.0401399999999996</v>
      </c>
      <c r="M105" s="430">
        <f t="shared" si="24"/>
        <v>2.2865114999999991</v>
      </c>
      <c r="N105" s="430">
        <f t="shared" si="24"/>
        <v>1.3055220000000012</v>
      </c>
      <c r="O105" s="430">
        <f t="shared" si="24"/>
        <v>2.7803159999999982</v>
      </c>
      <c r="P105" s="430">
        <f t="shared" si="24"/>
        <v>5.7780000000000054E-2</v>
      </c>
      <c r="Q105" s="430">
        <f t="shared" si="24"/>
        <v>0</v>
      </c>
      <c r="R105" s="430">
        <f t="shared" si="24"/>
        <v>0</v>
      </c>
      <c r="S105" s="430">
        <f t="shared" si="24"/>
        <v>0</v>
      </c>
      <c r="T105" s="430">
        <f t="shared" si="24"/>
        <v>0</v>
      </c>
      <c r="U105" s="430">
        <f t="shared" si="24"/>
        <v>0</v>
      </c>
      <c r="V105" s="430">
        <f t="shared" si="24"/>
        <v>0</v>
      </c>
      <c r="W105" s="430">
        <f t="shared" si="24"/>
        <v>0</v>
      </c>
      <c r="X105" s="430">
        <f t="shared" si="24"/>
        <v>0</v>
      </c>
      <c r="Y105" s="424"/>
    </row>
    <row r="107" spans="1:26" ht="13.5" thickBot="1" x14ac:dyDescent="0.25">
      <c r="A107" s="492" t="s">
        <v>318</v>
      </c>
    </row>
    <row r="108" spans="1:26" ht="13.5" thickBot="1" x14ac:dyDescent="0.25">
      <c r="A108" s="416" t="s">
        <v>321</v>
      </c>
      <c r="B108" s="414">
        <f>ROW(A108)</f>
        <v>108</v>
      </c>
      <c r="C108" s="418" t="s">
        <v>116</v>
      </c>
      <c r="D108" s="408">
        <f>SUM(B111:Y111)</f>
        <v>24.269519000000003</v>
      </c>
      <c r="E108" s="418" t="s">
        <v>115</v>
      </c>
      <c r="F108" s="409">
        <f>D108/g/J108</f>
        <v>154.62231778797147</v>
      </c>
      <c r="G108" s="418" t="s">
        <v>57</v>
      </c>
      <c r="H108" s="86">
        <v>5.1999999999999998E-2</v>
      </c>
      <c r="I108" s="418" t="s">
        <v>272</v>
      </c>
      <c r="J108" s="410">
        <f>H108-L108</f>
        <v>1.6E-2</v>
      </c>
      <c r="K108" s="418" t="s">
        <v>273</v>
      </c>
      <c r="L108" s="86">
        <v>3.5999999999999997E-2</v>
      </c>
      <c r="M108" s="418" t="s">
        <v>58</v>
      </c>
      <c r="N108" s="457">
        <v>35</v>
      </c>
      <c r="O108" s="418" t="s">
        <v>60</v>
      </c>
      <c r="P108" s="457">
        <v>35</v>
      </c>
      <c r="Q108" s="418" t="s">
        <v>61</v>
      </c>
      <c r="R108" s="87">
        <v>69</v>
      </c>
      <c r="S108" s="418" t="s">
        <v>62</v>
      </c>
      <c r="T108" s="87">
        <v>24</v>
      </c>
      <c r="U108" s="418" t="s">
        <v>55</v>
      </c>
      <c r="V108" s="88" t="s">
        <v>401</v>
      </c>
      <c r="W108" s="546" t="s">
        <v>396</v>
      </c>
      <c r="X108" s="548">
        <v>1</v>
      </c>
      <c r="Y108" s="546" t="s">
        <v>395</v>
      </c>
      <c r="Z108" s="413">
        <v>13</v>
      </c>
    </row>
    <row r="109" spans="1:26" x14ac:dyDescent="0.2">
      <c r="A109" s="417" t="s">
        <v>33</v>
      </c>
      <c r="B109" s="425">
        <v>0</v>
      </c>
      <c r="C109" s="426">
        <v>8.0000000000000002E-3</v>
      </c>
      <c r="D109" s="426">
        <v>2.5999999999999999E-2</v>
      </c>
      <c r="E109" s="426">
        <v>3.7999999999999999E-2</v>
      </c>
      <c r="F109" s="426">
        <v>6.7000000000000004E-2</v>
      </c>
      <c r="G109" s="426">
        <v>0.10100000000000001</v>
      </c>
      <c r="H109" s="426">
        <v>0.33</v>
      </c>
      <c r="I109" s="426">
        <v>0.52800000000000002</v>
      </c>
      <c r="J109" s="426">
        <v>0.71599999999999997</v>
      </c>
      <c r="K109" s="426">
        <v>0.84099999999999997</v>
      </c>
      <c r="L109" s="426">
        <v>0.91200000000000003</v>
      </c>
      <c r="M109" s="426">
        <v>0.98699999999999999</v>
      </c>
      <c r="N109" s="426">
        <v>1.016</v>
      </c>
      <c r="O109" s="426">
        <v>1.0649999999999999</v>
      </c>
      <c r="P109" s="426">
        <v>1.087</v>
      </c>
      <c r="Q109" s="442">
        <v>2</v>
      </c>
      <c r="R109" s="442">
        <v>2</v>
      </c>
      <c r="S109" s="442">
        <v>2</v>
      </c>
      <c r="T109" s="442">
        <v>2</v>
      </c>
      <c r="U109" s="442">
        <v>2</v>
      </c>
      <c r="V109" s="442">
        <v>2</v>
      </c>
      <c r="W109" s="442">
        <v>2</v>
      </c>
      <c r="X109" s="442">
        <v>2</v>
      </c>
      <c r="Y109" s="444">
        <v>1000</v>
      </c>
    </row>
    <row r="110" spans="1:26" x14ac:dyDescent="0.2">
      <c r="A110" s="434" t="s">
        <v>34</v>
      </c>
      <c r="B110" s="427">
        <v>0</v>
      </c>
      <c r="C110" s="428">
        <v>18.292000000000002</v>
      </c>
      <c r="D110" s="428">
        <v>30</v>
      </c>
      <c r="E110" s="428">
        <v>30.792000000000002</v>
      </c>
      <c r="F110" s="428">
        <v>18.707999999999998</v>
      </c>
      <c r="G110" s="428">
        <v>21.875</v>
      </c>
      <c r="H110" s="428">
        <v>26.082999999999998</v>
      </c>
      <c r="I110" s="428">
        <v>28.042000000000002</v>
      </c>
      <c r="J110" s="428">
        <v>27.875</v>
      </c>
      <c r="K110" s="428">
        <v>23.542000000000002</v>
      </c>
      <c r="L110" s="428">
        <v>17.832999999999998</v>
      </c>
      <c r="M110" s="428">
        <v>7</v>
      </c>
      <c r="N110" s="428">
        <v>3.3330000000000002</v>
      </c>
      <c r="O110" s="428">
        <v>1.083</v>
      </c>
      <c r="P110" s="428">
        <v>0</v>
      </c>
      <c r="Q110" s="433">
        <v>0</v>
      </c>
      <c r="R110" s="433">
        <v>0</v>
      </c>
      <c r="S110" s="433">
        <v>0</v>
      </c>
      <c r="T110" s="433">
        <f>S110</f>
        <v>0</v>
      </c>
      <c r="U110" s="433">
        <f>T110</f>
        <v>0</v>
      </c>
      <c r="V110" s="433">
        <f>U110</f>
        <v>0</v>
      </c>
      <c r="W110" s="433">
        <f>V110</f>
        <v>0</v>
      </c>
      <c r="X110" s="433">
        <f>W110</f>
        <v>0</v>
      </c>
      <c r="Y110" s="439">
        <v>0</v>
      </c>
    </row>
    <row r="111" spans="1:26" ht="13.5" thickBot="1" x14ac:dyDescent="0.25">
      <c r="A111" s="435" t="s">
        <v>117</v>
      </c>
      <c r="B111" s="429">
        <f t="shared" ref="B111:V111" si="25">(C110+B110)*(C109-B109)/2</f>
        <v>7.3168000000000011E-2</v>
      </c>
      <c r="C111" s="430">
        <f t="shared" si="25"/>
        <v>0.43462799999999996</v>
      </c>
      <c r="D111" s="430">
        <f t="shared" si="25"/>
        <v>0.36475200000000002</v>
      </c>
      <c r="E111" s="430">
        <f t="shared" si="25"/>
        <v>0.71775000000000011</v>
      </c>
      <c r="F111" s="430">
        <f t="shared" si="25"/>
        <v>0.68991100000000005</v>
      </c>
      <c r="G111" s="430">
        <f t="shared" si="25"/>
        <v>5.4911909999999997</v>
      </c>
      <c r="H111" s="430">
        <f t="shared" si="25"/>
        <v>5.3583750000000006</v>
      </c>
      <c r="I111" s="430">
        <f t="shared" si="25"/>
        <v>5.2561979999999986</v>
      </c>
      <c r="J111" s="430">
        <f>(K110+J110)*(K109-J109)/2</f>
        <v>3.2135625000000001</v>
      </c>
      <c r="K111" s="430">
        <f t="shared" si="25"/>
        <v>1.4688125000000014</v>
      </c>
      <c r="L111" s="430">
        <f t="shared" si="25"/>
        <v>0.93123749999999939</v>
      </c>
      <c r="M111" s="430">
        <f t="shared" si="25"/>
        <v>0.14982850000000014</v>
      </c>
      <c r="N111" s="430">
        <f t="shared" si="25"/>
        <v>0.10819199999999986</v>
      </c>
      <c r="O111" s="430">
        <f t="shared" si="25"/>
        <v>1.191300000000001E-2</v>
      </c>
      <c r="P111" s="430">
        <f t="shared" si="25"/>
        <v>0</v>
      </c>
      <c r="Q111" s="430">
        <f t="shared" si="25"/>
        <v>0</v>
      </c>
      <c r="R111" s="430">
        <f t="shared" si="25"/>
        <v>0</v>
      </c>
      <c r="S111" s="430">
        <f>(T110+S110)*(T109-S109)/2</f>
        <v>0</v>
      </c>
      <c r="T111" s="430">
        <f t="shared" si="25"/>
        <v>0</v>
      </c>
      <c r="U111" s="430">
        <f t="shared" si="25"/>
        <v>0</v>
      </c>
      <c r="V111" s="430">
        <f t="shared" si="25"/>
        <v>0</v>
      </c>
      <c r="W111" s="430">
        <f>(X110+W110)*(X109-W109)/2</f>
        <v>0</v>
      </c>
      <c r="X111" s="430">
        <f>(Y110+X110)*(Y109-X109)/2</f>
        <v>0</v>
      </c>
      <c r="Y111" s="424"/>
    </row>
    <row r="112" spans="1:26" ht="13.5" thickBot="1" x14ac:dyDescent="0.25"/>
    <row r="113" spans="1:26" ht="13.5" thickBot="1" x14ac:dyDescent="0.25">
      <c r="A113" s="416" t="s">
        <v>419</v>
      </c>
      <c r="B113" s="414">
        <f>ROW(A113)</f>
        <v>113</v>
      </c>
      <c r="C113" s="418" t="s">
        <v>116</v>
      </c>
      <c r="D113" s="408">
        <f>SUM(B116:Y116)</f>
        <v>24.488898000000002</v>
      </c>
      <c r="E113" s="418" t="s">
        <v>115</v>
      </c>
      <c r="F113" s="409">
        <f>D113/g/J113</f>
        <v>121.771701350041</v>
      </c>
      <c r="G113" s="418" t="s">
        <v>57</v>
      </c>
      <c r="H113" s="86">
        <v>5.6500000000000002E-2</v>
      </c>
      <c r="I113" s="418" t="s">
        <v>272</v>
      </c>
      <c r="J113" s="410">
        <f>H113-L113</f>
        <v>2.0500000000000004E-2</v>
      </c>
      <c r="K113" s="418" t="s">
        <v>273</v>
      </c>
      <c r="L113" s="86">
        <v>3.5999999999999997E-2</v>
      </c>
      <c r="M113" s="418" t="s">
        <v>58</v>
      </c>
      <c r="N113" s="457">
        <v>35</v>
      </c>
      <c r="O113" s="418" t="s">
        <v>60</v>
      </c>
      <c r="P113" s="457">
        <v>35</v>
      </c>
      <c r="Q113" s="418" t="s">
        <v>61</v>
      </c>
      <c r="R113" s="87">
        <v>69</v>
      </c>
      <c r="S113" s="418" t="s">
        <v>62</v>
      </c>
      <c r="T113" s="87">
        <v>24</v>
      </c>
      <c r="U113" s="418" t="s">
        <v>55</v>
      </c>
      <c r="V113" s="88" t="s">
        <v>402</v>
      </c>
      <c r="W113" s="546" t="s">
        <v>396</v>
      </c>
      <c r="X113" s="548">
        <v>0.33</v>
      </c>
      <c r="Y113" s="546" t="s">
        <v>395</v>
      </c>
      <c r="Z113" s="413">
        <v>17</v>
      </c>
    </row>
    <row r="114" spans="1:26" x14ac:dyDescent="0.2">
      <c r="A114" s="417" t="s">
        <v>33</v>
      </c>
      <c r="B114" s="425">
        <v>0</v>
      </c>
      <c r="C114" s="426">
        <v>8.9999999999999993E-3</v>
      </c>
      <c r="D114" s="426">
        <v>1.2E-2</v>
      </c>
      <c r="E114" s="426">
        <v>2.3E-2</v>
      </c>
      <c r="F114" s="426">
        <v>2.7E-2</v>
      </c>
      <c r="G114" s="426">
        <v>4.7E-2</v>
      </c>
      <c r="H114" s="426">
        <v>9.1999999999999998E-2</v>
      </c>
      <c r="I114" s="426">
        <v>0.11799999999999999</v>
      </c>
      <c r="J114" s="426">
        <v>0.14099999999999999</v>
      </c>
      <c r="K114" s="426">
        <v>0.192</v>
      </c>
      <c r="L114" s="426">
        <v>0.222</v>
      </c>
      <c r="M114" s="426">
        <v>0.25</v>
      </c>
      <c r="N114" s="426">
        <v>0.26</v>
      </c>
      <c r="O114" s="426">
        <v>0.28100000000000003</v>
      </c>
      <c r="P114" s="426">
        <v>0.28699999999999998</v>
      </c>
      <c r="Q114" s="426">
        <v>0.30599999999999999</v>
      </c>
      <c r="R114" s="426">
        <v>0.314</v>
      </c>
      <c r="S114" s="426">
        <v>0.32600000000000001</v>
      </c>
      <c r="T114" s="426">
        <v>0.32900000000000001</v>
      </c>
      <c r="U114" s="442">
        <v>0.5</v>
      </c>
      <c r="V114" s="442">
        <v>1</v>
      </c>
      <c r="W114" s="442">
        <v>2</v>
      </c>
      <c r="X114" s="442">
        <v>2</v>
      </c>
      <c r="Y114" s="444">
        <v>1000</v>
      </c>
    </row>
    <row r="115" spans="1:26" x14ac:dyDescent="0.2">
      <c r="A115" s="434" t="s">
        <v>34</v>
      </c>
      <c r="B115" s="427">
        <v>0</v>
      </c>
      <c r="C115" s="428">
        <v>84.212999999999994</v>
      </c>
      <c r="D115" s="428">
        <v>95.099000000000004</v>
      </c>
      <c r="E115" s="428">
        <v>77.08</v>
      </c>
      <c r="F115" s="428">
        <v>68.697000000000003</v>
      </c>
      <c r="G115" s="428">
        <v>73.451999999999998</v>
      </c>
      <c r="H115" s="428">
        <v>81.834999999999994</v>
      </c>
      <c r="I115" s="428">
        <v>83.837000000000003</v>
      </c>
      <c r="J115" s="428">
        <v>86.465000000000003</v>
      </c>
      <c r="K115" s="428">
        <v>86.965999999999994</v>
      </c>
      <c r="L115" s="428">
        <v>85.338999999999999</v>
      </c>
      <c r="M115" s="428">
        <v>80.082999999999998</v>
      </c>
      <c r="N115" s="428">
        <v>78.331999999999994</v>
      </c>
      <c r="O115" s="428">
        <v>82.960999999999999</v>
      </c>
      <c r="P115" s="428">
        <v>78.206000000000003</v>
      </c>
      <c r="Q115" s="428">
        <v>24.776</v>
      </c>
      <c r="R115" s="428">
        <v>14.14</v>
      </c>
      <c r="S115" s="428">
        <v>8.5090000000000003</v>
      </c>
      <c r="T115" s="428">
        <v>0</v>
      </c>
      <c r="U115" s="433">
        <f>T115</f>
        <v>0</v>
      </c>
      <c r="V115" s="433">
        <f>U115</f>
        <v>0</v>
      </c>
      <c r="W115" s="433">
        <f>V115</f>
        <v>0</v>
      </c>
      <c r="X115" s="433">
        <f>W115</f>
        <v>0</v>
      </c>
      <c r="Y115" s="439">
        <v>0</v>
      </c>
    </row>
    <row r="116" spans="1:26" ht="13.5" thickBot="1" x14ac:dyDescent="0.25">
      <c r="A116" s="435" t="s">
        <v>117</v>
      </c>
      <c r="B116" s="429">
        <f t="shared" ref="B116:V116" si="26">(C115+B115)*(C114-B114)/2</f>
        <v>0.37895849999999992</v>
      </c>
      <c r="C116" s="430">
        <f t="shared" si="26"/>
        <v>0.2689680000000001</v>
      </c>
      <c r="D116" s="430">
        <f t="shared" si="26"/>
        <v>0.94698450000000001</v>
      </c>
      <c r="E116" s="430">
        <f t="shared" si="26"/>
        <v>0.29155399999999998</v>
      </c>
      <c r="F116" s="430">
        <f t="shared" si="26"/>
        <v>1.4214900000000001</v>
      </c>
      <c r="G116" s="430">
        <f t="shared" si="26"/>
        <v>3.4939574999999992</v>
      </c>
      <c r="H116" s="430">
        <f t="shared" si="26"/>
        <v>2.1537359999999994</v>
      </c>
      <c r="I116" s="430">
        <f t="shared" si="26"/>
        <v>1.9584729999999997</v>
      </c>
      <c r="J116" s="430">
        <f>(K115+J115)*(K114-J114)/2</f>
        <v>4.4224905000000012</v>
      </c>
      <c r="K116" s="430">
        <f t="shared" si="26"/>
        <v>2.5845750000000001</v>
      </c>
      <c r="L116" s="430">
        <f t="shared" si="26"/>
        <v>2.3159079999999999</v>
      </c>
      <c r="M116" s="430">
        <f t="shared" si="26"/>
        <v>0.79207500000000064</v>
      </c>
      <c r="N116" s="430">
        <f t="shared" si="26"/>
        <v>1.6935765000000016</v>
      </c>
      <c r="O116" s="430">
        <f t="shared" si="26"/>
        <v>0.48350099999999596</v>
      </c>
      <c r="P116" s="430">
        <f t="shared" si="26"/>
        <v>0.97832900000000089</v>
      </c>
      <c r="Q116" s="430">
        <f t="shared" si="26"/>
        <v>0.15566400000000014</v>
      </c>
      <c r="R116" s="430">
        <f t="shared" si="26"/>
        <v>0.13589400000000013</v>
      </c>
      <c r="S116" s="430">
        <f>(T115+S115)*(T114-S114)/2</f>
        <v>1.2763500000000013E-2</v>
      </c>
      <c r="T116" s="430">
        <f t="shared" si="26"/>
        <v>0</v>
      </c>
      <c r="U116" s="430">
        <f t="shared" si="26"/>
        <v>0</v>
      </c>
      <c r="V116" s="430">
        <f t="shared" si="26"/>
        <v>0</v>
      </c>
      <c r="W116" s="430">
        <f>(X115+W115)*(X114-W114)/2</f>
        <v>0</v>
      </c>
      <c r="X116" s="430">
        <f>(Y115+X115)*(Y114-X114)/2</f>
        <v>0</v>
      </c>
      <c r="Y116" s="424"/>
    </row>
    <row r="117" spans="1:26" ht="13.5" thickBot="1" x14ac:dyDescent="0.25"/>
    <row r="118" spans="1:26" ht="13.5" thickBot="1" x14ac:dyDescent="0.25">
      <c r="A118" s="416" t="s">
        <v>322</v>
      </c>
      <c r="B118" s="414">
        <f>ROW(A118)</f>
        <v>118</v>
      </c>
      <c r="C118" s="418" t="s">
        <v>116</v>
      </c>
      <c r="D118" s="408">
        <f>SUM(B121:Y121)</f>
        <v>26.083982500000001</v>
      </c>
      <c r="E118" s="418" t="s">
        <v>115</v>
      </c>
      <c r="F118" s="409">
        <f>D118/g/J118</f>
        <v>166.18235537716615</v>
      </c>
      <c r="G118" s="418" t="s">
        <v>57</v>
      </c>
      <c r="H118" s="86">
        <v>5.1999999999999998E-2</v>
      </c>
      <c r="I118" s="418" t="s">
        <v>272</v>
      </c>
      <c r="J118" s="410">
        <f>H118-L118</f>
        <v>1.6E-2</v>
      </c>
      <c r="K118" s="418" t="s">
        <v>273</v>
      </c>
      <c r="L118" s="86">
        <v>3.5999999999999997E-2</v>
      </c>
      <c r="M118" s="418" t="s">
        <v>58</v>
      </c>
      <c r="N118" s="457">
        <v>35</v>
      </c>
      <c r="O118" s="418" t="s">
        <v>60</v>
      </c>
      <c r="P118" s="457">
        <v>35</v>
      </c>
      <c r="Q118" s="418" t="s">
        <v>61</v>
      </c>
      <c r="R118" s="87">
        <v>69</v>
      </c>
      <c r="S118" s="418" t="s">
        <v>62</v>
      </c>
      <c r="T118" s="87">
        <v>24</v>
      </c>
      <c r="U118" s="418" t="s">
        <v>55</v>
      </c>
      <c r="V118" s="88" t="s">
        <v>401</v>
      </c>
      <c r="W118" s="546" t="s">
        <v>396</v>
      </c>
      <c r="X118" s="548">
        <v>0.85</v>
      </c>
      <c r="Y118" s="546" t="s">
        <v>395</v>
      </c>
      <c r="Z118" s="413">
        <v>15</v>
      </c>
    </row>
    <row r="119" spans="1:26" x14ac:dyDescent="0.2">
      <c r="A119" s="417" t="s">
        <v>33</v>
      </c>
      <c r="B119" s="425">
        <v>0</v>
      </c>
      <c r="C119" s="426">
        <v>0.02</v>
      </c>
      <c r="D119" s="426">
        <v>2.7E-2</v>
      </c>
      <c r="E119" s="426">
        <v>4.9000000000000002E-2</v>
      </c>
      <c r="F119" s="426">
        <v>0.113</v>
      </c>
      <c r="G119" s="426">
        <v>0.193</v>
      </c>
      <c r="H119" s="426">
        <v>0.28199999999999997</v>
      </c>
      <c r="I119" s="426">
        <v>0.5</v>
      </c>
      <c r="J119" s="426">
        <v>0.72699999999999998</v>
      </c>
      <c r="K119" s="426">
        <v>0.77100000000000002</v>
      </c>
      <c r="L119" s="426">
        <v>0.80700000000000005</v>
      </c>
      <c r="M119" s="426">
        <v>0.84</v>
      </c>
      <c r="N119" s="426">
        <v>0.87</v>
      </c>
      <c r="O119" s="442">
        <v>1</v>
      </c>
      <c r="P119" s="442">
        <v>1</v>
      </c>
      <c r="Q119" s="442">
        <v>1</v>
      </c>
      <c r="R119" s="442">
        <v>1</v>
      </c>
      <c r="S119" s="442">
        <v>1</v>
      </c>
      <c r="T119" s="442">
        <v>1</v>
      </c>
      <c r="U119" s="442">
        <v>1</v>
      </c>
      <c r="V119" s="442">
        <v>1</v>
      </c>
      <c r="W119" s="442">
        <v>1</v>
      </c>
      <c r="X119" s="442">
        <v>2</v>
      </c>
      <c r="Y119" s="444">
        <v>1000</v>
      </c>
    </row>
    <row r="120" spans="1:26" x14ac:dyDescent="0.2">
      <c r="A120" s="434" t="s">
        <v>34</v>
      </c>
      <c r="B120" s="427">
        <v>0</v>
      </c>
      <c r="C120" s="428">
        <v>43.823999999999998</v>
      </c>
      <c r="D120" s="428">
        <v>39.963999999999999</v>
      </c>
      <c r="E120" s="428">
        <v>26.780999999999999</v>
      </c>
      <c r="F120" s="428">
        <v>32.600999999999999</v>
      </c>
      <c r="G120" s="428">
        <v>34.738999999999997</v>
      </c>
      <c r="H120" s="428">
        <v>35.808</v>
      </c>
      <c r="I120" s="428">
        <v>34.442</v>
      </c>
      <c r="J120" s="428">
        <v>29.276</v>
      </c>
      <c r="K120" s="428">
        <v>22.742999999999999</v>
      </c>
      <c r="L120" s="428">
        <v>9.5609999999999999</v>
      </c>
      <c r="M120" s="428">
        <v>3.5630000000000002</v>
      </c>
      <c r="N120" s="428">
        <v>0</v>
      </c>
      <c r="O120" s="433">
        <v>0</v>
      </c>
      <c r="P120" s="433">
        <v>0</v>
      </c>
      <c r="Q120" s="433">
        <v>0</v>
      </c>
      <c r="R120" s="433">
        <v>0</v>
      </c>
      <c r="S120" s="433">
        <v>0</v>
      </c>
      <c r="T120" s="433">
        <f>S120</f>
        <v>0</v>
      </c>
      <c r="U120" s="433">
        <f>T120</f>
        <v>0</v>
      </c>
      <c r="V120" s="433">
        <f>U120</f>
        <v>0</v>
      </c>
      <c r="W120" s="433">
        <f>V120</f>
        <v>0</v>
      </c>
      <c r="X120" s="433">
        <f>W120</f>
        <v>0</v>
      </c>
      <c r="Y120" s="439">
        <v>0</v>
      </c>
    </row>
    <row r="121" spans="1:26" ht="13.5" thickBot="1" x14ac:dyDescent="0.25">
      <c r="A121" s="435" t="s">
        <v>117</v>
      </c>
      <c r="B121" s="429">
        <f t="shared" ref="B121:V121" si="27">(C120+B120)*(C119-B119)/2</f>
        <v>0.43823999999999996</v>
      </c>
      <c r="C121" s="430">
        <f t="shared" si="27"/>
        <v>0.29325799999999996</v>
      </c>
      <c r="D121" s="430">
        <f t="shared" si="27"/>
        <v>0.73419500000000015</v>
      </c>
      <c r="E121" s="430">
        <f t="shared" si="27"/>
        <v>1.9002239999999999</v>
      </c>
      <c r="F121" s="430">
        <f t="shared" si="27"/>
        <v>2.6936</v>
      </c>
      <c r="G121" s="430">
        <f t="shared" si="27"/>
        <v>3.1393414999999987</v>
      </c>
      <c r="H121" s="430">
        <f t="shared" si="27"/>
        <v>7.6572500000000012</v>
      </c>
      <c r="I121" s="430">
        <f t="shared" si="27"/>
        <v>7.2319930000000001</v>
      </c>
      <c r="J121" s="430">
        <f>(K120+J120)*(K119-J119)/2</f>
        <v>1.144418000000001</v>
      </c>
      <c r="K121" s="430">
        <f t="shared" si="27"/>
        <v>0.58147200000000054</v>
      </c>
      <c r="L121" s="430">
        <f t="shared" si="27"/>
        <v>0.21654599999999946</v>
      </c>
      <c r="M121" s="430">
        <f t="shared" si="27"/>
        <v>5.3445000000000048E-2</v>
      </c>
      <c r="N121" s="430">
        <f t="shared" si="27"/>
        <v>0</v>
      </c>
      <c r="O121" s="430">
        <f t="shared" si="27"/>
        <v>0</v>
      </c>
      <c r="P121" s="430">
        <f t="shared" si="27"/>
        <v>0</v>
      </c>
      <c r="Q121" s="430">
        <f t="shared" si="27"/>
        <v>0</v>
      </c>
      <c r="R121" s="430">
        <f t="shared" si="27"/>
        <v>0</v>
      </c>
      <c r="S121" s="430">
        <f>(T120+S120)*(T119-S119)/2</f>
        <v>0</v>
      </c>
      <c r="T121" s="430">
        <f t="shared" si="27"/>
        <v>0</v>
      </c>
      <c r="U121" s="430">
        <f t="shared" si="27"/>
        <v>0</v>
      </c>
      <c r="V121" s="430">
        <f t="shared" si="27"/>
        <v>0</v>
      </c>
      <c r="W121" s="430">
        <f>(X120+W120)*(X119-W119)/2</f>
        <v>0</v>
      </c>
      <c r="X121" s="430">
        <f>(Y120+X120)*(Y119-X119)/2</f>
        <v>0</v>
      </c>
      <c r="Y121" s="424"/>
    </row>
    <row r="122" spans="1:26" ht="13.5" thickBot="1" x14ac:dyDescent="0.25">
      <c r="A122" s="492" t="s">
        <v>391</v>
      </c>
    </row>
    <row r="123" spans="1:26" ht="13.5" thickBot="1" x14ac:dyDescent="0.25">
      <c r="A123" s="416" t="s">
        <v>392</v>
      </c>
      <c r="B123" s="414">
        <f>ROW(A123)</f>
        <v>123</v>
      </c>
      <c r="C123" s="418" t="s">
        <v>116</v>
      </c>
      <c r="D123" s="408">
        <f>SUM(B126:Y126)</f>
        <v>49.788765499999997</v>
      </c>
      <c r="E123" s="418" t="s">
        <v>115</v>
      </c>
      <c r="F123" s="409">
        <v>231</v>
      </c>
      <c r="G123" s="418" t="s">
        <v>57</v>
      </c>
      <c r="H123" s="86">
        <v>7.2999999999999995E-2</v>
      </c>
      <c r="I123" s="418" t="s">
        <v>272</v>
      </c>
      <c r="J123" s="410">
        <f>H123-L123</f>
        <v>2.7999999999999997E-2</v>
      </c>
      <c r="K123" s="418" t="s">
        <v>273</v>
      </c>
      <c r="L123" s="86">
        <v>4.4999999999999998E-2</v>
      </c>
      <c r="M123" s="418" t="s">
        <v>58</v>
      </c>
      <c r="N123" s="457">
        <v>50</v>
      </c>
      <c r="O123" s="418" t="s">
        <v>60</v>
      </c>
      <c r="P123" s="457">
        <v>50</v>
      </c>
      <c r="Q123" s="418" t="s">
        <v>61</v>
      </c>
      <c r="R123" s="87">
        <v>101</v>
      </c>
      <c r="S123" s="418" t="s">
        <v>62</v>
      </c>
      <c r="T123" s="87">
        <v>24</v>
      </c>
      <c r="U123" s="418" t="s">
        <v>55</v>
      </c>
      <c r="V123" s="88" t="s">
        <v>120</v>
      </c>
      <c r="W123" s="546" t="s">
        <v>396</v>
      </c>
      <c r="X123" s="548">
        <v>1</v>
      </c>
      <c r="Y123" s="546" t="s">
        <v>395</v>
      </c>
      <c r="Z123" s="413">
        <v>13</v>
      </c>
    </row>
    <row r="124" spans="1:26" x14ac:dyDescent="0.2">
      <c r="A124" s="417" t="s">
        <v>33</v>
      </c>
      <c r="B124" s="555">
        <v>0</v>
      </c>
      <c r="C124" s="555">
        <v>1E-3</v>
      </c>
      <c r="D124" s="555">
        <v>2.7E-2</v>
      </c>
      <c r="E124" s="555">
        <v>5.0999999999999997E-2</v>
      </c>
      <c r="F124" s="555">
        <v>0.06</v>
      </c>
      <c r="G124" s="555">
        <v>9.1999999999999998E-2</v>
      </c>
      <c r="H124" s="555">
        <v>0.11899999999999999</v>
      </c>
      <c r="I124" s="555">
        <v>0.17</v>
      </c>
      <c r="J124" s="555">
        <v>0.3</v>
      </c>
      <c r="K124" s="555">
        <v>0.46200000000000002</v>
      </c>
      <c r="L124" s="555">
        <v>0.56899999999999995</v>
      </c>
      <c r="M124" s="555">
        <v>0.67500000000000004</v>
      </c>
      <c r="N124" s="555">
        <v>0.77800000000000002</v>
      </c>
      <c r="O124" s="555">
        <v>0.84599999999999997</v>
      </c>
      <c r="P124" s="555">
        <v>0.91700000000000004</v>
      </c>
      <c r="Q124" s="555">
        <v>1.0089999999999999</v>
      </c>
      <c r="R124" s="555">
        <v>1.032</v>
      </c>
      <c r="S124" s="555">
        <v>1.0449999999999999</v>
      </c>
      <c r="T124" s="442">
        <v>2</v>
      </c>
      <c r="U124" s="442">
        <v>2</v>
      </c>
      <c r="V124" s="442">
        <v>2</v>
      </c>
      <c r="W124" s="442">
        <v>2</v>
      </c>
      <c r="X124" s="442">
        <v>2</v>
      </c>
      <c r="Y124" s="444">
        <v>1000</v>
      </c>
    </row>
    <row r="125" spans="1:26" x14ac:dyDescent="0.2">
      <c r="A125" s="434" t="s">
        <v>34</v>
      </c>
      <c r="B125" s="555">
        <v>0</v>
      </c>
      <c r="C125" s="555">
        <v>5.1449999999999996</v>
      </c>
      <c r="D125" s="555">
        <v>67.975999999999999</v>
      </c>
      <c r="E125" s="555">
        <v>53.807000000000002</v>
      </c>
      <c r="F125" s="555">
        <v>52.88</v>
      </c>
      <c r="G125" s="555">
        <v>55.915999999999997</v>
      </c>
      <c r="H125" s="555">
        <v>57.94</v>
      </c>
      <c r="I125" s="555">
        <v>59.710999999999999</v>
      </c>
      <c r="J125" s="555">
        <v>61.145000000000003</v>
      </c>
      <c r="K125" s="555">
        <v>58.951999999999998</v>
      </c>
      <c r="L125" s="555">
        <v>55.578000000000003</v>
      </c>
      <c r="M125" s="555">
        <v>52.204999999999998</v>
      </c>
      <c r="N125" s="555">
        <v>46.386000000000003</v>
      </c>
      <c r="O125" s="555">
        <v>38.119999999999997</v>
      </c>
      <c r="P125" s="555">
        <v>20.324999999999999</v>
      </c>
      <c r="Q125" s="555">
        <v>3.5419999999999998</v>
      </c>
      <c r="R125" s="555">
        <v>1.6020000000000001</v>
      </c>
      <c r="S125" s="555">
        <v>0</v>
      </c>
      <c r="T125" s="433">
        <f>S125</f>
        <v>0</v>
      </c>
      <c r="U125" s="433">
        <f>T125</f>
        <v>0</v>
      </c>
      <c r="V125" s="433">
        <f>U125</f>
        <v>0</v>
      </c>
      <c r="W125" s="433">
        <f>V125</f>
        <v>0</v>
      </c>
      <c r="X125" s="433">
        <f>W125</f>
        <v>0</v>
      </c>
      <c r="Y125" s="439">
        <v>0</v>
      </c>
    </row>
    <row r="126" spans="1:26" ht="13.5" thickBot="1" x14ac:dyDescent="0.25">
      <c r="A126" s="435" t="s">
        <v>117</v>
      </c>
      <c r="B126" s="429">
        <f t="shared" ref="B126:X126" si="28">(C125+B125)*(C124-B124)/2</f>
        <v>2.5724999999999997E-3</v>
      </c>
      <c r="C126" s="430">
        <f t="shared" si="28"/>
        <v>0.95057299999999989</v>
      </c>
      <c r="D126" s="430">
        <f t="shared" si="28"/>
        <v>1.4613959999999999</v>
      </c>
      <c r="E126" s="430">
        <f t="shared" si="28"/>
        <v>0.48009150000000012</v>
      </c>
      <c r="F126" s="430">
        <f t="shared" si="28"/>
        <v>1.7407359999999998</v>
      </c>
      <c r="G126" s="430">
        <f t="shared" si="28"/>
        <v>1.5370559999999998</v>
      </c>
      <c r="H126" s="430">
        <f t="shared" si="28"/>
        <v>3.0001005000000007</v>
      </c>
      <c r="I126" s="430">
        <f t="shared" si="28"/>
        <v>7.8556399999999984</v>
      </c>
      <c r="J126" s="430">
        <f t="shared" si="28"/>
        <v>9.727857000000002</v>
      </c>
      <c r="K126" s="430">
        <f t="shared" si="28"/>
        <v>6.1273549999999961</v>
      </c>
      <c r="L126" s="430">
        <f t="shared" si="28"/>
        <v>5.7124990000000055</v>
      </c>
      <c r="M126" s="430">
        <f t="shared" si="28"/>
        <v>5.0774364999999992</v>
      </c>
      <c r="N126" s="430">
        <f t="shared" si="28"/>
        <v>2.8732039999999976</v>
      </c>
      <c r="O126" s="430">
        <f t="shared" si="28"/>
        <v>2.0747975000000016</v>
      </c>
      <c r="P126" s="430">
        <f t="shared" si="28"/>
        <v>1.0978819999999982</v>
      </c>
      <c r="Q126" s="430">
        <f t="shared" si="28"/>
        <v>5.915600000000034E-2</v>
      </c>
      <c r="R126" s="430">
        <f t="shared" si="28"/>
        <v>1.0412999999999921E-2</v>
      </c>
      <c r="S126" s="430">
        <f t="shared" si="28"/>
        <v>0</v>
      </c>
      <c r="T126" s="430">
        <f t="shared" si="28"/>
        <v>0</v>
      </c>
      <c r="U126" s="430">
        <f t="shared" si="28"/>
        <v>0</v>
      </c>
      <c r="V126" s="430">
        <f t="shared" si="28"/>
        <v>0</v>
      </c>
      <c r="W126" s="430">
        <f t="shared" si="28"/>
        <v>0</v>
      </c>
      <c r="X126" s="430">
        <f t="shared" si="28"/>
        <v>0</v>
      </c>
      <c r="Y126" s="424"/>
    </row>
    <row r="127" spans="1:26" ht="13.5" thickBot="1" x14ac:dyDescent="0.25"/>
    <row r="128" spans="1:26" ht="13.5" thickBot="1" x14ac:dyDescent="0.25">
      <c r="A128" s="416" t="s">
        <v>393</v>
      </c>
      <c r="B128" s="414">
        <f>ROW(A128)</f>
        <v>128</v>
      </c>
      <c r="C128" s="418" t="s">
        <v>116</v>
      </c>
      <c r="D128" s="408">
        <f>SUM(B131:Y131)</f>
        <v>52.815674000000008</v>
      </c>
      <c r="E128" s="418" t="s">
        <v>115</v>
      </c>
      <c r="F128" s="409">
        <v>239</v>
      </c>
      <c r="G128" s="418" t="s">
        <v>57</v>
      </c>
      <c r="H128" s="86">
        <v>7.2999999999999995E-2</v>
      </c>
      <c r="I128" s="418" t="s">
        <v>272</v>
      </c>
      <c r="J128" s="410">
        <f>H128-L128</f>
        <v>2.8999999999999998E-2</v>
      </c>
      <c r="K128" s="418" t="s">
        <v>273</v>
      </c>
      <c r="L128" s="86">
        <v>4.3999999999999997E-2</v>
      </c>
      <c r="M128" s="418" t="s">
        <v>58</v>
      </c>
      <c r="N128" s="457">
        <v>50</v>
      </c>
      <c r="O128" s="418" t="s">
        <v>60</v>
      </c>
      <c r="P128" s="457">
        <v>50</v>
      </c>
      <c r="Q128" s="418" t="s">
        <v>61</v>
      </c>
      <c r="R128" s="87">
        <v>101</v>
      </c>
      <c r="S128" s="418" t="s">
        <v>62</v>
      </c>
      <c r="T128" s="87">
        <v>24</v>
      </c>
      <c r="U128" s="418" t="s">
        <v>55</v>
      </c>
      <c r="V128" s="88" t="s">
        <v>120</v>
      </c>
      <c r="W128" s="546" t="s">
        <v>396</v>
      </c>
      <c r="X128" s="548">
        <v>0.77</v>
      </c>
      <c r="Y128" s="546" t="s">
        <v>395</v>
      </c>
      <c r="Z128" s="413">
        <v>14</v>
      </c>
    </row>
    <row r="129" spans="1:26" x14ac:dyDescent="0.2">
      <c r="A129" s="417" t="s">
        <v>33</v>
      </c>
      <c r="B129" s="555">
        <v>0</v>
      </c>
      <c r="C129" s="555">
        <v>1E-3</v>
      </c>
      <c r="D129" s="555">
        <v>1.2999999999999999E-2</v>
      </c>
      <c r="E129" s="555">
        <v>2.3E-2</v>
      </c>
      <c r="F129" s="555">
        <v>5.1999999999999998E-2</v>
      </c>
      <c r="G129" s="555">
        <v>0.1</v>
      </c>
      <c r="H129" s="555">
        <v>0.379</v>
      </c>
      <c r="I129" s="555">
        <v>0.64100000000000001</v>
      </c>
      <c r="J129" s="555">
        <v>0.66500000000000004</v>
      </c>
      <c r="K129" s="555">
        <v>0.70599999999999996</v>
      </c>
      <c r="L129" s="555">
        <v>0.74399999999999999</v>
      </c>
      <c r="M129" s="555">
        <v>0.78700000000000003</v>
      </c>
      <c r="N129" s="555">
        <v>0.81599999999999995</v>
      </c>
      <c r="O129" s="426">
        <v>1</v>
      </c>
      <c r="P129" s="426">
        <v>1</v>
      </c>
      <c r="Q129" s="426">
        <v>1</v>
      </c>
      <c r="R129" s="426">
        <v>1</v>
      </c>
      <c r="S129" s="426">
        <v>1</v>
      </c>
      <c r="T129" s="426">
        <v>1</v>
      </c>
      <c r="U129" s="426">
        <v>1</v>
      </c>
      <c r="V129" s="442">
        <v>1</v>
      </c>
      <c r="W129" s="442">
        <v>2</v>
      </c>
      <c r="X129" s="442">
        <v>2</v>
      </c>
      <c r="Y129" s="444">
        <v>1000</v>
      </c>
    </row>
    <row r="130" spans="1:26" x14ac:dyDescent="0.2">
      <c r="A130" s="434" t="s">
        <v>34</v>
      </c>
      <c r="B130" s="555">
        <v>0</v>
      </c>
      <c r="C130" s="555">
        <v>8.3030000000000008</v>
      </c>
      <c r="D130" s="555">
        <v>85.68</v>
      </c>
      <c r="E130" s="555">
        <v>96.149000000000001</v>
      </c>
      <c r="F130" s="555">
        <v>78.820999999999998</v>
      </c>
      <c r="G130" s="555">
        <v>83.634</v>
      </c>
      <c r="H130" s="555">
        <v>77.858000000000004</v>
      </c>
      <c r="I130" s="555">
        <v>62.575000000000003</v>
      </c>
      <c r="J130" s="555">
        <v>55.716000000000001</v>
      </c>
      <c r="K130" s="555">
        <v>23.946999999999999</v>
      </c>
      <c r="L130" s="555">
        <v>9.1460000000000008</v>
      </c>
      <c r="M130" s="555">
        <v>2.7679999999999998</v>
      </c>
      <c r="N130" s="555">
        <v>0</v>
      </c>
      <c r="O130" s="428">
        <v>0</v>
      </c>
      <c r="P130" s="428">
        <v>0</v>
      </c>
      <c r="Q130" s="428">
        <v>0</v>
      </c>
      <c r="R130" s="428">
        <v>0</v>
      </c>
      <c r="S130" s="428">
        <v>0</v>
      </c>
      <c r="T130" s="428">
        <v>0</v>
      </c>
      <c r="U130" s="428">
        <v>0</v>
      </c>
      <c r="V130" s="433">
        <f>U130</f>
        <v>0</v>
      </c>
      <c r="W130" s="433">
        <f>V130</f>
        <v>0</v>
      </c>
      <c r="X130" s="433">
        <f>W130</f>
        <v>0</v>
      </c>
      <c r="Y130" s="439">
        <v>0</v>
      </c>
    </row>
    <row r="131" spans="1:26" ht="13.5" thickBot="1" x14ac:dyDescent="0.25">
      <c r="A131" s="435" t="s">
        <v>117</v>
      </c>
      <c r="B131" s="429">
        <f t="shared" ref="B131:X131" si="29">(C130+B130)*(C129-B129)/2</f>
        <v>4.1515000000000007E-3</v>
      </c>
      <c r="C131" s="430">
        <f t="shared" si="29"/>
        <v>0.56389800000000001</v>
      </c>
      <c r="D131" s="430">
        <f t="shared" si="29"/>
        <v>0.90914500000000009</v>
      </c>
      <c r="E131" s="430">
        <f t="shared" si="29"/>
        <v>2.5370649999999997</v>
      </c>
      <c r="F131" s="430">
        <f t="shared" si="29"/>
        <v>3.8989200000000004</v>
      </c>
      <c r="G131" s="430">
        <f t="shared" si="29"/>
        <v>22.528134000000005</v>
      </c>
      <c r="H131" s="430">
        <f t="shared" si="29"/>
        <v>18.396723000000001</v>
      </c>
      <c r="I131" s="430">
        <f t="shared" si="29"/>
        <v>1.4194920000000013</v>
      </c>
      <c r="J131" s="430">
        <f t="shared" si="29"/>
        <v>1.633091499999997</v>
      </c>
      <c r="K131" s="430">
        <f t="shared" si="29"/>
        <v>0.62876700000000063</v>
      </c>
      <c r="L131" s="430">
        <f t="shared" si="29"/>
        <v>0.25615100000000024</v>
      </c>
      <c r="M131" s="430">
        <f t="shared" si="29"/>
        <v>4.013599999999988E-2</v>
      </c>
      <c r="N131" s="430">
        <f t="shared" si="29"/>
        <v>0</v>
      </c>
      <c r="O131" s="430">
        <f t="shared" si="29"/>
        <v>0</v>
      </c>
      <c r="P131" s="430">
        <f t="shared" si="29"/>
        <v>0</v>
      </c>
      <c r="Q131" s="430">
        <f t="shared" si="29"/>
        <v>0</v>
      </c>
      <c r="R131" s="430">
        <f t="shared" si="29"/>
        <v>0</v>
      </c>
      <c r="S131" s="430">
        <f t="shared" si="29"/>
        <v>0</v>
      </c>
      <c r="T131" s="430">
        <f t="shared" si="29"/>
        <v>0</v>
      </c>
      <c r="U131" s="430">
        <f t="shared" si="29"/>
        <v>0</v>
      </c>
      <c r="V131" s="430">
        <f t="shared" si="29"/>
        <v>0</v>
      </c>
      <c r="W131" s="430">
        <f t="shared" si="29"/>
        <v>0</v>
      </c>
      <c r="X131" s="430">
        <f t="shared" si="29"/>
        <v>0</v>
      </c>
      <c r="Y131" s="424"/>
    </row>
    <row r="132" spans="1:26" ht="13.5" thickBot="1" x14ac:dyDescent="0.25">
      <c r="A132" s="492" t="s">
        <v>315</v>
      </c>
    </row>
    <row r="133" spans="1:26" ht="13.5" thickBot="1" x14ac:dyDescent="0.25">
      <c r="A133" s="416" t="s">
        <v>383</v>
      </c>
      <c r="B133" s="414">
        <f>ROW(A133)</f>
        <v>133</v>
      </c>
      <c r="C133" s="418" t="s">
        <v>116</v>
      </c>
      <c r="D133" s="408">
        <f>SUM(B136:Y136)</f>
        <v>41.835000000000015</v>
      </c>
      <c r="E133" s="418" t="s">
        <v>115</v>
      </c>
      <c r="F133" s="409">
        <f>D133/g/J133</f>
        <v>121.84359982525126</v>
      </c>
      <c r="G133" s="418" t="s">
        <v>57</v>
      </c>
      <c r="H133" s="86">
        <v>0.104</v>
      </c>
      <c r="I133" s="418" t="s">
        <v>272</v>
      </c>
      <c r="J133" s="410">
        <f>H133-L133</f>
        <v>3.4999999999999989E-2</v>
      </c>
      <c r="K133" s="418" t="s">
        <v>273</v>
      </c>
      <c r="L133" s="86">
        <v>6.9000000000000006E-2</v>
      </c>
      <c r="M133" s="418" t="s">
        <v>58</v>
      </c>
      <c r="N133" s="87">
        <v>49</v>
      </c>
      <c r="O133" s="418" t="s">
        <v>60</v>
      </c>
      <c r="P133" s="87">
        <v>49</v>
      </c>
      <c r="Q133" s="418" t="s">
        <v>61</v>
      </c>
      <c r="R133" s="87">
        <v>98</v>
      </c>
      <c r="S133" s="418" t="s">
        <v>62</v>
      </c>
      <c r="T133" s="87">
        <v>29</v>
      </c>
      <c r="U133" s="418" t="s">
        <v>55</v>
      </c>
      <c r="V133" s="88" t="s">
        <v>401</v>
      </c>
      <c r="W133" s="546" t="s">
        <v>396</v>
      </c>
      <c r="X133" s="548">
        <v>1.07</v>
      </c>
      <c r="Y133" s="546" t="s">
        <v>395</v>
      </c>
      <c r="Z133" s="413">
        <v>11</v>
      </c>
    </row>
    <row r="134" spans="1:26" x14ac:dyDescent="0.2">
      <c r="A134" s="417" t="s">
        <v>33</v>
      </c>
      <c r="B134" s="441">
        <v>0</v>
      </c>
      <c r="C134" s="442">
        <v>0.01</v>
      </c>
      <c r="D134" s="442">
        <v>0.02</v>
      </c>
      <c r="E134" s="442">
        <v>0.03</v>
      </c>
      <c r="F134" s="442">
        <v>0.04</v>
      </c>
      <c r="G134" s="442">
        <v>0.06</v>
      </c>
      <c r="H134" s="442">
        <v>7.0000000000000007E-2</v>
      </c>
      <c r="I134" s="442">
        <v>0.08</v>
      </c>
      <c r="J134" s="442">
        <v>0.1</v>
      </c>
      <c r="K134" s="442">
        <v>0.2</v>
      </c>
      <c r="L134" s="442">
        <v>0.3</v>
      </c>
      <c r="M134" s="442">
        <v>0.4</v>
      </c>
      <c r="N134" s="442">
        <v>0.5</v>
      </c>
      <c r="O134" s="442">
        <v>0.6</v>
      </c>
      <c r="P134" s="442">
        <v>0.7</v>
      </c>
      <c r="Q134" s="442">
        <v>0.8</v>
      </c>
      <c r="R134" s="442">
        <v>0.85</v>
      </c>
      <c r="S134" s="442">
        <v>0.92</v>
      </c>
      <c r="T134" s="442">
        <v>0.95</v>
      </c>
      <c r="U134" s="442">
        <v>0.99</v>
      </c>
      <c r="V134" s="442">
        <v>1.05</v>
      </c>
      <c r="W134" s="442">
        <v>1.05</v>
      </c>
      <c r="X134" s="442">
        <v>2</v>
      </c>
      <c r="Y134" s="444">
        <v>1000</v>
      </c>
    </row>
    <row r="135" spans="1:26" x14ac:dyDescent="0.2">
      <c r="A135" s="434" t="s">
        <v>34</v>
      </c>
      <c r="B135" s="443">
        <v>0</v>
      </c>
      <c r="C135" s="433">
        <v>12</v>
      </c>
      <c r="D135" s="433">
        <v>46</v>
      </c>
      <c r="E135" s="433">
        <v>75</v>
      </c>
      <c r="F135" s="433">
        <v>79</v>
      </c>
      <c r="G135" s="433">
        <v>77</v>
      </c>
      <c r="H135" s="433">
        <v>62</v>
      </c>
      <c r="I135" s="433">
        <v>32</v>
      </c>
      <c r="J135" s="433">
        <v>35</v>
      </c>
      <c r="K135" s="433">
        <v>38</v>
      </c>
      <c r="L135" s="433">
        <v>39</v>
      </c>
      <c r="M135" s="433">
        <v>41</v>
      </c>
      <c r="N135" s="433">
        <v>43</v>
      </c>
      <c r="O135" s="433">
        <v>43</v>
      </c>
      <c r="P135" s="433">
        <v>43</v>
      </c>
      <c r="Q135" s="433">
        <v>43</v>
      </c>
      <c r="R135" s="433">
        <v>47</v>
      </c>
      <c r="S135" s="433">
        <v>54</v>
      </c>
      <c r="T135" s="433">
        <v>32</v>
      </c>
      <c r="U135" s="433">
        <v>8</v>
      </c>
      <c r="V135" s="433">
        <v>0</v>
      </c>
      <c r="W135" s="433">
        <v>0</v>
      </c>
      <c r="X135" s="433">
        <v>0</v>
      </c>
      <c r="Y135" s="439">
        <v>0</v>
      </c>
    </row>
    <row r="136" spans="1:26" ht="13.5" thickBot="1" x14ac:dyDescent="0.25">
      <c r="A136" s="435" t="s">
        <v>117</v>
      </c>
      <c r="B136" s="429">
        <f t="shared" ref="B136:X136" si="30">(C135+B135)*(C134-B134)/2</f>
        <v>0.06</v>
      </c>
      <c r="C136" s="430">
        <f t="shared" si="30"/>
        <v>0.28999999999999998</v>
      </c>
      <c r="D136" s="430">
        <f t="shared" si="30"/>
        <v>0.60499999999999987</v>
      </c>
      <c r="E136" s="430">
        <f t="shared" si="30"/>
        <v>0.77000000000000013</v>
      </c>
      <c r="F136" s="430">
        <f t="shared" si="30"/>
        <v>1.5599999999999998</v>
      </c>
      <c r="G136" s="430">
        <f t="shared" si="30"/>
        <v>0.69500000000000062</v>
      </c>
      <c r="H136" s="430">
        <f t="shared" si="30"/>
        <v>0.46999999999999975</v>
      </c>
      <c r="I136" s="430">
        <f t="shared" si="30"/>
        <v>0.67000000000000015</v>
      </c>
      <c r="J136" s="430">
        <f t="shared" si="30"/>
        <v>3.6500000000000004</v>
      </c>
      <c r="K136" s="430">
        <f t="shared" si="30"/>
        <v>3.8499999999999992</v>
      </c>
      <c r="L136" s="430">
        <f t="shared" si="30"/>
        <v>4.0000000000000018</v>
      </c>
      <c r="M136" s="430">
        <f t="shared" si="30"/>
        <v>4.1999999999999993</v>
      </c>
      <c r="N136" s="430">
        <f t="shared" si="30"/>
        <v>4.2999999999999989</v>
      </c>
      <c r="O136" s="430">
        <f t="shared" si="30"/>
        <v>4.2999999999999989</v>
      </c>
      <c r="P136" s="430">
        <f t="shared" si="30"/>
        <v>4.3000000000000043</v>
      </c>
      <c r="Q136" s="430">
        <f t="shared" si="30"/>
        <v>2.2499999999999969</v>
      </c>
      <c r="R136" s="430">
        <f t="shared" si="30"/>
        <v>3.5350000000000033</v>
      </c>
      <c r="S136" s="430">
        <f t="shared" si="30"/>
        <v>1.2899999999999965</v>
      </c>
      <c r="T136" s="430">
        <f t="shared" si="30"/>
        <v>0.80000000000000071</v>
      </c>
      <c r="U136" s="430">
        <f t="shared" si="30"/>
        <v>0.24000000000000021</v>
      </c>
      <c r="V136" s="430">
        <f t="shared" si="30"/>
        <v>0</v>
      </c>
      <c r="W136" s="430">
        <f t="shared" si="30"/>
        <v>0</v>
      </c>
      <c r="X136" s="430">
        <f t="shared" si="30"/>
        <v>0</v>
      </c>
      <c r="Y136" s="424"/>
    </row>
    <row r="137" spans="1:26" ht="13.5" thickBot="1" x14ac:dyDescent="0.25">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row>
    <row r="138" spans="1:26" ht="13.5" thickBot="1" x14ac:dyDescent="0.25">
      <c r="A138" s="416" t="s">
        <v>384</v>
      </c>
      <c r="B138" s="414">
        <f>ROW(A138)</f>
        <v>138</v>
      </c>
      <c r="C138" s="418" t="s">
        <v>116</v>
      </c>
      <c r="D138" s="408">
        <f>SUM(B141:Y141)</f>
        <v>52.564999999999998</v>
      </c>
      <c r="E138" s="418" t="s">
        <v>115</v>
      </c>
      <c r="F138" s="409">
        <f>D138/g/J138</f>
        <v>167.44712028542301</v>
      </c>
      <c r="G138" s="418" t="s">
        <v>57</v>
      </c>
      <c r="H138" s="86">
        <v>0.10100000000000001</v>
      </c>
      <c r="I138" s="418" t="s">
        <v>272</v>
      </c>
      <c r="J138" s="410">
        <f>H138-L138</f>
        <v>3.2000000000000001E-2</v>
      </c>
      <c r="K138" s="418" t="s">
        <v>273</v>
      </c>
      <c r="L138" s="86">
        <v>6.9000000000000006E-2</v>
      </c>
      <c r="M138" s="418" t="s">
        <v>58</v>
      </c>
      <c r="N138" s="87">
        <v>49</v>
      </c>
      <c r="O138" s="418" t="s">
        <v>60</v>
      </c>
      <c r="P138" s="87">
        <v>49</v>
      </c>
      <c r="Q138" s="418" t="s">
        <v>61</v>
      </c>
      <c r="R138" s="87">
        <v>98</v>
      </c>
      <c r="S138" s="418" t="s">
        <v>62</v>
      </c>
      <c r="T138" s="87">
        <v>29</v>
      </c>
      <c r="U138" s="418" t="s">
        <v>55</v>
      </c>
      <c r="V138" s="88" t="s">
        <v>402</v>
      </c>
      <c r="W138" s="546" t="s">
        <v>396</v>
      </c>
      <c r="X138" s="548">
        <v>1.8</v>
      </c>
      <c r="Y138" s="546" t="s">
        <v>395</v>
      </c>
      <c r="Z138" s="413">
        <v>12</v>
      </c>
    </row>
    <row r="139" spans="1:26" x14ac:dyDescent="0.2">
      <c r="A139" s="417" t="s">
        <v>33</v>
      </c>
      <c r="B139" s="441">
        <v>0</v>
      </c>
      <c r="C139" s="442">
        <v>0.01</v>
      </c>
      <c r="D139" s="442">
        <v>0.03</v>
      </c>
      <c r="E139" s="442">
        <v>0.04</v>
      </c>
      <c r="F139" s="442">
        <v>0.05</v>
      </c>
      <c r="G139" s="442">
        <v>0.06</v>
      </c>
      <c r="H139" s="442">
        <v>7.0000000000000007E-2</v>
      </c>
      <c r="I139" s="442">
        <v>0.08</v>
      </c>
      <c r="J139" s="442">
        <v>0.09</v>
      </c>
      <c r="K139" s="442">
        <v>0.1</v>
      </c>
      <c r="L139" s="442">
        <v>0.2</v>
      </c>
      <c r="M139" s="442">
        <v>0.3</v>
      </c>
      <c r="N139" s="442">
        <v>0.4</v>
      </c>
      <c r="O139" s="442">
        <v>0.5</v>
      </c>
      <c r="P139" s="442">
        <v>0.7</v>
      </c>
      <c r="Q139" s="442">
        <v>0.8</v>
      </c>
      <c r="R139" s="442">
        <v>0.9</v>
      </c>
      <c r="S139" s="442">
        <v>1</v>
      </c>
      <c r="T139" s="442">
        <v>1.1000000000000001</v>
      </c>
      <c r="U139" s="442">
        <v>1.24</v>
      </c>
      <c r="V139" s="442">
        <v>1.3</v>
      </c>
      <c r="W139" s="442">
        <v>1.5</v>
      </c>
      <c r="X139" s="442">
        <v>2</v>
      </c>
      <c r="Y139" s="444">
        <v>1000</v>
      </c>
    </row>
    <row r="140" spans="1:26" x14ac:dyDescent="0.2">
      <c r="A140" s="434" t="s">
        <v>34</v>
      </c>
      <c r="B140" s="443">
        <v>0</v>
      </c>
      <c r="C140" s="433">
        <v>12</v>
      </c>
      <c r="D140" s="433">
        <v>41</v>
      </c>
      <c r="E140" s="433">
        <v>42</v>
      </c>
      <c r="F140" s="433">
        <v>42</v>
      </c>
      <c r="G140" s="433">
        <v>40</v>
      </c>
      <c r="H140" s="433">
        <v>34</v>
      </c>
      <c r="I140" s="433">
        <v>34</v>
      </c>
      <c r="J140" s="433">
        <v>35</v>
      </c>
      <c r="K140" s="433">
        <v>36</v>
      </c>
      <c r="L140" s="433">
        <v>40</v>
      </c>
      <c r="M140" s="433">
        <v>42</v>
      </c>
      <c r="N140" s="433">
        <v>43</v>
      </c>
      <c r="O140" s="433">
        <v>43</v>
      </c>
      <c r="P140" s="433">
        <v>43</v>
      </c>
      <c r="Q140" s="433">
        <v>42</v>
      </c>
      <c r="R140" s="433">
        <v>41</v>
      </c>
      <c r="S140" s="433">
        <v>40</v>
      </c>
      <c r="T140" s="433">
        <v>38</v>
      </c>
      <c r="U140" s="433">
        <v>37</v>
      </c>
      <c r="V140" s="433">
        <v>12</v>
      </c>
      <c r="W140" s="433">
        <v>0</v>
      </c>
      <c r="X140" s="433">
        <v>0</v>
      </c>
      <c r="Y140" s="439">
        <v>0</v>
      </c>
    </row>
    <row r="141" spans="1:26" ht="13.5" thickBot="1" x14ac:dyDescent="0.25">
      <c r="A141" s="435" t="s">
        <v>117</v>
      </c>
      <c r="B141" s="429">
        <f t="shared" ref="B141:X141" si="31">(C140+B140)*(C139-B139)/2</f>
        <v>0.06</v>
      </c>
      <c r="C141" s="430">
        <f t="shared" si="31"/>
        <v>0.52999999999999992</v>
      </c>
      <c r="D141" s="430">
        <f t="shared" si="31"/>
        <v>0.41500000000000009</v>
      </c>
      <c r="E141" s="430">
        <f t="shared" si="31"/>
        <v>0.4200000000000001</v>
      </c>
      <c r="F141" s="430">
        <f t="shared" si="31"/>
        <v>0.40999999999999981</v>
      </c>
      <c r="G141" s="430">
        <f t="shared" si="31"/>
        <v>0.37000000000000033</v>
      </c>
      <c r="H141" s="430">
        <f t="shared" si="31"/>
        <v>0.33999999999999986</v>
      </c>
      <c r="I141" s="430">
        <f t="shared" si="31"/>
        <v>0.34499999999999981</v>
      </c>
      <c r="J141" s="430">
        <f t="shared" si="31"/>
        <v>0.35500000000000032</v>
      </c>
      <c r="K141" s="430">
        <f t="shared" si="31"/>
        <v>3.8000000000000003</v>
      </c>
      <c r="L141" s="430">
        <f t="shared" si="31"/>
        <v>4.0999999999999988</v>
      </c>
      <c r="M141" s="430">
        <f t="shared" si="31"/>
        <v>4.2500000000000018</v>
      </c>
      <c r="N141" s="430">
        <f t="shared" si="31"/>
        <v>4.2999999999999989</v>
      </c>
      <c r="O141" s="430">
        <f t="shared" si="31"/>
        <v>8.5999999999999979</v>
      </c>
      <c r="P141" s="430">
        <f t="shared" si="31"/>
        <v>4.2500000000000036</v>
      </c>
      <c r="Q141" s="430">
        <f t="shared" si="31"/>
        <v>4.1499999999999995</v>
      </c>
      <c r="R141" s="430">
        <f t="shared" si="31"/>
        <v>4.0499999999999989</v>
      </c>
      <c r="S141" s="430">
        <f t="shared" si="31"/>
        <v>3.9000000000000035</v>
      </c>
      <c r="T141" s="430">
        <f t="shared" si="31"/>
        <v>5.2499999999999964</v>
      </c>
      <c r="U141" s="430">
        <f t="shared" si="31"/>
        <v>1.4700000000000013</v>
      </c>
      <c r="V141" s="430">
        <f t="shared" si="31"/>
        <v>1.1999999999999997</v>
      </c>
      <c r="W141" s="430">
        <f t="shared" si="31"/>
        <v>0</v>
      </c>
      <c r="X141" s="430">
        <f t="shared" si="31"/>
        <v>0</v>
      </c>
      <c r="Y141" s="424"/>
    </row>
    <row r="142" spans="1:26" ht="13.5" thickBot="1" x14ac:dyDescent="0.25">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row>
    <row r="143" spans="1:26" ht="13.5" thickBot="1" x14ac:dyDescent="0.25">
      <c r="A143" s="416" t="s">
        <v>385</v>
      </c>
      <c r="B143" s="414">
        <f>ROW(A143)</f>
        <v>143</v>
      </c>
      <c r="C143" s="418" t="s">
        <v>116</v>
      </c>
      <c r="D143" s="408">
        <f>SUM(B146:Y146)</f>
        <v>54.110016122119539</v>
      </c>
      <c r="E143" s="418" t="s">
        <v>115</v>
      </c>
      <c r="F143" s="409">
        <f>D143/g/J143</f>
        <v>146.69685764124625</v>
      </c>
      <c r="G143" s="418" t="s">
        <v>57</v>
      </c>
      <c r="H143" s="86">
        <v>0.10580000000000001</v>
      </c>
      <c r="I143" s="418" t="s">
        <v>272</v>
      </c>
      <c r="J143" s="410">
        <f>H143-L143</f>
        <v>3.7600000000000008E-2</v>
      </c>
      <c r="K143" s="418" t="s">
        <v>273</v>
      </c>
      <c r="L143" s="86">
        <v>6.8199999999999997E-2</v>
      </c>
      <c r="M143" s="418" t="s">
        <v>58</v>
      </c>
      <c r="N143" s="87">
        <v>49</v>
      </c>
      <c r="O143" s="418" t="s">
        <v>60</v>
      </c>
      <c r="P143" s="87">
        <v>49</v>
      </c>
      <c r="Q143" s="418" t="s">
        <v>61</v>
      </c>
      <c r="R143" s="87">
        <v>98</v>
      </c>
      <c r="S143" s="418" t="s">
        <v>62</v>
      </c>
      <c r="T143" s="87">
        <v>29</v>
      </c>
      <c r="U143" s="418" t="s">
        <v>55</v>
      </c>
      <c r="V143" s="88" t="s">
        <v>401</v>
      </c>
      <c r="W143" s="546" t="s">
        <v>396</v>
      </c>
      <c r="X143" s="548">
        <v>1.9</v>
      </c>
      <c r="Y143" s="546" t="s">
        <v>395</v>
      </c>
      <c r="Z143" s="413">
        <v>12</v>
      </c>
    </row>
    <row r="144" spans="1:26" x14ac:dyDescent="0.2">
      <c r="A144" s="417" t="s">
        <v>33</v>
      </c>
      <c r="B144" s="441">
        <v>0</v>
      </c>
      <c r="C144" s="442">
        <v>2.5000000000000001E-2</v>
      </c>
      <c r="D144" s="442">
        <v>0.05</v>
      </c>
      <c r="E144" s="442">
        <v>7.4999999999999997E-2</v>
      </c>
      <c r="F144" s="442">
        <v>0.1</v>
      </c>
      <c r="G144" s="442">
        <v>0.15</v>
      </c>
      <c r="H144" s="442">
        <v>0.17499999999999999</v>
      </c>
      <c r="I144" s="442">
        <v>0.2</v>
      </c>
      <c r="J144" s="442">
        <v>0.3</v>
      </c>
      <c r="K144" s="442">
        <v>0.4</v>
      </c>
      <c r="L144" s="442">
        <v>0.5</v>
      </c>
      <c r="M144" s="442">
        <v>0.6</v>
      </c>
      <c r="N144" s="442">
        <v>0.7</v>
      </c>
      <c r="O144" s="442">
        <v>0.8</v>
      </c>
      <c r="P144" s="442">
        <v>0.9</v>
      </c>
      <c r="Q144" s="442">
        <v>1.1000000000000001</v>
      </c>
      <c r="R144" s="442">
        <v>1.2</v>
      </c>
      <c r="S144" s="442">
        <v>1.6</v>
      </c>
      <c r="T144" s="442">
        <v>1.7</v>
      </c>
      <c r="U144" s="442">
        <v>1.8</v>
      </c>
      <c r="V144" s="442">
        <v>1.9</v>
      </c>
      <c r="W144" s="442">
        <v>1.9999</v>
      </c>
      <c r="X144" s="442">
        <v>2</v>
      </c>
      <c r="Y144" s="444">
        <v>1000</v>
      </c>
    </row>
    <row r="145" spans="1:26" x14ac:dyDescent="0.2">
      <c r="A145" s="434" t="s">
        <v>34</v>
      </c>
      <c r="B145" s="443">
        <v>0</v>
      </c>
      <c r="C145" s="431">
        <v>15.2574001848975</v>
      </c>
      <c r="D145" s="431">
        <v>26.377954255522496</v>
      </c>
      <c r="E145" s="431">
        <v>21.484910464447498</v>
      </c>
      <c r="F145" s="431">
        <v>24.020396792549999</v>
      </c>
      <c r="G145" s="431">
        <v>28.11276069054</v>
      </c>
      <c r="H145" s="431">
        <v>28.691029502212498</v>
      </c>
      <c r="I145" s="431">
        <v>29.180333881319996</v>
      </c>
      <c r="J145" s="431">
        <v>31.493409128009997</v>
      </c>
      <c r="K145" s="431">
        <v>32.560982318789996</v>
      </c>
      <c r="L145" s="431">
        <v>32.827875616484995</v>
      </c>
      <c r="M145" s="431">
        <v>32.649946751354996</v>
      </c>
      <c r="N145" s="431">
        <v>32.383053453659997</v>
      </c>
      <c r="O145" s="431">
        <v>32.249606804812501</v>
      </c>
      <c r="P145" s="431">
        <v>31.804784641987499</v>
      </c>
      <c r="Q145" s="431">
        <v>30.559282586077497</v>
      </c>
      <c r="R145" s="431">
        <v>30.069978206969999</v>
      </c>
      <c r="S145" s="431">
        <v>26.377954255522496</v>
      </c>
      <c r="T145" s="431">
        <v>24.865558901917499</v>
      </c>
      <c r="U145" s="431">
        <v>18.4601197572375</v>
      </c>
      <c r="V145" s="431">
        <v>7.5174945517424998</v>
      </c>
      <c r="W145" s="431">
        <v>1.3789487047575</v>
      </c>
      <c r="X145" s="433">
        <v>0</v>
      </c>
      <c r="Y145" s="439">
        <v>0</v>
      </c>
    </row>
    <row r="146" spans="1:26" ht="13.5" thickBot="1" x14ac:dyDescent="0.25">
      <c r="A146" s="435" t="s">
        <v>117</v>
      </c>
      <c r="B146" s="429">
        <f t="shared" ref="B146:V146" si="32">(C145+B145)*(C144-B144)/2</f>
        <v>0.19071750231121876</v>
      </c>
      <c r="C146" s="430">
        <f t="shared" si="32"/>
        <v>0.52044193050525001</v>
      </c>
      <c r="D146" s="430">
        <f t="shared" si="32"/>
        <v>0.5982858089996248</v>
      </c>
      <c r="E146" s="430">
        <f t="shared" si="32"/>
        <v>0.56881634071246889</v>
      </c>
      <c r="F146" s="430">
        <f t="shared" si="32"/>
        <v>1.3033289370772498</v>
      </c>
      <c r="G146" s="430">
        <f t="shared" si="32"/>
        <v>0.71004737740940616</v>
      </c>
      <c r="H146" s="430">
        <f t="shared" si="32"/>
        <v>0.72339204229415688</v>
      </c>
      <c r="I146" s="430">
        <f t="shared" si="32"/>
        <v>3.0336871504664993</v>
      </c>
      <c r="J146" s="430">
        <f>(K145+J145)*(K144-J144)/2</f>
        <v>3.2027195723400008</v>
      </c>
      <c r="K146" s="430">
        <f t="shared" si="32"/>
        <v>3.2694428967637483</v>
      </c>
      <c r="L146" s="430">
        <f t="shared" si="32"/>
        <v>3.2738911183919988</v>
      </c>
      <c r="M146" s="430">
        <f t="shared" si="32"/>
        <v>3.2516500102507484</v>
      </c>
      <c r="N146" s="430">
        <f t="shared" si="32"/>
        <v>3.2316330129236279</v>
      </c>
      <c r="O146" s="430">
        <f t="shared" si="32"/>
        <v>3.202719572339999</v>
      </c>
      <c r="P146" s="430">
        <f t="shared" si="32"/>
        <v>6.2364067228065014</v>
      </c>
      <c r="Q146" s="430">
        <f t="shared" si="32"/>
        <v>3.0314630396523707</v>
      </c>
      <c r="R146" s="430">
        <f t="shared" si="32"/>
        <v>11.289586492498502</v>
      </c>
      <c r="S146" s="430">
        <f>(T145+S145)*(T144-S144)/2</f>
        <v>2.5621756578719963</v>
      </c>
      <c r="T146" s="430">
        <f t="shared" si="32"/>
        <v>2.1662839329577519</v>
      </c>
      <c r="U146" s="430">
        <f t="shared" si="32"/>
        <v>1.2988807154489983</v>
      </c>
      <c r="V146" s="430">
        <f t="shared" si="32"/>
        <v>0.44437734066217544</v>
      </c>
      <c r="W146" s="430">
        <f>(X145+W145)*(X144-W144)/2</f>
        <v>6.894743523786741E-5</v>
      </c>
      <c r="X146" s="430">
        <f>(Y145+X145)*(Y144-X144)/2</f>
        <v>0</v>
      </c>
      <c r="Y146" s="424"/>
    </row>
    <row r="147" spans="1:26" ht="13.5" thickBot="1" x14ac:dyDescent="0.25">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row>
    <row r="148" spans="1:26" ht="13.5" thickBot="1" x14ac:dyDescent="0.25">
      <c r="A148" s="416" t="s">
        <v>547</v>
      </c>
      <c r="B148" s="414">
        <f>ROW(A148)</f>
        <v>148</v>
      </c>
      <c r="C148" s="418" t="s">
        <v>116</v>
      </c>
      <c r="D148" s="408">
        <f>SUM(B151:Y151)</f>
        <v>55.589492</v>
      </c>
      <c r="E148" s="418" t="s">
        <v>115</v>
      </c>
      <c r="F148" s="409">
        <f>D148/g/J148</f>
        <v>177.08171508664634</v>
      </c>
      <c r="G148" s="418" t="s">
        <v>57</v>
      </c>
      <c r="H148" s="86">
        <v>0.10199999999999999</v>
      </c>
      <c r="I148" s="418" t="s">
        <v>272</v>
      </c>
      <c r="J148" s="410">
        <f>H148-L148</f>
        <v>3.1999999999999987E-2</v>
      </c>
      <c r="K148" s="418" t="s">
        <v>273</v>
      </c>
      <c r="L148" s="86">
        <v>7.0000000000000007E-2</v>
      </c>
      <c r="M148" s="418" t="s">
        <v>58</v>
      </c>
      <c r="N148" s="87">
        <v>49</v>
      </c>
      <c r="O148" s="418" t="s">
        <v>60</v>
      </c>
      <c r="P148" s="87">
        <v>49</v>
      </c>
      <c r="Q148" s="418" t="s">
        <v>61</v>
      </c>
      <c r="R148" s="87">
        <v>98</v>
      </c>
      <c r="S148" s="418" t="s">
        <v>62</v>
      </c>
      <c r="T148" s="87">
        <v>29</v>
      </c>
      <c r="U148" s="418" t="s">
        <v>55</v>
      </c>
      <c r="V148" s="88" t="s">
        <v>402</v>
      </c>
      <c r="W148" s="546" t="s">
        <v>396</v>
      </c>
      <c r="X148" s="548">
        <v>0.45</v>
      </c>
      <c r="Y148" s="546" t="s">
        <v>395</v>
      </c>
      <c r="Z148" s="413">
        <v>12</v>
      </c>
    </row>
    <row r="149" spans="1:26" x14ac:dyDescent="0.2">
      <c r="A149" s="417" t="s">
        <v>33</v>
      </c>
      <c r="B149" s="441">
        <v>0</v>
      </c>
      <c r="C149" s="442">
        <v>1E-3</v>
      </c>
      <c r="D149" s="442">
        <v>2.3E-2</v>
      </c>
      <c r="E149" s="442">
        <v>0.05</v>
      </c>
      <c r="F149" s="442">
        <v>5.8999999999999997E-2</v>
      </c>
      <c r="G149" s="442">
        <v>9.5000000000000001E-2</v>
      </c>
      <c r="H149" s="442">
        <v>0.21199999999999999</v>
      </c>
      <c r="I149" s="442">
        <v>0.34399999999999997</v>
      </c>
      <c r="J149" s="442">
        <v>1.5669999999999999</v>
      </c>
      <c r="K149" s="442">
        <v>1.631</v>
      </c>
      <c r="L149" s="442">
        <v>1.663</v>
      </c>
      <c r="M149" s="442">
        <v>1.7849999999999999</v>
      </c>
      <c r="N149" s="442">
        <v>1.8280000000000001</v>
      </c>
      <c r="O149" s="442">
        <v>2</v>
      </c>
      <c r="P149" s="442">
        <v>2</v>
      </c>
      <c r="Q149" s="442">
        <v>2</v>
      </c>
      <c r="R149" s="442">
        <v>2</v>
      </c>
      <c r="S149" s="442">
        <v>2</v>
      </c>
      <c r="T149" s="442">
        <v>2</v>
      </c>
      <c r="U149" s="442">
        <v>2</v>
      </c>
      <c r="V149" s="442">
        <v>2</v>
      </c>
      <c r="W149" s="442">
        <v>2</v>
      </c>
      <c r="X149" s="442">
        <v>2</v>
      </c>
      <c r="Y149" s="444">
        <v>1000</v>
      </c>
    </row>
    <row r="150" spans="1:26" x14ac:dyDescent="0.2">
      <c r="A150" s="434" t="s">
        <v>34</v>
      </c>
      <c r="B150" s="443">
        <v>0</v>
      </c>
      <c r="C150" s="433">
        <v>3.4830000000000001</v>
      </c>
      <c r="D150" s="433">
        <v>64.052999999999997</v>
      </c>
      <c r="E150" s="433">
        <v>31.347000000000001</v>
      </c>
      <c r="F150" s="433">
        <v>28.459</v>
      </c>
      <c r="G150" s="433">
        <v>32.027000000000001</v>
      </c>
      <c r="H150" s="433">
        <v>36.189</v>
      </c>
      <c r="I150" s="433">
        <v>37.548999999999999</v>
      </c>
      <c r="J150" s="433">
        <v>26.164999999999999</v>
      </c>
      <c r="K150" s="433">
        <v>26.93</v>
      </c>
      <c r="L150" s="433">
        <v>25.315999999999999</v>
      </c>
      <c r="M150" s="433">
        <v>3.653</v>
      </c>
      <c r="N150" s="433">
        <v>0</v>
      </c>
      <c r="O150" s="433">
        <v>0</v>
      </c>
      <c r="P150" s="433">
        <v>0</v>
      </c>
      <c r="Q150" s="433">
        <v>0</v>
      </c>
      <c r="R150" s="433">
        <v>0</v>
      </c>
      <c r="S150" s="433">
        <v>0</v>
      </c>
      <c r="T150" s="433">
        <v>0</v>
      </c>
      <c r="U150" s="433">
        <v>0</v>
      </c>
      <c r="V150" s="433">
        <v>0</v>
      </c>
      <c r="W150" s="433">
        <v>0</v>
      </c>
      <c r="X150" s="433">
        <v>0</v>
      </c>
      <c r="Y150" s="439">
        <v>0</v>
      </c>
    </row>
    <row r="151" spans="1:26" ht="13.5" thickBot="1" x14ac:dyDescent="0.25">
      <c r="A151" s="435" t="s">
        <v>117</v>
      </c>
      <c r="B151" s="429">
        <f t="shared" ref="B151" si="33">(C150+B150)*(C149-B149)/2</f>
        <v>1.7415E-3</v>
      </c>
      <c r="C151" s="430">
        <f t="shared" ref="C151" si="34">(D150+C150)*(D149-C149)/2</f>
        <v>0.742896</v>
      </c>
      <c r="D151" s="430">
        <f t="shared" ref="D151" si="35">(E150+D150)*(E149-D149)/2</f>
        <v>1.2879000000000003</v>
      </c>
      <c r="E151" s="430">
        <f t="shared" ref="E151" si="36">(F150+E150)*(F149-E149)/2</f>
        <v>0.26912699999999984</v>
      </c>
      <c r="F151" s="430">
        <f t="shared" ref="F151" si="37">(G150+F150)*(G149-F149)/2</f>
        <v>1.0887480000000003</v>
      </c>
      <c r="G151" s="430">
        <f t="shared" ref="G151" si="38">(H150+G150)*(H149-G149)/2</f>
        <v>3.9906360000000003</v>
      </c>
      <c r="H151" s="430">
        <f t="shared" ref="H151" si="39">(I150+H150)*(I149-H149)/2</f>
        <v>4.8667079999999991</v>
      </c>
      <c r="I151" s="430">
        <f t="shared" ref="I151" si="40">(J150+I150)*(J149-I149)/2</f>
        <v>38.961110999999995</v>
      </c>
      <c r="J151" s="430">
        <f t="shared" ref="J151" si="41">(K150+J150)*(K149-J149)/2</f>
        <v>1.6990400000000014</v>
      </c>
      <c r="K151" s="430">
        <f t="shared" ref="K151" si="42">(L150+K150)*(L149-K149)/2</f>
        <v>0.83593600000000068</v>
      </c>
      <c r="L151" s="430">
        <f t="shared" ref="L151" si="43">(M150+L150)*(M149-L149)/2</f>
        <v>1.7671089999999983</v>
      </c>
      <c r="M151" s="430">
        <f t="shared" ref="M151" si="44">(N150+M150)*(N149-M149)/2</f>
        <v>7.8539500000000276E-2</v>
      </c>
      <c r="N151" s="430">
        <f t="shared" ref="N151" si="45">(O150+N150)*(O149-N149)/2</f>
        <v>0</v>
      </c>
      <c r="O151" s="430">
        <f t="shared" ref="O151" si="46">(P150+O150)*(P149-O149)/2</f>
        <v>0</v>
      </c>
      <c r="P151" s="430">
        <f t="shared" ref="P151" si="47">(Q150+P150)*(Q149-P149)/2</f>
        <v>0</v>
      </c>
      <c r="Q151" s="430">
        <f t="shared" ref="Q151" si="48">(R150+Q150)*(R149-Q149)/2</f>
        <v>0</v>
      </c>
      <c r="R151" s="430">
        <f t="shared" ref="R151" si="49">(S150+R150)*(S149-R149)/2</f>
        <v>0</v>
      </c>
      <c r="S151" s="430">
        <f t="shared" ref="S151" si="50">(T150+S150)*(T149-S149)/2</f>
        <v>0</v>
      </c>
      <c r="T151" s="430">
        <f t="shared" ref="T151" si="51">(U150+T150)*(U149-T149)/2</f>
        <v>0</v>
      </c>
      <c r="U151" s="430">
        <f t="shared" ref="U151" si="52">(V150+U150)*(V149-U149)/2</f>
        <v>0</v>
      </c>
      <c r="V151" s="430">
        <f t="shared" ref="V151" si="53">(W150+V150)*(W149-V149)/2</f>
        <v>0</v>
      </c>
      <c r="W151" s="430">
        <f t="shared" ref="W151" si="54">(X150+W150)*(X149-W149)/2</f>
        <v>0</v>
      </c>
      <c r="X151" s="430">
        <f t="shared" ref="X151" si="55">(Y150+X150)*(Y149-X149)/2</f>
        <v>0</v>
      </c>
      <c r="Y151" s="424"/>
    </row>
    <row r="152" spans="1:26" ht="13.5" thickBot="1" x14ac:dyDescent="0.25">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row>
    <row r="153" spans="1:26" ht="13.5" thickBot="1" x14ac:dyDescent="0.25">
      <c r="A153" s="416" t="s">
        <v>386</v>
      </c>
      <c r="B153" s="414">
        <f>ROW(A153)</f>
        <v>153</v>
      </c>
      <c r="C153" s="418" t="s">
        <v>116</v>
      </c>
      <c r="D153" s="408">
        <f>SUM(B156:Y156)</f>
        <v>55.705884500000003</v>
      </c>
      <c r="E153" s="418" t="s">
        <v>115</v>
      </c>
      <c r="F153" s="409">
        <f>D153/g/J153</f>
        <v>180.84329814241278</v>
      </c>
      <c r="G153" s="418" t="s">
        <v>57</v>
      </c>
      <c r="H153" s="86">
        <v>0.1062</v>
      </c>
      <c r="I153" s="418" t="s">
        <v>272</v>
      </c>
      <c r="J153" s="410">
        <f>H153-L153</f>
        <v>3.1400000000000011E-2</v>
      </c>
      <c r="K153" s="418" t="s">
        <v>273</v>
      </c>
      <c r="L153" s="86">
        <v>7.4799999999999991E-2</v>
      </c>
      <c r="M153" s="418" t="s">
        <v>58</v>
      </c>
      <c r="N153" s="87">
        <v>49</v>
      </c>
      <c r="O153" s="418" t="s">
        <v>60</v>
      </c>
      <c r="P153" s="87">
        <v>49</v>
      </c>
      <c r="Q153" s="418" t="s">
        <v>61</v>
      </c>
      <c r="R153" s="87">
        <v>98</v>
      </c>
      <c r="S153" s="418" t="s">
        <v>62</v>
      </c>
      <c r="T153" s="87">
        <v>29</v>
      </c>
      <c r="U153" s="418" t="s">
        <v>55</v>
      </c>
      <c r="V153" s="88" t="s">
        <v>402</v>
      </c>
      <c r="W153" s="546" t="s">
        <v>396</v>
      </c>
      <c r="X153" s="548">
        <v>0.45</v>
      </c>
      <c r="Y153" s="546" t="s">
        <v>395</v>
      </c>
      <c r="Z153" s="413">
        <v>14</v>
      </c>
    </row>
    <row r="154" spans="1:26" x14ac:dyDescent="0.2">
      <c r="A154" s="417" t="s">
        <v>33</v>
      </c>
      <c r="B154" s="441">
        <v>0</v>
      </c>
      <c r="C154" s="442">
        <v>1.2999999999999999E-2</v>
      </c>
      <c r="D154" s="442">
        <v>1.7000000000000001E-2</v>
      </c>
      <c r="E154" s="442">
        <v>0.04</v>
      </c>
      <c r="F154" s="442">
        <v>0.125</v>
      </c>
      <c r="G154" s="442">
        <v>0.17899999999999999</v>
      </c>
      <c r="H154" s="442">
        <v>0.222</v>
      </c>
      <c r="I154" s="442">
        <v>0.28899999999999998</v>
      </c>
      <c r="J154" s="442">
        <v>0.35399999999999998</v>
      </c>
      <c r="K154" s="442">
        <v>0.39400000000000002</v>
      </c>
      <c r="L154" s="442">
        <v>0.40600000000000003</v>
      </c>
      <c r="M154" s="442">
        <v>0.41599999999999998</v>
      </c>
      <c r="N154" s="442">
        <v>0.42299999999999999</v>
      </c>
      <c r="O154" s="442">
        <v>0.43099999999999999</v>
      </c>
      <c r="P154" s="442">
        <v>0.44700000000000001</v>
      </c>
      <c r="Q154" s="442">
        <v>0.45300000000000001</v>
      </c>
      <c r="R154" s="442">
        <v>0.45500000000000002</v>
      </c>
      <c r="S154" s="442">
        <v>0.45500000000000002</v>
      </c>
      <c r="T154" s="442">
        <v>0.45500000000000002</v>
      </c>
      <c r="U154" s="442">
        <v>0.45500000000000002</v>
      </c>
      <c r="V154" s="442">
        <v>0.45500000000000002</v>
      </c>
      <c r="W154" s="442">
        <v>0.45500000000000002</v>
      </c>
      <c r="X154" s="442">
        <v>2</v>
      </c>
      <c r="Y154" s="444">
        <v>1000</v>
      </c>
    </row>
    <row r="155" spans="1:26" x14ac:dyDescent="0.2">
      <c r="A155" s="434" t="s">
        <v>34</v>
      </c>
      <c r="B155" s="443">
        <v>0</v>
      </c>
      <c r="C155" s="433">
        <v>79.242000000000004</v>
      </c>
      <c r="D155" s="433">
        <v>90.427000000000007</v>
      </c>
      <c r="E155" s="433">
        <v>101.422</v>
      </c>
      <c r="F155" s="433">
        <v>127.583</v>
      </c>
      <c r="G155" s="433">
        <v>136.114</v>
      </c>
      <c r="H155" s="433">
        <v>139.905</v>
      </c>
      <c r="I155" s="433">
        <v>143.50700000000001</v>
      </c>
      <c r="J155" s="433">
        <v>138.578</v>
      </c>
      <c r="K155" s="433">
        <v>125.498</v>
      </c>
      <c r="L155" s="433">
        <v>123.602</v>
      </c>
      <c r="M155" s="433">
        <v>125.11799999999999</v>
      </c>
      <c r="N155" s="433">
        <v>130.047</v>
      </c>
      <c r="O155" s="433">
        <v>120.569</v>
      </c>
      <c r="P155" s="433">
        <v>25.591999999999999</v>
      </c>
      <c r="Q155" s="433">
        <v>8.7200000000000006</v>
      </c>
      <c r="R155" s="433">
        <v>0</v>
      </c>
      <c r="S155" s="433">
        <v>0</v>
      </c>
      <c r="T155" s="433">
        <v>0</v>
      </c>
      <c r="U155" s="433">
        <v>0</v>
      </c>
      <c r="V155" s="433">
        <v>0</v>
      </c>
      <c r="W155" s="433">
        <v>0</v>
      </c>
      <c r="X155" s="433">
        <v>0</v>
      </c>
      <c r="Y155" s="439">
        <v>0</v>
      </c>
    </row>
    <row r="156" spans="1:26" ht="13.5" thickBot="1" x14ac:dyDescent="0.25">
      <c r="A156" s="435" t="s">
        <v>117</v>
      </c>
      <c r="B156" s="429">
        <f t="shared" ref="B156:X156" si="56">(C155+B155)*(C154-B154)/2</f>
        <v>0.515073</v>
      </c>
      <c r="C156" s="430">
        <f t="shared" si="56"/>
        <v>0.3393380000000002</v>
      </c>
      <c r="D156" s="430">
        <f t="shared" si="56"/>
        <v>2.2062634999999999</v>
      </c>
      <c r="E156" s="430">
        <f t="shared" si="56"/>
        <v>9.7327124999999981</v>
      </c>
      <c r="F156" s="430">
        <f t="shared" si="56"/>
        <v>7.1198189999999988</v>
      </c>
      <c r="G156" s="430">
        <f t="shared" si="56"/>
        <v>5.9344085000000018</v>
      </c>
      <c r="H156" s="430">
        <f t="shared" si="56"/>
        <v>9.4943019999999976</v>
      </c>
      <c r="I156" s="430">
        <f t="shared" si="56"/>
        <v>9.167762500000002</v>
      </c>
      <c r="J156" s="430">
        <f t="shared" si="56"/>
        <v>5.2815200000000049</v>
      </c>
      <c r="K156" s="430">
        <f t="shared" si="56"/>
        <v>1.4946000000000015</v>
      </c>
      <c r="L156" s="430">
        <f t="shared" si="56"/>
        <v>1.2435999999999943</v>
      </c>
      <c r="M156" s="430">
        <f t="shared" si="56"/>
        <v>0.89307750000000075</v>
      </c>
      <c r="N156" s="430">
        <f t="shared" si="56"/>
        <v>1.0024640000000009</v>
      </c>
      <c r="O156" s="430">
        <f t="shared" si="56"/>
        <v>1.169288000000001</v>
      </c>
      <c r="P156" s="430">
        <f t="shared" si="56"/>
        <v>0.10293600000000008</v>
      </c>
      <c r="Q156" s="430">
        <f t="shared" si="56"/>
        <v>8.720000000000009E-3</v>
      </c>
      <c r="R156" s="430">
        <f t="shared" si="56"/>
        <v>0</v>
      </c>
      <c r="S156" s="430">
        <f t="shared" si="56"/>
        <v>0</v>
      </c>
      <c r="T156" s="430">
        <f t="shared" si="56"/>
        <v>0</v>
      </c>
      <c r="U156" s="430">
        <f t="shared" si="56"/>
        <v>0</v>
      </c>
      <c r="V156" s="430">
        <f t="shared" si="56"/>
        <v>0</v>
      </c>
      <c r="W156" s="430">
        <f t="shared" si="56"/>
        <v>0</v>
      </c>
      <c r="X156" s="430">
        <f t="shared" si="56"/>
        <v>0</v>
      </c>
      <c r="Y156" s="424"/>
    </row>
    <row r="157" spans="1:26" ht="13.5" thickBot="1" x14ac:dyDescent="0.25">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row>
    <row r="158" spans="1:26" ht="13.5" thickBot="1" x14ac:dyDescent="0.25">
      <c r="A158" s="416" t="s">
        <v>387</v>
      </c>
      <c r="B158" s="414">
        <f>ROW(A158)</f>
        <v>158</v>
      </c>
      <c r="C158" s="418" t="s">
        <v>116</v>
      </c>
      <c r="D158" s="408">
        <f>SUM(B161:Y161)</f>
        <v>57.190000000000005</v>
      </c>
      <c r="E158" s="418" t="s">
        <v>115</v>
      </c>
      <c r="F158" s="409">
        <f>D158/g/J158</f>
        <v>188.05695307618953</v>
      </c>
      <c r="G158" s="418" t="s">
        <v>57</v>
      </c>
      <c r="H158" s="86">
        <v>9.9000000000000005E-2</v>
      </c>
      <c r="I158" s="418" t="s">
        <v>272</v>
      </c>
      <c r="J158" s="410">
        <f>H158-L158</f>
        <v>3.1E-2</v>
      </c>
      <c r="K158" s="418" t="s">
        <v>273</v>
      </c>
      <c r="L158" s="86">
        <v>6.8000000000000005E-2</v>
      </c>
      <c r="M158" s="418" t="s">
        <v>58</v>
      </c>
      <c r="N158" s="87">
        <v>49</v>
      </c>
      <c r="O158" s="418" t="s">
        <v>60</v>
      </c>
      <c r="P158" s="87">
        <v>49</v>
      </c>
      <c r="Q158" s="418" t="s">
        <v>61</v>
      </c>
      <c r="R158" s="87">
        <v>98</v>
      </c>
      <c r="S158" s="418" t="s">
        <v>62</v>
      </c>
      <c r="T158" s="87">
        <v>29</v>
      </c>
      <c r="U158" s="418" t="s">
        <v>55</v>
      </c>
      <c r="V158" s="88" t="s">
        <v>402</v>
      </c>
      <c r="W158" s="546" t="s">
        <v>396</v>
      </c>
      <c r="X158" s="548">
        <v>0.96</v>
      </c>
      <c r="Y158" s="546" t="s">
        <v>395</v>
      </c>
      <c r="Z158" s="413">
        <v>12</v>
      </c>
    </row>
    <row r="159" spans="1:26" x14ac:dyDescent="0.2">
      <c r="A159" s="417" t="s">
        <v>33</v>
      </c>
      <c r="B159" s="441">
        <v>0</v>
      </c>
      <c r="C159" s="442">
        <v>0.01</v>
      </c>
      <c r="D159" s="442">
        <v>0.02</v>
      </c>
      <c r="E159" s="442">
        <v>0.03</v>
      </c>
      <c r="F159" s="442">
        <v>0.04</v>
      </c>
      <c r="G159" s="442">
        <v>7.0000000000000007E-2</v>
      </c>
      <c r="H159" s="442">
        <v>0.1</v>
      </c>
      <c r="I159" s="442">
        <v>0.2</v>
      </c>
      <c r="J159" s="442">
        <v>0.3</v>
      </c>
      <c r="K159" s="442">
        <v>0.4</v>
      </c>
      <c r="L159" s="442">
        <v>0.5</v>
      </c>
      <c r="M159" s="442">
        <v>0.6</v>
      </c>
      <c r="N159" s="442">
        <v>0.7</v>
      </c>
      <c r="O159" s="442">
        <v>0.87</v>
      </c>
      <c r="P159" s="442">
        <v>0.9</v>
      </c>
      <c r="Q159" s="442">
        <v>0.97</v>
      </c>
      <c r="R159" s="442">
        <v>0.97</v>
      </c>
      <c r="S159" s="442">
        <v>0.97</v>
      </c>
      <c r="T159" s="442">
        <v>0.97</v>
      </c>
      <c r="U159" s="442">
        <v>0.97</v>
      </c>
      <c r="V159" s="442">
        <v>0.97</v>
      </c>
      <c r="W159" s="442">
        <v>0.97</v>
      </c>
      <c r="X159" s="442">
        <v>2</v>
      </c>
      <c r="Y159" s="444">
        <v>1000</v>
      </c>
    </row>
    <row r="160" spans="1:26" x14ac:dyDescent="0.2">
      <c r="A160" s="434" t="s">
        <v>34</v>
      </c>
      <c r="B160" s="443">
        <v>0</v>
      </c>
      <c r="C160" s="433">
        <v>16</v>
      </c>
      <c r="D160" s="433">
        <v>62</v>
      </c>
      <c r="E160" s="433">
        <v>67</v>
      </c>
      <c r="F160" s="433">
        <v>71</v>
      </c>
      <c r="G160" s="433">
        <v>58</v>
      </c>
      <c r="H160" s="433">
        <v>63</v>
      </c>
      <c r="I160" s="433">
        <v>67</v>
      </c>
      <c r="J160" s="433">
        <v>69</v>
      </c>
      <c r="K160" s="433">
        <v>67</v>
      </c>
      <c r="L160" s="433">
        <v>65</v>
      </c>
      <c r="M160" s="433">
        <v>63</v>
      </c>
      <c r="N160" s="433">
        <v>61</v>
      </c>
      <c r="O160" s="433">
        <v>60</v>
      </c>
      <c r="P160" s="433">
        <v>23</v>
      </c>
      <c r="Q160" s="433">
        <v>0</v>
      </c>
      <c r="R160" s="433">
        <v>0</v>
      </c>
      <c r="S160" s="433">
        <v>0</v>
      </c>
      <c r="T160" s="433">
        <v>0</v>
      </c>
      <c r="U160" s="433">
        <v>0</v>
      </c>
      <c r="V160" s="433">
        <v>0</v>
      </c>
      <c r="W160" s="433">
        <v>0</v>
      </c>
      <c r="X160" s="433">
        <v>0</v>
      </c>
      <c r="Y160" s="439">
        <v>0</v>
      </c>
    </row>
    <row r="161" spans="1:26" ht="13.5" thickBot="1" x14ac:dyDescent="0.25">
      <c r="A161" s="435" t="s">
        <v>117</v>
      </c>
      <c r="B161" s="429">
        <f t="shared" ref="B161:X161" si="57">(C160+B160)*(C159-B159)/2</f>
        <v>0.08</v>
      </c>
      <c r="C161" s="430">
        <f t="shared" si="57"/>
        <v>0.39</v>
      </c>
      <c r="D161" s="430">
        <f t="shared" si="57"/>
        <v>0.64499999999999991</v>
      </c>
      <c r="E161" s="430">
        <f t="shared" si="57"/>
        <v>0.69000000000000017</v>
      </c>
      <c r="F161" s="430">
        <f t="shared" si="57"/>
        <v>1.9350000000000003</v>
      </c>
      <c r="G161" s="430">
        <f t="shared" si="57"/>
        <v>1.8149999999999999</v>
      </c>
      <c r="H161" s="430">
        <f t="shared" si="57"/>
        <v>6.5</v>
      </c>
      <c r="I161" s="430">
        <f t="shared" si="57"/>
        <v>6.7999999999999989</v>
      </c>
      <c r="J161" s="430">
        <f t="shared" si="57"/>
        <v>6.8000000000000025</v>
      </c>
      <c r="K161" s="430">
        <f t="shared" si="57"/>
        <v>6.5999999999999988</v>
      </c>
      <c r="L161" s="430">
        <f t="shared" si="57"/>
        <v>6.3999999999999986</v>
      </c>
      <c r="M161" s="430">
        <f t="shared" si="57"/>
        <v>6.1999999999999984</v>
      </c>
      <c r="N161" s="430">
        <f t="shared" si="57"/>
        <v>10.285000000000002</v>
      </c>
      <c r="O161" s="430">
        <f t="shared" si="57"/>
        <v>1.245000000000001</v>
      </c>
      <c r="P161" s="430">
        <f t="shared" si="57"/>
        <v>0.80499999999999949</v>
      </c>
      <c r="Q161" s="430">
        <f t="shared" si="57"/>
        <v>0</v>
      </c>
      <c r="R161" s="430">
        <f t="shared" si="57"/>
        <v>0</v>
      </c>
      <c r="S161" s="430">
        <f t="shared" si="57"/>
        <v>0</v>
      </c>
      <c r="T161" s="430">
        <f t="shared" si="57"/>
        <v>0</v>
      </c>
      <c r="U161" s="430">
        <f t="shared" si="57"/>
        <v>0</v>
      </c>
      <c r="V161" s="430">
        <f t="shared" si="57"/>
        <v>0</v>
      </c>
      <c r="W161" s="430">
        <f t="shared" si="57"/>
        <v>0</v>
      </c>
      <c r="X161" s="430">
        <f t="shared" si="57"/>
        <v>0</v>
      </c>
      <c r="Y161" s="424"/>
    </row>
    <row r="162" spans="1:26" ht="13.5" thickBot="1" x14ac:dyDescent="0.25">
      <c r="A162" s="492" t="s">
        <v>316</v>
      </c>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row>
    <row r="163" spans="1:26" ht="13.5" thickBot="1" x14ac:dyDescent="0.25">
      <c r="A163" s="416" t="s">
        <v>323</v>
      </c>
      <c r="B163" s="414">
        <f>ROW(A163)</f>
        <v>163</v>
      </c>
      <c r="C163" s="418" t="s">
        <v>116</v>
      </c>
      <c r="D163" s="408">
        <f>SUM(B166:Y166)</f>
        <v>59.702267000000006</v>
      </c>
      <c r="E163" s="418" t="s">
        <v>115</v>
      </c>
      <c r="F163" s="409">
        <f>D163/g/J163</f>
        <v>190.77924771281306</v>
      </c>
      <c r="G163" s="418" t="s">
        <v>57</v>
      </c>
      <c r="H163" s="86">
        <v>9.3899999999999997E-2</v>
      </c>
      <c r="I163" s="418" t="s">
        <v>272</v>
      </c>
      <c r="J163" s="410">
        <f>H163-L163</f>
        <v>3.1899999999999998E-2</v>
      </c>
      <c r="K163" s="418" t="s">
        <v>273</v>
      </c>
      <c r="L163" s="86">
        <f>0.095-0.033</f>
        <v>6.2E-2</v>
      </c>
      <c r="M163" s="418" t="s">
        <v>58</v>
      </c>
      <c r="N163" s="457">
        <v>66.5</v>
      </c>
      <c r="O163" s="418" t="s">
        <v>60</v>
      </c>
      <c r="P163" s="457">
        <v>66.5</v>
      </c>
      <c r="Q163" s="418" t="s">
        <v>61</v>
      </c>
      <c r="R163" s="87">
        <v>133</v>
      </c>
      <c r="S163" s="418" t="s">
        <v>62</v>
      </c>
      <c r="T163" s="87">
        <v>24</v>
      </c>
      <c r="U163" s="418" t="s">
        <v>55</v>
      </c>
      <c r="V163" s="88" t="s">
        <v>401</v>
      </c>
      <c r="W163" s="546" t="s">
        <v>396</v>
      </c>
      <c r="X163" s="548">
        <v>1.2</v>
      </c>
      <c r="Y163" s="546" t="s">
        <v>395</v>
      </c>
      <c r="Z163" s="413">
        <v>13</v>
      </c>
    </row>
    <row r="164" spans="1:26" x14ac:dyDescent="0.2">
      <c r="A164" s="417" t="s">
        <v>33</v>
      </c>
      <c r="B164" s="425">
        <v>0</v>
      </c>
      <c r="C164" s="426">
        <v>1.4999999999999999E-2</v>
      </c>
      <c r="D164" s="426">
        <v>2.1999999999999999E-2</v>
      </c>
      <c r="E164" s="426">
        <v>6.4000000000000001E-2</v>
      </c>
      <c r="F164" s="426">
        <v>0.11799999999999999</v>
      </c>
      <c r="G164" s="426">
        <v>0.34200000000000003</v>
      </c>
      <c r="H164" s="426">
        <v>0.53600000000000003</v>
      </c>
      <c r="I164" s="426">
        <v>0.74299999999999999</v>
      </c>
      <c r="J164" s="426">
        <v>0.88400000000000001</v>
      </c>
      <c r="K164" s="426">
        <v>0.97599999999999998</v>
      </c>
      <c r="L164" s="426">
        <v>1.0960000000000001</v>
      </c>
      <c r="M164" s="426">
        <v>1.246</v>
      </c>
      <c r="N164" s="426">
        <v>1.298</v>
      </c>
      <c r="O164" s="442">
        <v>2</v>
      </c>
      <c r="P164" s="442">
        <v>2</v>
      </c>
      <c r="Q164" s="442">
        <v>2</v>
      </c>
      <c r="R164" s="442">
        <v>2</v>
      </c>
      <c r="S164" s="442">
        <v>2</v>
      </c>
      <c r="T164" s="442">
        <v>2</v>
      </c>
      <c r="U164" s="442">
        <v>2</v>
      </c>
      <c r="V164" s="442">
        <v>2</v>
      </c>
      <c r="W164" s="442">
        <v>2</v>
      </c>
      <c r="X164" s="442">
        <f t="shared" ref="T164:X165" si="58">W164</f>
        <v>2</v>
      </c>
      <c r="Y164" s="444">
        <v>1000</v>
      </c>
    </row>
    <row r="165" spans="1:26" x14ac:dyDescent="0.2">
      <c r="A165" s="434" t="s">
        <v>34</v>
      </c>
      <c r="B165" s="427">
        <v>0</v>
      </c>
      <c r="C165" s="428">
        <v>64.981999999999999</v>
      </c>
      <c r="D165" s="428">
        <v>69.516000000000005</v>
      </c>
      <c r="E165" s="428">
        <v>55.536999999999999</v>
      </c>
      <c r="F165" s="428">
        <v>62.81</v>
      </c>
      <c r="G165" s="428">
        <v>62.149000000000001</v>
      </c>
      <c r="H165" s="428">
        <v>59.41</v>
      </c>
      <c r="I165" s="428">
        <v>53.837000000000003</v>
      </c>
      <c r="J165" s="428">
        <v>46.942</v>
      </c>
      <c r="K165" s="428">
        <v>40.046999999999997</v>
      </c>
      <c r="L165" s="428">
        <v>12.561999999999999</v>
      </c>
      <c r="M165" s="428">
        <v>2.0779999999999998</v>
      </c>
      <c r="N165" s="428">
        <v>0</v>
      </c>
      <c r="O165" s="433">
        <v>0</v>
      </c>
      <c r="P165" s="433">
        <v>0</v>
      </c>
      <c r="Q165" s="433">
        <v>0</v>
      </c>
      <c r="R165" s="433">
        <v>0</v>
      </c>
      <c r="S165" s="433">
        <v>0</v>
      </c>
      <c r="T165" s="433">
        <f t="shared" si="58"/>
        <v>0</v>
      </c>
      <c r="U165" s="433">
        <f t="shared" si="58"/>
        <v>0</v>
      </c>
      <c r="V165" s="433">
        <f t="shared" si="58"/>
        <v>0</v>
      </c>
      <c r="W165" s="433">
        <f t="shared" si="58"/>
        <v>0</v>
      </c>
      <c r="X165" s="433">
        <f t="shared" si="58"/>
        <v>0</v>
      </c>
      <c r="Y165" s="439">
        <v>0</v>
      </c>
    </row>
    <row r="166" spans="1:26" ht="13.5" thickBot="1" x14ac:dyDescent="0.25">
      <c r="A166" s="435" t="s">
        <v>117</v>
      </c>
      <c r="B166" s="429">
        <f t="shared" ref="B166:V166" si="59">(C165+B165)*(C164-B164)/2</f>
        <v>0.48736499999999999</v>
      </c>
      <c r="C166" s="430">
        <f t="shared" si="59"/>
        <v>0.47074299999999991</v>
      </c>
      <c r="D166" s="430">
        <f t="shared" si="59"/>
        <v>2.6261130000000001</v>
      </c>
      <c r="E166" s="430">
        <f t="shared" si="59"/>
        <v>3.1953689999999999</v>
      </c>
      <c r="F166" s="430">
        <f t="shared" si="59"/>
        <v>13.995408000000003</v>
      </c>
      <c r="G166" s="430">
        <f t="shared" si="59"/>
        <v>11.791223</v>
      </c>
      <c r="H166" s="430">
        <f t="shared" si="59"/>
        <v>11.721064499999997</v>
      </c>
      <c r="I166" s="430">
        <f t="shared" si="59"/>
        <v>7.1049195000000003</v>
      </c>
      <c r="J166" s="430">
        <f>(K165+J165)*(K164-J164)/2</f>
        <v>4.0014939999999992</v>
      </c>
      <c r="K166" s="430">
        <f t="shared" si="59"/>
        <v>3.1565400000000023</v>
      </c>
      <c r="L166" s="430">
        <f t="shared" si="59"/>
        <v>1.0979999999999992</v>
      </c>
      <c r="M166" s="430">
        <f t="shared" si="59"/>
        <v>5.4028000000000041E-2</v>
      </c>
      <c r="N166" s="430">
        <f t="shared" si="59"/>
        <v>0</v>
      </c>
      <c r="O166" s="430">
        <f t="shared" si="59"/>
        <v>0</v>
      </c>
      <c r="P166" s="430">
        <f t="shared" si="59"/>
        <v>0</v>
      </c>
      <c r="Q166" s="430">
        <f t="shared" si="59"/>
        <v>0</v>
      </c>
      <c r="R166" s="430">
        <f t="shared" si="59"/>
        <v>0</v>
      </c>
      <c r="S166" s="430">
        <f>(T165+S165)*(T164-S164)/2</f>
        <v>0</v>
      </c>
      <c r="T166" s="430">
        <f t="shared" si="59"/>
        <v>0</v>
      </c>
      <c r="U166" s="430">
        <f t="shared" si="59"/>
        <v>0</v>
      </c>
      <c r="V166" s="430">
        <f t="shared" si="59"/>
        <v>0</v>
      </c>
      <c r="W166" s="430">
        <f>(X165+W165)*(X164-W164)/2</f>
        <v>0</v>
      </c>
      <c r="X166" s="430">
        <f>(Y165+X165)*(Y164-X164)/2</f>
        <v>0</v>
      </c>
      <c r="Y166" s="424"/>
    </row>
    <row r="167" spans="1:26" ht="13.5" thickBot="1" x14ac:dyDescent="0.25"/>
    <row r="168" spans="1:26" ht="13.5" thickBot="1" x14ac:dyDescent="0.25">
      <c r="A168" s="416" t="s">
        <v>324</v>
      </c>
      <c r="B168" s="414">
        <f>ROW(A168)</f>
        <v>168</v>
      </c>
      <c r="C168" s="418" t="s">
        <v>116</v>
      </c>
      <c r="D168" s="408">
        <f>SUM(B171:Y171)</f>
        <v>68.380602999999994</v>
      </c>
      <c r="E168" s="418" t="s">
        <v>115</v>
      </c>
      <c r="F168" s="409">
        <f>D168/g/J168</f>
        <v>134.04807300243078</v>
      </c>
      <c r="G168" s="418" t="s">
        <v>57</v>
      </c>
      <c r="H168" s="86">
        <v>0.1075</v>
      </c>
      <c r="I168" s="418" t="s">
        <v>272</v>
      </c>
      <c r="J168" s="410">
        <f>H168-L168</f>
        <v>5.1999999999999998E-2</v>
      </c>
      <c r="K168" s="418" t="s">
        <v>273</v>
      </c>
      <c r="L168" s="86">
        <v>5.5500000000000001E-2</v>
      </c>
      <c r="M168" s="418" t="s">
        <v>58</v>
      </c>
      <c r="N168" s="457">
        <v>66.5</v>
      </c>
      <c r="O168" s="418" t="s">
        <v>60</v>
      </c>
      <c r="P168" s="457">
        <v>66.5</v>
      </c>
      <c r="Q168" s="418" t="s">
        <v>61</v>
      </c>
      <c r="R168" s="87">
        <v>133</v>
      </c>
      <c r="S168" s="418" t="s">
        <v>62</v>
      </c>
      <c r="T168" s="87">
        <v>24</v>
      </c>
      <c r="U168" s="418" t="s">
        <v>55</v>
      </c>
      <c r="V168" s="88" t="s">
        <v>401</v>
      </c>
      <c r="W168" s="546" t="s">
        <v>396</v>
      </c>
      <c r="X168" s="548">
        <v>0.86</v>
      </c>
      <c r="Y168" s="546" t="s">
        <v>395</v>
      </c>
      <c r="Z168" s="413">
        <v>13</v>
      </c>
    </row>
    <row r="169" spans="1:26" x14ac:dyDescent="0.2">
      <c r="A169" s="417" t="s">
        <v>33</v>
      </c>
      <c r="B169" s="441">
        <v>0</v>
      </c>
      <c r="C169" s="442">
        <v>5.0000000000000001E-3</v>
      </c>
      <c r="D169" s="442">
        <v>1.2999999999999999E-2</v>
      </c>
      <c r="E169" s="442">
        <v>2.1999999999999999E-2</v>
      </c>
      <c r="F169" s="442">
        <v>4.2999999999999997E-2</v>
      </c>
      <c r="G169" s="442">
        <v>0.11899999999999999</v>
      </c>
      <c r="H169" s="442">
        <v>0.19800000000000001</v>
      </c>
      <c r="I169" s="442">
        <v>0.26700000000000002</v>
      </c>
      <c r="J169" s="442">
        <v>0.34300000000000003</v>
      </c>
      <c r="K169" s="442">
        <v>0.40400000000000003</v>
      </c>
      <c r="L169" s="442">
        <v>0.498</v>
      </c>
      <c r="M169" s="442">
        <v>0.55500000000000005</v>
      </c>
      <c r="N169" s="442">
        <v>0.622</v>
      </c>
      <c r="O169" s="442">
        <v>0.66300000000000003</v>
      </c>
      <c r="P169" s="442">
        <v>0.70399999999999996</v>
      </c>
      <c r="Q169" s="442">
        <v>0.72899999999999998</v>
      </c>
      <c r="R169" s="442">
        <v>0.747</v>
      </c>
      <c r="S169" s="442">
        <v>0.76800000000000002</v>
      </c>
      <c r="T169" s="442">
        <v>0.82099999999999995</v>
      </c>
      <c r="U169" s="442">
        <v>0.85199999999999998</v>
      </c>
      <c r="V169" s="442">
        <v>0.89200000000000002</v>
      </c>
      <c r="W169" s="442">
        <v>1</v>
      </c>
      <c r="X169" s="442">
        <v>2</v>
      </c>
      <c r="Y169" s="444">
        <v>1000</v>
      </c>
    </row>
    <row r="170" spans="1:26" x14ac:dyDescent="0.2">
      <c r="A170" s="434" t="s">
        <v>34</v>
      </c>
      <c r="B170" s="443">
        <v>0</v>
      </c>
      <c r="C170" s="433">
        <v>60</v>
      </c>
      <c r="D170" s="433">
        <v>89.007000000000005</v>
      </c>
      <c r="E170" s="433">
        <v>96.290999999999997</v>
      </c>
      <c r="F170" s="433">
        <v>81.721999999999994</v>
      </c>
      <c r="G170" s="433">
        <v>85.563000000000002</v>
      </c>
      <c r="H170" s="433">
        <v>87.947000000000003</v>
      </c>
      <c r="I170" s="433">
        <v>89.272000000000006</v>
      </c>
      <c r="J170" s="433">
        <v>89.933999999999997</v>
      </c>
      <c r="K170" s="433">
        <v>90.861000000000004</v>
      </c>
      <c r="L170" s="433">
        <v>91.522999999999996</v>
      </c>
      <c r="M170" s="433">
        <v>89.668999999999997</v>
      </c>
      <c r="N170" s="433">
        <v>83.974000000000004</v>
      </c>
      <c r="O170" s="433">
        <v>80.53</v>
      </c>
      <c r="P170" s="433">
        <v>78.94</v>
      </c>
      <c r="Q170" s="433">
        <v>74.171999999999997</v>
      </c>
      <c r="R170" s="433">
        <v>66.887</v>
      </c>
      <c r="S170" s="433">
        <v>53.774999999999999</v>
      </c>
      <c r="T170" s="433">
        <v>18.542999999999999</v>
      </c>
      <c r="U170" s="433">
        <v>7.8150000000000004</v>
      </c>
      <c r="V170" s="433">
        <v>2.1190000000000002</v>
      </c>
      <c r="W170" s="433">
        <v>0</v>
      </c>
      <c r="X170" s="433">
        <v>0</v>
      </c>
      <c r="Y170" s="439">
        <v>0</v>
      </c>
    </row>
    <row r="171" spans="1:26" ht="13.5" thickBot="1" x14ac:dyDescent="0.25">
      <c r="A171" s="435" t="s">
        <v>117</v>
      </c>
      <c r="B171" s="429">
        <f t="shared" ref="B171:X171" si="60">(C170+B170)*(C169-B169)/2</f>
        <v>0.15</v>
      </c>
      <c r="C171" s="430">
        <f t="shared" si="60"/>
        <v>0.596028</v>
      </c>
      <c r="D171" s="430">
        <f t="shared" si="60"/>
        <v>0.83384099999999994</v>
      </c>
      <c r="E171" s="430">
        <f t="shared" si="60"/>
        <v>1.8691364999999995</v>
      </c>
      <c r="F171" s="430">
        <f t="shared" si="60"/>
        <v>6.3568299999999995</v>
      </c>
      <c r="G171" s="430">
        <f t="shared" si="60"/>
        <v>6.8536450000000011</v>
      </c>
      <c r="H171" s="430">
        <f t="shared" si="60"/>
        <v>6.1140555000000001</v>
      </c>
      <c r="I171" s="430">
        <f t="shared" si="60"/>
        <v>6.8098280000000013</v>
      </c>
      <c r="J171" s="430">
        <f t="shared" si="60"/>
        <v>5.5142475000000006</v>
      </c>
      <c r="K171" s="430">
        <f t="shared" si="60"/>
        <v>8.5720479999999988</v>
      </c>
      <c r="L171" s="430">
        <f t="shared" si="60"/>
        <v>5.1639720000000047</v>
      </c>
      <c r="M171" s="430">
        <f t="shared" si="60"/>
        <v>5.8170404999999956</v>
      </c>
      <c r="N171" s="430">
        <f t="shared" si="60"/>
        <v>3.3723320000000032</v>
      </c>
      <c r="O171" s="430">
        <f t="shared" si="60"/>
        <v>3.2691349999999941</v>
      </c>
      <c r="P171" s="430">
        <f t="shared" si="60"/>
        <v>1.9139000000000017</v>
      </c>
      <c r="Q171" s="430">
        <f t="shared" si="60"/>
        <v>1.2695310000000011</v>
      </c>
      <c r="R171" s="430">
        <f t="shared" si="60"/>
        <v>1.2669510000000013</v>
      </c>
      <c r="S171" s="430">
        <f t="shared" si="60"/>
        <v>1.9164269999999977</v>
      </c>
      <c r="T171" s="430">
        <f t="shared" si="60"/>
        <v>0.40854900000000038</v>
      </c>
      <c r="U171" s="430">
        <f t="shared" si="60"/>
        <v>0.19868000000000019</v>
      </c>
      <c r="V171" s="430">
        <f t="shared" si="60"/>
        <v>0.114426</v>
      </c>
      <c r="W171" s="430">
        <f t="shared" si="60"/>
        <v>0</v>
      </c>
      <c r="X171" s="430">
        <f t="shared" si="60"/>
        <v>0</v>
      </c>
      <c r="Y171" s="424"/>
    </row>
    <row r="172" spans="1:26" ht="13.5" thickBot="1" x14ac:dyDescent="0.25">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row>
    <row r="173" spans="1:26" ht="13.5" thickBot="1" x14ac:dyDescent="0.25">
      <c r="A173" s="416" t="s">
        <v>325</v>
      </c>
      <c r="B173" s="414">
        <f>ROW(A173)</f>
        <v>173</v>
      </c>
      <c r="C173" s="418" t="s">
        <v>116</v>
      </c>
      <c r="D173" s="408">
        <f>SUM(B176:Y176)</f>
        <v>67.985428500000012</v>
      </c>
      <c r="E173" s="418" t="s">
        <v>115</v>
      </c>
      <c r="F173" s="409">
        <f>D173/g/J173</f>
        <v>181.89545859519862</v>
      </c>
      <c r="G173" s="418" t="s">
        <v>57</v>
      </c>
      <c r="H173" s="86">
        <v>9.1799999999999993E-2</v>
      </c>
      <c r="I173" s="418" t="s">
        <v>272</v>
      </c>
      <c r="J173" s="410">
        <f>H173-L173</f>
        <v>3.8099999999999988E-2</v>
      </c>
      <c r="K173" s="418" t="s">
        <v>273</v>
      </c>
      <c r="L173" s="86">
        <v>5.3700000000000005E-2</v>
      </c>
      <c r="M173" s="418" t="s">
        <v>58</v>
      </c>
      <c r="N173" s="457">
        <v>66.5</v>
      </c>
      <c r="O173" s="418" t="s">
        <v>60</v>
      </c>
      <c r="P173" s="457">
        <v>66.5</v>
      </c>
      <c r="Q173" s="418" t="s">
        <v>61</v>
      </c>
      <c r="R173" s="87">
        <v>133</v>
      </c>
      <c r="S173" s="418" t="s">
        <v>62</v>
      </c>
      <c r="T173" s="87">
        <v>24</v>
      </c>
      <c r="U173" s="418" t="s">
        <v>55</v>
      </c>
      <c r="V173" s="88" t="s">
        <v>401</v>
      </c>
      <c r="W173" s="546" t="s">
        <v>396</v>
      </c>
      <c r="X173" s="548">
        <v>0.33</v>
      </c>
      <c r="Y173" s="546" t="s">
        <v>395</v>
      </c>
      <c r="Z173" s="413">
        <v>15</v>
      </c>
    </row>
    <row r="174" spans="1:26" x14ac:dyDescent="0.2">
      <c r="A174" s="417" t="s">
        <v>33</v>
      </c>
      <c r="B174" s="441">
        <v>0</v>
      </c>
      <c r="C174" s="442">
        <v>4.0000000000000001E-3</v>
      </c>
      <c r="D174" s="442">
        <v>7.0000000000000001E-3</v>
      </c>
      <c r="E174" s="442">
        <v>0.01</v>
      </c>
      <c r="F174" s="442">
        <v>2.1999999999999999E-2</v>
      </c>
      <c r="G174" s="442">
        <v>2.8000000000000001E-2</v>
      </c>
      <c r="H174" s="442">
        <v>4.1000000000000002E-2</v>
      </c>
      <c r="I174" s="442">
        <v>5.8000000000000003E-2</v>
      </c>
      <c r="J174" s="442">
        <v>7.6999999999999999E-2</v>
      </c>
      <c r="K174" s="442">
        <v>8.8999999999999996E-2</v>
      </c>
      <c r="L174" s="442">
        <v>9.7000000000000003E-2</v>
      </c>
      <c r="M174" s="442">
        <v>0.11899999999999999</v>
      </c>
      <c r="N174" s="442">
        <v>0.14699999999999999</v>
      </c>
      <c r="O174" s="442">
        <v>0.17699999999999999</v>
      </c>
      <c r="P174" s="442">
        <v>0.20699999999999999</v>
      </c>
      <c r="Q174" s="442">
        <v>0.253</v>
      </c>
      <c r="R174" s="442">
        <v>0.25900000000000001</v>
      </c>
      <c r="S174" s="442">
        <v>0.27200000000000002</v>
      </c>
      <c r="T174" s="442">
        <v>0.28000000000000003</v>
      </c>
      <c r="U174" s="442">
        <v>0.28599999999999998</v>
      </c>
      <c r="V174" s="442">
        <v>0.29399999999999998</v>
      </c>
      <c r="W174" s="442">
        <v>0.32800000000000001</v>
      </c>
      <c r="X174" s="442">
        <v>2</v>
      </c>
      <c r="Y174" s="444">
        <v>1000</v>
      </c>
    </row>
    <row r="175" spans="1:26" x14ac:dyDescent="0.2">
      <c r="A175" s="434" t="s">
        <v>34</v>
      </c>
      <c r="B175" s="443">
        <v>0</v>
      </c>
      <c r="C175" s="431">
        <v>100.52800000000001</v>
      </c>
      <c r="D175" s="431">
        <v>197.49299999999999</v>
      </c>
      <c r="E175" s="431">
        <v>222.03200000000001</v>
      </c>
      <c r="F175" s="431">
        <v>241.42500000000001</v>
      </c>
      <c r="G175" s="431">
        <v>237.863</v>
      </c>
      <c r="H175" s="431">
        <v>239.446</v>
      </c>
      <c r="I175" s="431">
        <v>252.50700000000001</v>
      </c>
      <c r="J175" s="431">
        <v>263.98399999999998</v>
      </c>
      <c r="K175" s="431">
        <v>275.46199999999999</v>
      </c>
      <c r="L175" s="431">
        <v>271.50400000000002</v>
      </c>
      <c r="M175" s="431">
        <v>278.62799999999999</v>
      </c>
      <c r="N175" s="431">
        <v>281.39800000000002</v>
      </c>
      <c r="O175" s="431">
        <v>272.29599999999999</v>
      </c>
      <c r="P175" s="431">
        <v>258.44299999999998</v>
      </c>
      <c r="Q175" s="431">
        <v>218.47</v>
      </c>
      <c r="R175" s="431">
        <v>188.786</v>
      </c>
      <c r="S175" s="431">
        <v>74.802000000000007</v>
      </c>
      <c r="T175" s="431">
        <v>31.265999999999998</v>
      </c>
      <c r="U175" s="431">
        <v>15.831</v>
      </c>
      <c r="V175" s="431">
        <v>8.7070000000000007</v>
      </c>
      <c r="W175" s="431">
        <v>0</v>
      </c>
      <c r="X175" s="433">
        <v>0</v>
      </c>
      <c r="Y175" s="439">
        <v>0</v>
      </c>
    </row>
    <row r="176" spans="1:26" ht="13.5" thickBot="1" x14ac:dyDescent="0.25">
      <c r="A176" s="435" t="s">
        <v>117</v>
      </c>
      <c r="B176" s="429">
        <f t="shared" ref="B176:X176" si="61">(C175+B175)*(C174-B174)/2</f>
        <v>0.20105600000000001</v>
      </c>
      <c r="C176" s="430">
        <f t="shared" si="61"/>
        <v>0.44703150000000003</v>
      </c>
      <c r="D176" s="430">
        <f t="shared" si="61"/>
        <v>0.6292875</v>
      </c>
      <c r="E176" s="430">
        <f t="shared" si="61"/>
        <v>2.7807419999999996</v>
      </c>
      <c r="F176" s="430">
        <f t="shared" si="61"/>
        <v>1.4378640000000005</v>
      </c>
      <c r="G176" s="430">
        <f t="shared" si="61"/>
        <v>3.1025084999999999</v>
      </c>
      <c r="H176" s="430">
        <f t="shared" si="61"/>
        <v>4.1816005000000001</v>
      </c>
      <c r="I176" s="430">
        <f t="shared" si="61"/>
        <v>4.9066644999999989</v>
      </c>
      <c r="J176" s="430">
        <f t="shared" si="61"/>
        <v>3.2366759999999988</v>
      </c>
      <c r="K176" s="430">
        <f t="shared" si="61"/>
        <v>2.187864000000002</v>
      </c>
      <c r="L176" s="430">
        <f t="shared" si="61"/>
        <v>6.0514519999999985</v>
      </c>
      <c r="M176" s="430">
        <f t="shared" si="61"/>
        <v>7.8403640000000001</v>
      </c>
      <c r="N176" s="430">
        <f t="shared" si="61"/>
        <v>8.3054099999999984</v>
      </c>
      <c r="O176" s="430">
        <f t="shared" si="61"/>
        <v>7.9610850000000006</v>
      </c>
      <c r="P176" s="430">
        <f t="shared" si="61"/>
        <v>10.968999000000004</v>
      </c>
      <c r="Q176" s="430">
        <f t="shared" si="61"/>
        <v>1.2217680000000011</v>
      </c>
      <c r="R176" s="430">
        <f t="shared" si="61"/>
        <v>1.7133220000000016</v>
      </c>
      <c r="S176" s="430">
        <f t="shared" si="61"/>
        <v>0.42427200000000043</v>
      </c>
      <c r="T176" s="430">
        <f t="shared" si="61"/>
        <v>0.14129099999999881</v>
      </c>
      <c r="U176" s="430">
        <f t="shared" si="61"/>
        <v>9.8152000000000086E-2</v>
      </c>
      <c r="V176" s="430">
        <f t="shared" si="61"/>
        <v>0.14801900000000015</v>
      </c>
      <c r="W176" s="430">
        <f t="shared" si="61"/>
        <v>0</v>
      </c>
      <c r="X176" s="430">
        <f t="shared" si="61"/>
        <v>0</v>
      </c>
      <c r="Y176" s="424"/>
    </row>
    <row r="177" spans="1:26" ht="13.5" thickBot="1" x14ac:dyDescent="0.25">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row>
    <row r="178" spans="1:26" ht="13.5" thickBot="1" x14ac:dyDescent="0.25">
      <c r="A178" s="416" t="s">
        <v>326</v>
      </c>
      <c r="B178" s="414">
        <f>ROW(A178)</f>
        <v>178</v>
      </c>
      <c r="C178" s="418" t="s">
        <v>116</v>
      </c>
      <c r="D178" s="408">
        <f>SUM(B181:Y181)</f>
        <v>73.557381500000005</v>
      </c>
      <c r="E178" s="418" t="s">
        <v>115</v>
      </c>
      <c r="F178" s="409">
        <f>D178/g/J178</f>
        <v>156.86619302308719</v>
      </c>
      <c r="G178" s="418" t="s">
        <v>57</v>
      </c>
      <c r="H178" s="86">
        <v>0.1022</v>
      </c>
      <c r="I178" s="418" t="s">
        <v>272</v>
      </c>
      <c r="J178" s="410">
        <f>H178-L178</f>
        <v>4.7800000000000002E-2</v>
      </c>
      <c r="K178" s="418" t="s">
        <v>273</v>
      </c>
      <c r="L178" s="86">
        <v>5.4399999999999997E-2</v>
      </c>
      <c r="M178" s="418" t="s">
        <v>58</v>
      </c>
      <c r="N178" s="457">
        <v>66.5</v>
      </c>
      <c r="O178" s="418" t="s">
        <v>60</v>
      </c>
      <c r="P178" s="457">
        <v>66.5</v>
      </c>
      <c r="Q178" s="418" t="s">
        <v>61</v>
      </c>
      <c r="R178" s="87">
        <v>133</v>
      </c>
      <c r="S178" s="418" t="s">
        <v>62</v>
      </c>
      <c r="T178" s="87">
        <v>24</v>
      </c>
      <c r="U178" s="418" t="s">
        <v>55</v>
      </c>
      <c r="V178" s="88" t="s">
        <v>401</v>
      </c>
      <c r="W178" s="546" t="s">
        <v>396</v>
      </c>
      <c r="X178" s="548">
        <v>2.36</v>
      </c>
      <c r="Y178" s="546" t="s">
        <v>395</v>
      </c>
      <c r="Z178" s="413">
        <v>6</v>
      </c>
    </row>
    <row r="179" spans="1:26" x14ac:dyDescent="0.2">
      <c r="A179" s="417" t="s">
        <v>33</v>
      </c>
      <c r="B179" s="441">
        <v>0</v>
      </c>
      <c r="C179" s="442">
        <v>1.4E-2</v>
      </c>
      <c r="D179" s="442">
        <v>5.6000000000000001E-2</v>
      </c>
      <c r="E179" s="442">
        <v>9.1999999999999998E-2</v>
      </c>
      <c r="F179" s="442">
        <v>0.16</v>
      </c>
      <c r="G179" s="442">
        <v>0.23200000000000001</v>
      </c>
      <c r="H179" s="442">
        <v>0.36299999999999999</v>
      </c>
      <c r="I179" s="442">
        <v>0.499</v>
      </c>
      <c r="J179" s="442">
        <v>0.65500000000000003</v>
      </c>
      <c r="K179" s="442">
        <v>0.84299999999999997</v>
      </c>
      <c r="L179" s="442">
        <v>1.216</v>
      </c>
      <c r="M179" s="442">
        <v>1.3680000000000001</v>
      </c>
      <c r="N179" s="442">
        <v>1.54</v>
      </c>
      <c r="O179" s="442">
        <v>1.675</v>
      </c>
      <c r="P179" s="442">
        <v>1.861</v>
      </c>
      <c r="Q179" s="442">
        <v>2.0129999999999999</v>
      </c>
      <c r="R179" s="442">
        <v>2.1589999999999998</v>
      </c>
      <c r="S179" s="442">
        <v>2.302</v>
      </c>
      <c r="T179" s="442">
        <v>2.4620000000000002</v>
      </c>
      <c r="U179" s="442">
        <v>2.5979999999999999</v>
      </c>
      <c r="V179" s="442">
        <v>2.5979999999999999</v>
      </c>
      <c r="W179" s="442">
        <v>2.5979999999999999</v>
      </c>
      <c r="X179" s="442">
        <v>2.5979999999999999</v>
      </c>
      <c r="Y179" s="444">
        <v>1000</v>
      </c>
    </row>
    <row r="180" spans="1:26" x14ac:dyDescent="0.2">
      <c r="A180" s="434" t="s">
        <v>34</v>
      </c>
      <c r="B180" s="443">
        <v>0</v>
      </c>
      <c r="C180" s="431">
        <v>54.222000000000001</v>
      </c>
      <c r="D180" s="431">
        <v>43.456000000000003</v>
      </c>
      <c r="E180" s="431">
        <v>50.185000000000002</v>
      </c>
      <c r="F180" s="431">
        <v>54.063000000000002</v>
      </c>
      <c r="G180" s="431">
        <v>48.363999999999997</v>
      </c>
      <c r="H180" s="431">
        <v>45.752000000000002</v>
      </c>
      <c r="I180" s="431">
        <v>43.14</v>
      </c>
      <c r="J180" s="431">
        <v>40.29</v>
      </c>
      <c r="K180" s="431">
        <v>37.835999999999999</v>
      </c>
      <c r="L180" s="431">
        <v>32.612000000000002</v>
      </c>
      <c r="M180" s="431">
        <v>30.317</v>
      </c>
      <c r="N180" s="431">
        <v>26.359000000000002</v>
      </c>
      <c r="O180" s="431">
        <v>23.509</v>
      </c>
      <c r="P180" s="431">
        <v>19.077000000000002</v>
      </c>
      <c r="Q180" s="431">
        <v>14.565</v>
      </c>
      <c r="R180" s="431">
        <v>10.053000000000001</v>
      </c>
      <c r="S180" s="431">
        <v>4.8280000000000003</v>
      </c>
      <c r="T180" s="431">
        <v>1.504</v>
      </c>
      <c r="U180" s="433">
        <v>0</v>
      </c>
      <c r="V180" s="433">
        <v>0</v>
      </c>
      <c r="W180" s="433">
        <v>0</v>
      </c>
      <c r="X180" s="433">
        <v>0</v>
      </c>
      <c r="Y180" s="439">
        <v>0</v>
      </c>
    </row>
    <row r="181" spans="1:26" ht="13.5" thickBot="1" x14ac:dyDescent="0.25">
      <c r="A181" s="435" t="s">
        <v>117</v>
      </c>
      <c r="B181" s="429">
        <f t="shared" ref="B181:X181" si="62">(C180+B180)*(C179-B179)/2</f>
        <v>0.379554</v>
      </c>
      <c r="C181" s="430">
        <f t="shared" si="62"/>
        <v>2.0512380000000001</v>
      </c>
      <c r="D181" s="430">
        <f t="shared" si="62"/>
        <v>1.685538</v>
      </c>
      <c r="E181" s="430">
        <f t="shared" si="62"/>
        <v>3.5444320000000005</v>
      </c>
      <c r="F181" s="430">
        <f t="shared" si="62"/>
        <v>3.6873720000000003</v>
      </c>
      <c r="G181" s="430">
        <f t="shared" si="62"/>
        <v>6.1645979999999989</v>
      </c>
      <c r="H181" s="430">
        <f t="shared" si="62"/>
        <v>6.0446559999999998</v>
      </c>
      <c r="I181" s="430">
        <f t="shared" si="62"/>
        <v>6.5075400000000014</v>
      </c>
      <c r="J181" s="430">
        <f t="shared" si="62"/>
        <v>7.343843999999998</v>
      </c>
      <c r="K181" s="430">
        <f t="shared" si="62"/>
        <v>13.138552000000001</v>
      </c>
      <c r="L181" s="430">
        <f t="shared" si="62"/>
        <v>4.7826040000000045</v>
      </c>
      <c r="M181" s="430">
        <f t="shared" si="62"/>
        <v>4.8741359999999982</v>
      </c>
      <c r="N181" s="430">
        <f t="shared" si="62"/>
        <v>3.3660900000000002</v>
      </c>
      <c r="O181" s="430">
        <f t="shared" si="62"/>
        <v>3.9604979999999985</v>
      </c>
      <c r="P181" s="430">
        <f t="shared" si="62"/>
        <v>2.5567919999999988</v>
      </c>
      <c r="Q181" s="430">
        <f t="shared" si="62"/>
        <v>1.797113999999999</v>
      </c>
      <c r="R181" s="430">
        <f t="shared" si="62"/>
        <v>1.0639915000000018</v>
      </c>
      <c r="S181" s="430">
        <f t="shared" si="62"/>
        <v>0.50656000000000045</v>
      </c>
      <c r="T181" s="430">
        <f t="shared" si="62"/>
        <v>0.10227199999999975</v>
      </c>
      <c r="U181" s="430">
        <f t="shared" si="62"/>
        <v>0</v>
      </c>
      <c r="V181" s="430">
        <f t="shared" si="62"/>
        <v>0</v>
      </c>
      <c r="W181" s="430">
        <f t="shared" si="62"/>
        <v>0</v>
      </c>
      <c r="X181" s="430">
        <f t="shared" si="62"/>
        <v>0</v>
      </c>
      <c r="Y181" s="424"/>
    </row>
    <row r="182" spans="1:26" ht="13.5" thickBot="1" x14ac:dyDescent="0.25">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row>
    <row r="183" spans="1:26" ht="13.5" thickBot="1" x14ac:dyDescent="0.25">
      <c r="A183" s="416" t="s">
        <v>327</v>
      </c>
      <c r="B183" s="414">
        <f>ROW(A183)</f>
        <v>183</v>
      </c>
      <c r="C183" s="418" t="s">
        <v>116</v>
      </c>
      <c r="D183" s="408">
        <f>SUM(B186:Y186)</f>
        <v>73.169517999999997</v>
      </c>
      <c r="E183" s="418" t="s">
        <v>115</v>
      </c>
      <c r="F183" s="409">
        <f>D183/g/J183</f>
        <v>177.58729673316827</v>
      </c>
      <c r="G183" s="418" t="s">
        <v>57</v>
      </c>
      <c r="H183" s="86">
        <v>9.6000000000000002E-2</v>
      </c>
      <c r="I183" s="418" t="s">
        <v>272</v>
      </c>
      <c r="J183" s="410">
        <f>H183-L183</f>
        <v>4.2000000000000003E-2</v>
      </c>
      <c r="K183" s="418" t="s">
        <v>273</v>
      </c>
      <c r="L183" s="86">
        <v>5.3999999999999999E-2</v>
      </c>
      <c r="M183" s="418" t="s">
        <v>58</v>
      </c>
      <c r="N183" s="457">
        <v>66.5</v>
      </c>
      <c r="O183" s="418" t="s">
        <v>60</v>
      </c>
      <c r="P183" s="457">
        <v>66.5</v>
      </c>
      <c r="Q183" s="418" t="s">
        <v>61</v>
      </c>
      <c r="R183" s="87">
        <v>133</v>
      </c>
      <c r="S183" s="418" t="s">
        <v>62</v>
      </c>
      <c r="T183" s="87">
        <v>24</v>
      </c>
      <c r="U183" s="418" t="s">
        <v>55</v>
      </c>
      <c r="V183" s="88" t="s">
        <v>401</v>
      </c>
      <c r="W183" s="546" t="s">
        <v>396</v>
      </c>
      <c r="X183" s="548">
        <v>0.87</v>
      </c>
      <c r="Y183" s="546" t="s">
        <v>395</v>
      </c>
      <c r="Z183" s="413">
        <v>15</v>
      </c>
    </row>
    <row r="184" spans="1:26" x14ac:dyDescent="0.2">
      <c r="A184" s="417" t="s">
        <v>33</v>
      </c>
      <c r="B184" s="441">
        <v>0</v>
      </c>
      <c r="C184" s="442">
        <v>0.01</v>
      </c>
      <c r="D184" s="442">
        <v>2.3E-2</v>
      </c>
      <c r="E184" s="442">
        <v>0.04</v>
      </c>
      <c r="F184" s="442">
        <v>0.11799999999999999</v>
      </c>
      <c r="G184" s="442">
        <v>0.28299999999999997</v>
      </c>
      <c r="H184" s="442">
        <v>0.51</v>
      </c>
      <c r="I184" s="442">
        <v>0.68799999999999994</v>
      </c>
      <c r="J184" s="442">
        <v>0.78700000000000003</v>
      </c>
      <c r="K184" s="442">
        <v>0.85199999999999998</v>
      </c>
      <c r="L184" s="442">
        <v>0.873</v>
      </c>
      <c r="M184" s="442">
        <v>0.873</v>
      </c>
      <c r="N184" s="442">
        <v>0.873</v>
      </c>
      <c r="O184" s="442">
        <v>0.873</v>
      </c>
      <c r="P184" s="442">
        <v>0.873</v>
      </c>
      <c r="Q184" s="442">
        <v>0.873</v>
      </c>
      <c r="R184" s="442">
        <v>0.873</v>
      </c>
      <c r="S184" s="442">
        <v>0.873</v>
      </c>
      <c r="T184" s="442">
        <v>0.873</v>
      </c>
      <c r="U184" s="442">
        <v>0.873</v>
      </c>
      <c r="V184" s="442">
        <v>0.873</v>
      </c>
      <c r="W184" s="442">
        <v>0.873</v>
      </c>
      <c r="X184" s="442">
        <v>2</v>
      </c>
      <c r="Y184" s="444">
        <v>1000</v>
      </c>
    </row>
    <row r="185" spans="1:26" x14ac:dyDescent="0.2">
      <c r="A185" s="434" t="s">
        <v>34</v>
      </c>
      <c r="B185" s="443">
        <v>0</v>
      </c>
      <c r="C185" s="431">
        <v>76.073999999999998</v>
      </c>
      <c r="D185" s="431">
        <v>100.185</v>
      </c>
      <c r="E185" s="431">
        <v>92.424999999999997</v>
      </c>
      <c r="F185" s="431">
        <v>100.878</v>
      </c>
      <c r="G185" s="431">
        <v>102.402</v>
      </c>
      <c r="H185" s="431">
        <v>96.442999999999998</v>
      </c>
      <c r="I185" s="431">
        <v>87.436000000000007</v>
      </c>
      <c r="J185" s="431">
        <v>25.911999999999999</v>
      </c>
      <c r="K185" s="431">
        <v>7.2060000000000004</v>
      </c>
      <c r="L185" s="433">
        <v>0</v>
      </c>
      <c r="M185" s="433">
        <v>0</v>
      </c>
      <c r="N185" s="433">
        <v>0</v>
      </c>
      <c r="O185" s="433">
        <v>0</v>
      </c>
      <c r="P185" s="433">
        <v>0</v>
      </c>
      <c r="Q185" s="433">
        <v>0</v>
      </c>
      <c r="R185" s="433">
        <v>0</v>
      </c>
      <c r="S185" s="433">
        <v>0</v>
      </c>
      <c r="T185" s="433">
        <v>0</v>
      </c>
      <c r="U185" s="433">
        <v>0</v>
      </c>
      <c r="V185" s="433">
        <v>0</v>
      </c>
      <c r="W185" s="433">
        <v>0</v>
      </c>
      <c r="X185" s="433">
        <v>0</v>
      </c>
      <c r="Y185" s="439">
        <v>0</v>
      </c>
    </row>
    <row r="186" spans="1:26" ht="13.5" thickBot="1" x14ac:dyDescent="0.25">
      <c r="A186" s="435" t="s">
        <v>117</v>
      </c>
      <c r="B186" s="429">
        <f t="shared" ref="B186:X186" si="63">(C185+B185)*(C184-B184)/2</f>
        <v>0.38036999999999999</v>
      </c>
      <c r="C186" s="430">
        <f t="shared" si="63"/>
        <v>1.1456835000000001</v>
      </c>
      <c r="D186" s="430">
        <f t="shared" si="63"/>
        <v>1.6371850000000003</v>
      </c>
      <c r="E186" s="430">
        <f t="shared" si="63"/>
        <v>7.5388169999999981</v>
      </c>
      <c r="F186" s="430">
        <f t="shared" si="63"/>
        <v>16.770599999999998</v>
      </c>
      <c r="G186" s="430">
        <f t="shared" si="63"/>
        <v>22.568907500000002</v>
      </c>
      <c r="H186" s="430">
        <f t="shared" si="63"/>
        <v>16.365230999999994</v>
      </c>
      <c r="I186" s="430">
        <f t="shared" si="63"/>
        <v>5.6107260000000059</v>
      </c>
      <c r="J186" s="430">
        <f t="shared" si="63"/>
        <v>1.0763349999999992</v>
      </c>
      <c r="K186" s="430">
        <f t="shared" si="63"/>
        <v>7.5663000000000077E-2</v>
      </c>
      <c r="L186" s="430">
        <f t="shared" si="63"/>
        <v>0</v>
      </c>
      <c r="M186" s="430">
        <f t="shared" si="63"/>
        <v>0</v>
      </c>
      <c r="N186" s="430">
        <f t="shared" si="63"/>
        <v>0</v>
      </c>
      <c r="O186" s="430">
        <f t="shared" si="63"/>
        <v>0</v>
      </c>
      <c r="P186" s="430">
        <f t="shared" si="63"/>
        <v>0</v>
      </c>
      <c r="Q186" s="430">
        <f t="shared" si="63"/>
        <v>0</v>
      </c>
      <c r="R186" s="430">
        <f t="shared" si="63"/>
        <v>0</v>
      </c>
      <c r="S186" s="430">
        <f t="shared" si="63"/>
        <v>0</v>
      </c>
      <c r="T186" s="430">
        <f t="shared" si="63"/>
        <v>0</v>
      </c>
      <c r="U186" s="430">
        <f t="shared" si="63"/>
        <v>0</v>
      </c>
      <c r="V186" s="430">
        <f t="shared" si="63"/>
        <v>0</v>
      </c>
      <c r="W186" s="430">
        <f t="shared" si="63"/>
        <v>0</v>
      </c>
      <c r="X186" s="430">
        <f t="shared" si="63"/>
        <v>0</v>
      </c>
      <c r="Y186" s="424"/>
    </row>
    <row r="187" spans="1:26" ht="13.5" thickBot="1" x14ac:dyDescent="0.25">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row>
    <row r="188" spans="1:26" ht="13.5" thickBot="1" x14ac:dyDescent="0.25">
      <c r="A188" s="416" t="s">
        <v>328</v>
      </c>
      <c r="B188" s="414">
        <f>ROW(A188)</f>
        <v>188</v>
      </c>
      <c r="C188" s="418" t="s">
        <v>116</v>
      </c>
      <c r="D188" s="408">
        <f>SUM(B191:Y191)</f>
        <v>75.254384000000016</v>
      </c>
      <c r="E188" s="418" t="s">
        <v>115</v>
      </c>
      <c r="F188" s="409">
        <f>D188/g/J188</f>
        <v>232.46033422914161</v>
      </c>
      <c r="G188" s="418" t="s">
        <v>57</v>
      </c>
      <c r="H188" s="86">
        <v>9.5000000000000001E-2</v>
      </c>
      <c r="I188" s="418" t="s">
        <v>272</v>
      </c>
      <c r="J188" s="410">
        <f>H188-L188</f>
        <v>3.3000000000000002E-2</v>
      </c>
      <c r="K188" s="418" t="s">
        <v>273</v>
      </c>
      <c r="L188" s="86">
        <f>0.095-0.033</f>
        <v>6.2E-2</v>
      </c>
      <c r="M188" s="418" t="s">
        <v>58</v>
      </c>
      <c r="N188" s="457">
        <v>66.5</v>
      </c>
      <c r="O188" s="418" t="s">
        <v>60</v>
      </c>
      <c r="P188" s="457">
        <v>66.5</v>
      </c>
      <c r="Q188" s="418" t="s">
        <v>61</v>
      </c>
      <c r="R188" s="87">
        <v>133</v>
      </c>
      <c r="S188" s="418" t="s">
        <v>62</v>
      </c>
      <c r="T188" s="87">
        <v>24</v>
      </c>
      <c r="U188" s="418" t="s">
        <v>55</v>
      </c>
      <c r="V188" s="88" t="s">
        <v>401</v>
      </c>
      <c r="W188" s="546" t="s">
        <v>396</v>
      </c>
      <c r="X188" s="548">
        <v>1.5</v>
      </c>
      <c r="Y188" s="546" t="s">
        <v>395</v>
      </c>
      <c r="Z188" s="413">
        <v>12</v>
      </c>
    </row>
    <row r="189" spans="1:26" x14ac:dyDescent="0.2">
      <c r="A189" s="417" t="s">
        <v>33</v>
      </c>
      <c r="B189" s="425">
        <v>0</v>
      </c>
      <c r="C189" s="426">
        <v>0.02</v>
      </c>
      <c r="D189" s="426">
        <v>3.1E-2</v>
      </c>
      <c r="E189" s="426">
        <v>6.2E-2</v>
      </c>
      <c r="F189" s="426">
        <v>0.11700000000000001</v>
      </c>
      <c r="G189" s="426">
        <v>1.2110000000000001</v>
      </c>
      <c r="H189" s="426">
        <v>1.3759999999999999</v>
      </c>
      <c r="I189" s="426">
        <v>1.456</v>
      </c>
      <c r="J189" s="426">
        <v>1.532</v>
      </c>
      <c r="K189" s="426">
        <v>1.577</v>
      </c>
      <c r="L189" s="442">
        <v>2</v>
      </c>
      <c r="M189" s="442">
        <v>2</v>
      </c>
      <c r="N189" s="442">
        <v>2</v>
      </c>
      <c r="O189" s="442">
        <v>2</v>
      </c>
      <c r="P189" s="442">
        <v>2</v>
      </c>
      <c r="Q189" s="442">
        <v>2</v>
      </c>
      <c r="R189" s="442">
        <v>2</v>
      </c>
      <c r="S189" s="442">
        <v>2</v>
      </c>
      <c r="T189" s="442">
        <v>2</v>
      </c>
      <c r="U189" s="442">
        <v>2</v>
      </c>
      <c r="V189" s="442">
        <v>2</v>
      </c>
      <c r="W189" s="442">
        <v>2</v>
      </c>
      <c r="X189" s="442">
        <f t="shared" ref="T189:X190" si="64">W189</f>
        <v>2</v>
      </c>
      <c r="Y189" s="444">
        <v>1000</v>
      </c>
    </row>
    <row r="190" spans="1:26" x14ac:dyDescent="0.2">
      <c r="A190" s="434" t="s">
        <v>34</v>
      </c>
      <c r="B190" s="427">
        <v>0</v>
      </c>
      <c r="C190" s="428">
        <v>75.924000000000007</v>
      </c>
      <c r="D190" s="428">
        <v>84.147999999999996</v>
      </c>
      <c r="E190" s="428">
        <v>70.441000000000003</v>
      </c>
      <c r="F190" s="428">
        <v>73.659000000000006</v>
      </c>
      <c r="G190" s="428">
        <v>38.737000000000002</v>
      </c>
      <c r="H190" s="428">
        <v>14.779</v>
      </c>
      <c r="I190" s="428">
        <v>7.2709999999999999</v>
      </c>
      <c r="J190" s="428">
        <v>3.3370000000000002</v>
      </c>
      <c r="K190" s="428">
        <v>0</v>
      </c>
      <c r="L190" s="433">
        <v>0</v>
      </c>
      <c r="M190" s="433">
        <v>0</v>
      </c>
      <c r="N190" s="433">
        <v>0</v>
      </c>
      <c r="O190" s="433">
        <v>0</v>
      </c>
      <c r="P190" s="433">
        <v>0</v>
      </c>
      <c r="Q190" s="433">
        <v>0</v>
      </c>
      <c r="R190" s="433">
        <v>0</v>
      </c>
      <c r="S190" s="433">
        <v>0</v>
      </c>
      <c r="T190" s="433">
        <f t="shared" si="64"/>
        <v>0</v>
      </c>
      <c r="U190" s="433">
        <f t="shared" si="64"/>
        <v>0</v>
      </c>
      <c r="V190" s="433">
        <f t="shared" si="64"/>
        <v>0</v>
      </c>
      <c r="W190" s="433">
        <f t="shared" si="64"/>
        <v>0</v>
      </c>
      <c r="X190" s="433">
        <f t="shared" si="64"/>
        <v>0</v>
      </c>
      <c r="Y190" s="439">
        <v>0</v>
      </c>
    </row>
    <row r="191" spans="1:26" ht="13.5" thickBot="1" x14ac:dyDescent="0.25">
      <c r="A191" s="435" t="s">
        <v>117</v>
      </c>
      <c r="B191" s="429">
        <f t="shared" ref="B191:V191" si="65">(C190+B190)*(C189-B189)/2</f>
        <v>0.75924000000000014</v>
      </c>
      <c r="C191" s="430">
        <f t="shared" si="65"/>
        <v>0.88039599999999996</v>
      </c>
      <c r="D191" s="430">
        <f t="shared" si="65"/>
        <v>2.3961294999999998</v>
      </c>
      <c r="E191" s="430">
        <f t="shared" si="65"/>
        <v>3.9627500000000011</v>
      </c>
      <c r="F191" s="430">
        <f t="shared" si="65"/>
        <v>61.480612000000015</v>
      </c>
      <c r="G191" s="430">
        <f t="shared" si="65"/>
        <v>4.4150699999999956</v>
      </c>
      <c r="H191" s="430">
        <f t="shared" si="65"/>
        <v>0.88200000000000078</v>
      </c>
      <c r="I191" s="430">
        <f t="shared" si="65"/>
        <v>0.40310400000000035</v>
      </c>
      <c r="J191" s="430">
        <f>(K190+J190)*(K189-J189)/2</f>
        <v>7.5082499999999885E-2</v>
      </c>
      <c r="K191" s="430">
        <f t="shared" si="65"/>
        <v>0</v>
      </c>
      <c r="L191" s="430">
        <f t="shared" si="65"/>
        <v>0</v>
      </c>
      <c r="M191" s="430">
        <f t="shared" si="65"/>
        <v>0</v>
      </c>
      <c r="N191" s="430">
        <f t="shared" si="65"/>
        <v>0</v>
      </c>
      <c r="O191" s="430">
        <f t="shared" si="65"/>
        <v>0</v>
      </c>
      <c r="P191" s="430">
        <f t="shared" si="65"/>
        <v>0</v>
      </c>
      <c r="Q191" s="430">
        <f t="shared" si="65"/>
        <v>0</v>
      </c>
      <c r="R191" s="430">
        <f t="shared" si="65"/>
        <v>0</v>
      </c>
      <c r="S191" s="430">
        <f>(T190+S190)*(T189-S189)/2</f>
        <v>0</v>
      </c>
      <c r="T191" s="430">
        <f t="shared" si="65"/>
        <v>0</v>
      </c>
      <c r="U191" s="430">
        <f t="shared" si="65"/>
        <v>0</v>
      </c>
      <c r="V191" s="430">
        <f t="shared" si="65"/>
        <v>0</v>
      </c>
      <c r="W191" s="430">
        <f>(X190+W190)*(X189-W189)/2</f>
        <v>0</v>
      </c>
      <c r="X191" s="430">
        <f>(Y190+X190)*(Y189-X189)/2</f>
        <v>0</v>
      </c>
      <c r="Y191" s="424"/>
    </row>
    <row r="192" spans="1:26" ht="13.5" thickBot="1" x14ac:dyDescent="0.25">
      <c r="A192" s="492" t="s">
        <v>375</v>
      </c>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row>
    <row r="193" spans="1:26" ht="13.5" thickBot="1" x14ac:dyDescent="0.25">
      <c r="A193" s="416" t="s">
        <v>538</v>
      </c>
      <c r="B193" s="414">
        <f>ROW(A193)</f>
        <v>193</v>
      </c>
      <c r="C193" s="418" t="s">
        <v>116</v>
      </c>
      <c r="D193" s="408">
        <f>SUM(B196:Y196)</f>
        <v>141.04999999999998</v>
      </c>
      <c r="E193" s="418" t="s">
        <v>115</v>
      </c>
      <c r="F193" s="409">
        <f>D193/g/J193</f>
        <v>186.24592648930721</v>
      </c>
      <c r="G193" s="418" t="s">
        <v>57</v>
      </c>
      <c r="H193" s="86">
        <v>0.16189999999999999</v>
      </c>
      <c r="I193" s="418" t="s">
        <v>272</v>
      </c>
      <c r="J193" s="410">
        <f>H193-L193</f>
        <v>7.7199999999999991E-2</v>
      </c>
      <c r="K193" s="418" t="s">
        <v>273</v>
      </c>
      <c r="L193" s="86">
        <v>8.4699999999999998E-2</v>
      </c>
      <c r="M193" s="418" t="s">
        <v>58</v>
      </c>
      <c r="N193" s="87">
        <v>114</v>
      </c>
      <c r="O193" s="418" t="s">
        <v>60</v>
      </c>
      <c r="P193" s="87">
        <v>114</v>
      </c>
      <c r="Q193" s="418" t="s">
        <v>61</v>
      </c>
      <c r="R193" s="87">
        <v>228</v>
      </c>
      <c r="S193" s="418" t="s">
        <v>62</v>
      </c>
      <c r="T193" s="87">
        <v>24</v>
      </c>
      <c r="U193" s="418" t="s">
        <v>55</v>
      </c>
      <c r="V193" s="88" t="s">
        <v>120</v>
      </c>
      <c r="W193" s="546" t="s">
        <v>396</v>
      </c>
      <c r="X193" s="548">
        <v>0.96</v>
      </c>
      <c r="Y193" s="546" t="s">
        <v>395</v>
      </c>
      <c r="Z193" s="413">
        <v>15</v>
      </c>
    </row>
    <row r="194" spans="1:26" x14ac:dyDescent="0.2">
      <c r="A194" s="417" t="s">
        <v>33</v>
      </c>
      <c r="B194" s="441">
        <v>0</v>
      </c>
      <c r="C194" s="442">
        <v>0.02</v>
      </c>
      <c r="D194" s="442">
        <v>0.03</v>
      </c>
      <c r="E194" s="442">
        <v>0.05</v>
      </c>
      <c r="F194" s="442">
        <v>0.6</v>
      </c>
      <c r="G194" s="442">
        <v>0.67</v>
      </c>
      <c r="H194" s="442">
        <v>0.7</v>
      </c>
      <c r="I194" s="442">
        <v>0.8</v>
      </c>
      <c r="J194" s="442">
        <v>0.9</v>
      </c>
      <c r="K194" s="442">
        <v>1.05</v>
      </c>
      <c r="L194" s="442">
        <f t="shared" ref="L194:W194" si="66">K194</f>
        <v>1.05</v>
      </c>
      <c r="M194" s="442">
        <f t="shared" si="66"/>
        <v>1.05</v>
      </c>
      <c r="N194" s="442">
        <f t="shared" si="66"/>
        <v>1.05</v>
      </c>
      <c r="O194" s="442">
        <f t="shared" si="66"/>
        <v>1.05</v>
      </c>
      <c r="P194" s="442">
        <f t="shared" si="66"/>
        <v>1.05</v>
      </c>
      <c r="Q194" s="442">
        <f t="shared" si="66"/>
        <v>1.05</v>
      </c>
      <c r="R194" s="442">
        <f t="shared" si="66"/>
        <v>1.05</v>
      </c>
      <c r="S194" s="442">
        <f t="shared" si="66"/>
        <v>1.05</v>
      </c>
      <c r="T194" s="442">
        <f t="shared" si="66"/>
        <v>1.05</v>
      </c>
      <c r="U194" s="442">
        <f t="shared" si="66"/>
        <v>1.05</v>
      </c>
      <c r="V194" s="442">
        <f t="shared" si="66"/>
        <v>1.05</v>
      </c>
      <c r="W194" s="442">
        <f t="shared" si="66"/>
        <v>1.05</v>
      </c>
      <c r="X194" s="442">
        <v>2</v>
      </c>
      <c r="Y194" s="444">
        <v>1000</v>
      </c>
    </row>
    <row r="195" spans="1:26" x14ac:dyDescent="0.2">
      <c r="A195" s="434" t="s">
        <v>34</v>
      </c>
      <c r="B195" s="443">
        <v>0</v>
      </c>
      <c r="C195" s="433">
        <v>350</v>
      </c>
      <c r="D195" s="433">
        <v>250</v>
      </c>
      <c r="E195" s="433">
        <v>210</v>
      </c>
      <c r="F195" s="433">
        <v>150</v>
      </c>
      <c r="G195" s="433">
        <v>140</v>
      </c>
      <c r="H195" s="433">
        <v>130</v>
      </c>
      <c r="I195" s="433">
        <v>65</v>
      </c>
      <c r="J195" s="433">
        <v>30</v>
      </c>
      <c r="K195" s="433">
        <v>0</v>
      </c>
      <c r="L195" s="433">
        <v>0</v>
      </c>
      <c r="M195" s="433">
        <v>0</v>
      </c>
      <c r="N195" s="433">
        <v>0</v>
      </c>
      <c r="O195" s="433">
        <v>0</v>
      </c>
      <c r="P195" s="433">
        <v>0</v>
      </c>
      <c r="Q195" s="433">
        <v>0</v>
      </c>
      <c r="R195" s="433">
        <v>0</v>
      </c>
      <c r="S195" s="433">
        <f t="shared" ref="S195:X195" si="67">R195</f>
        <v>0</v>
      </c>
      <c r="T195" s="433">
        <f t="shared" si="67"/>
        <v>0</v>
      </c>
      <c r="U195" s="433">
        <f t="shared" si="67"/>
        <v>0</v>
      </c>
      <c r="V195" s="433">
        <f t="shared" si="67"/>
        <v>0</v>
      </c>
      <c r="W195" s="433">
        <f t="shared" si="67"/>
        <v>0</v>
      </c>
      <c r="X195" s="433">
        <f t="shared" si="67"/>
        <v>0</v>
      </c>
      <c r="Y195" s="439">
        <v>0</v>
      </c>
    </row>
    <row r="196" spans="1:26" ht="13.5" thickBot="1" x14ac:dyDescent="0.25">
      <c r="A196" s="435" t="s">
        <v>117</v>
      </c>
      <c r="B196" s="429">
        <f t="shared" ref="B196:X196" si="68">(C195+B195)*(C194-B194)/2</f>
        <v>3.5</v>
      </c>
      <c r="C196" s="430">
        <f t="shared" si="68"/>
        <v>2.9999999999999996</v>
      </c>
      <c r="D196" s="430">
        <f t="shared" si="68"/>
        <v>4.6000000000000005</v>
      </c>
      <c r="E196" s="430">
        <f t="shared" si="68"/>
        <v>98.999999999999986</v>
      </c>
      <c r="F196" s="430">
        <f t="shared" si="68"/>
        <v>10.150000000000009</v>
      </c>
      <c r="G196" s="430">
        <f t="shared" si="68"/>
        <v>4.0499999999999883</v>
      </c>
      <c r="H196" s="430">
        <f t="shared" si="68"/>
        <v>9.7500000000000089</v>
      </c>
      <c r="I196" s="430">
        <f t="shared" si="68"/>
        <v>4.7499999999999991</v>
      </c>
      <c r="J196" s="430">
        <f t="shared" si="68"/>
        <v>2.2500000000000004</v>
      </c>
      <c r="K196" s="430">
        <f t="shared" si="68"/>
        <v>0</v>
      </c>
      <c r="L196" s="430">
        <f t="shared" si="68"/>
        <v>0</v>
      </c>
      <c r="M196" s="430">
        <f t="shared" si="68"/>
        <v>0</v>
      </c>
      <c r="N196" s="430">
        <f t="shared" si="68"/>
        <v>0</v>
      </c>
      <c r="O196" s="430">
        <f t="shared" si="68"/>
        <v>0</v>
      </c>
      <c r="P196" s="430">
        <f t="shared" si="68"/>
        <v>0</v>
      </c>
      <c r="Q196" s="430">
        <f t="shared" si="68"/>
        <v>0</v>
      </c>
      <c r="R196" s="430">
        <f t="shared" si="68"/>
        <v>0</v>
      </c>
      <c r="S196" s="430">
        <f t="shared" si="68"/>
        <v>0</v>
      </c>
      <c r="T196" s="430">
        <f t="shared" si="68"/>
        <v>0</v>
      </c>
      <c r="U196" s="430">
        <f t="shared" si="68"/>
        <v>0</v>
      </c>
      <c r="V196" s="430">
        <f t="shared" si="68"/>
        <v>0</v>
      </c>
      <c r="W196" s="430">
        <f t="shared" si="68"/>
        <v>0</v>
      </c>
      <c r="X196" s="430">
        <f t="shared" si="68"/>
        <v>0</v>
      </c>
      <c r="Y196" s="424"/>
    </row>
    <row r="197" spans="1:26" ht="13.5" thickBot="1" x14ac:dyDescent="0.25">
      <c r="A197" s="17" t="s">
        <v>548</v>
      </c>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row>
    <row r="198" spans="1:26" ht="13.5" thickBot="1" x14ac:dyDescent="0.25">
      <c r="A198" s="416" t="s">
        <v>551</v>
      </c>
      <c r="B198" s="414">
        <f>ROW(A198)</f>
        <v>198</v>
      </c>
      <c r="C198" s="418" t="s">
        <v>116</v>
      </c>
      <c r="D198" s="408">
        <f>SUM(B201:Y201)</f>
        <v>142.44</v>
      </c>
      <c r="E198" s="418" t="s">
        <v>115</v>
      </c>
      <c r="F198" s="409">
        <f>D198/g/J198</f>
        <v>192.06187401906058</v>
      </c>
      <c r="G198" s="418" t="s">
        <v>57</v>
      </c>
      <c r="H198" s="86">
        <v>0.15989999999999999</v>
      </c>
      <c r="I198" s="418" t="s">
        <v>272</v>
      </c>
      <c r="J198" s="410">
        <f>H198-L198</f>
        <v>7.5599999999999987E-2</v>
      </c>
      <c r="K198" s="418" t="s">
        <v>273</v>
      </c>
      <c r="L198" s="86">
        <v>8.43E-2</v>
      </c>
      <c r="M198" s="418" t="s">
        <v>58</v>
      </c>
      <c r="N198" s="87">
        <v>114</v>
      </c>
      <c r="O198" s="418" t="s">
        <v>60</v>
      </c>
      <c r="P198" s="87">
        <v>114</v>
      </c>
      <c r="Q198" s="418" t="s">
        <v>61</v>
      </c>
      <c r="R198" s="87">
        <v>228</v>
      </c>
      <c r="S198" s="418" t="s">
        <v>62</v>
      </c>
      <c r="T198" s="87">
        <v>24</v>
      </c>
      <c r="U198" s="418" t="s">
        <v>55</v>
      </c>
      <c r="V198" s="88" t="s">
        <v>403</v>
      </c>
      <c r="W198" s="546" t="s">
        <v>396</v>
      </c>
      <c r="X198" s="548">
        <v>0.97</v>
      </c>
      <c r="Y198" s="546" t="s">
        <v>395</v>
      </c>
      <c r="Z198" s="413"/>
    </row>
    <row r="199" spans="1:26" x14ac:dyDescent="0.2">
      <c r="A199" s="417" t="s">
        <v>33</v>
      </c>
      <c r="B199" s="441">
        <v>0</v>
      </c>
      <c r="C199" s="442">
        <v>0.02</v>
      </c>
      <c r="D199" s="442">
        <v>0.04</v>
      </c>
      <c r="E199" s="442">
        <v>0.62</v>
      </c>
      <c r="F199" s="442">
        <v>0.66</v>
      </c>
      <c r="G199" s="442">
        <v>0.68</v>
      </c>
      <c r="H199" s="442">
        <v>0.8</v>
      </c>
      <c r="I199" s="442">
        <v>0.84</v>
      </c>
      <c r="J199" s="442">
        <v>0.88</v>
      </c>
      <c r="K199" s="442">
        <v>0.92</v>
      </c>
      <c r="L199" s="442">
        <v>0.96</v>
      </c>
      <c r="M199" s="442">
        <v>1</v>
      </c>
      <c r="N199" s="442">
        <v>1.08</v>
      </c>
      <c r="O199" s="442">
        <v>2</v>
      </c>
      <c r="P199" s="442">
        <v>2</v>
      </c>
      <c r="Q199" s="442">
        <v>2</v>
      </c>
      <c r="R199" s="442">
        <v>2</v>
      </c>
      <c r="S199" s="442">
        <f t="shared" ref="S199:X200" si="69">R199</f>
        <v>2</v>
      </c>
      <c r="T199" s="442">
        <f t="shared" si="69"/>
        <v>2</v>
      </c>
      <c r="U199" s="442">
        <f t="shared" si="69"/>
        <v>2</v>
      </c>
      <c r="V199" s="442">
        <f t="shared" si="69"/>
        <v>2</v>
      </c>
      <c r="W199" s="442">
        <f t="shared" si="69"/>
        <v>2</v>
      </c>
      <c r="X199" s="442">
        <f t="shared" si="69"/>
        <v>2</v>
      </c>
      <c r="Y199" s="444">
        <v>1000</v>
      </c>
    </row>
    <row r="200" spans="1:26" x14ac:dyDescent="0.2">
      <c r="A200" s="434" t="s">
        <v>34</v>
      </c>
      <c r="B200" s="443">
        <v>0</v>
      </c>
      <c r="C200" s="433">
        <v>250</v>
      </c>
      <c r="D200" s="433">
        <v>210</v>
      </c>
      <c r="E200" s="433">
        <v>160</v>
      </c>
      <c r="F200" s="433">
        <v>150</v>
      </c>
      <c r="G200" s="433">
        <v>142</v>
      </c>
      <c r="H200" s="433">
        <v>62</v>
      </c>
      <c r="I200" s="433">
        <v>48</v>
      </c>
      <c r="J200" s="433">
        <v>34</v>
      </c>
      <c r="K200" s="433">
        <v>24</v>
      </c>
      <c r="L200" s="433">
        <v>15</v>
      </c>
      <c r="M200" s="433">
        <v>10</v>
      </c>
      <c r="N200" s="433">
        <v>0</v>
      </c>
      <c r="O200" s="433">
        <v>0</v>
      </c>
      <c r="P200" s="433">
        <v>0</v>
      </c>
      <c r="Q200" s="433">
        <v>0</v>
      </c>
      <c r="R200" s="433">
        <v>0</v>
      </c>
      <c r="S200" s="433">
        <f t="shared" si="69"/>
        <v>0</v>
      </c>
      <c r="T200" s="433">
        <f t="shared" si="69"/>
        <v>0</v>
      </c>
      <c r="U200" s="433">
        <f t="shared" si="69"/>
        <v>0</v>
      </c>
      <c r="V200" s="433">
        <f t="shared" si="69"/>
        <v>0</v>
      </c>
      <c r="W200" s="433">
        <f t="shared" si="69"/>
        <v>0</v>
      </c>
      <c r="X200" s="433">
        <f t="shared" si="69"/>
        <v>0</v>
      </c>
      <c r="Y200" s="439">
        <v>0</v>
      </c>
    </row>
    <row r="201" spans="1:26" ht="13.5" thickBot="1" x14ac:dyDescent="0.25">
      <c r="A201" s="435" t="s">
        <v>117</v>
      </c>
      <c r="B201" s="429">
        <f t="shared" ref="B201:X201" si="70">(C200+B200)*(C199-B199)/2</f>
        <v>2.5</v>
      </c>
      <c r="C201" s="430">
        <f t="shared" si="70"/>
        <v>4.6000000000000005</v>
      </c>
      <c r="D201" s="430">
        <f t="shared" si="70"/>
        <v>107.3</v>
      </c>
      <c r="E201" s="430">
        <f t="shared" si="70"/>
        <v>6.2000000000000055</v>
      </c>
      <c r="F201" s="430">
        <f t="shared" si="70"/>
        <v>2.9200000000000026</v>
      </c>
      <c r="G201" s="430">
        <f t="shared" si="70"/>
        <v>12.24</v>
      </c>
      <c r="H201" s="430">
        <f t="shared" si="70"/>
        <v>2.1999999999999957</v>
      </c>
      <c r="I201" s="430">
        <f t="shared" si="70"/>
        <v>1.6400000000000015</v>
      </c>
      <c r="J201" s="430">
        <f t="shared" si="70"/>
        <v>1.160000000000001</v>
      </c>
      <c r="K201" s="430">
        <f t="shared" si="70"/>
        <v>0.77999999999999847</v>
      </c>
      <c r="L201" s="430">
        <f t="shared" si="70"/>
        <v>0.50000000000000044</v>
      </c>
      <c r="M201" s="430">
        <f t="shared" si="70"/>
        <v>0.40000000000000036</v>
      </c>
      <c r="N201" s="430">
        <f t="shared" si="70"/>
        <v>0</v>
      </c>
      <c r="O201" s="430">
        <f t="shared" si="70"/>
        <v>0</v>
      </c>
      <c r="P201" s="430">
        <f t="shared" si="70"/>
        <v>0</v>
      </c>
      <c r="Q201" s="430">
        <f t="shared" si="70"/>
        <v>0</v>
      </c>
      <c r="R201" s="430">
        <f t="shared" si="70"/>
        <v>0</v>
      </c>
      <c r="S201" s="430">
        <f t="shared" si="70"/>
        <v>0</v>
      </c>
      <c r="T201" s="430">
        <f t="shared" si="70"/>
        <v>0</v>
      </c>
      <c r="U201" s="430">
        <f t="shared" si="70"/>
        <v>0</v>
      </c>
      <c r="V201" s="430">
        <f t="shared" si="70"/>
        <v>0</v>
      </c>
      <c r="W201" s="430">
        <f t="shared" si="70"/>
        <v>0</v>
      </c>
      <c r="X201" s="430">
        <f t="shared" si="70"/>
        <v>0</v>
      </c>
      <c r="Y201" s="424"/>
    </row>
    <row r="202" spans="1:26" ht="13.5" thickBot="1" x14ac:dyDescent="0.25">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row>
    <row r="203" spans="1:26" ht="13.5" thickBot="1" x14ac:dyDescent="0.25">
      <c r="A203" s="416" t="s">
        <v>540</v>
      </c>
      <c r="B203" s="414">
        <f>ROW(A203)</f>
        <v>203</v>
      </c>
      <c r="C203" s="418" t="s">
        <v>116</v>
      </c>
      <c r="D203" s="408">
        <f>SUM(B206:Y206)</f>
        <v>143.08845000000002</v>
      </c>
      <c r="E203" s="418" t="s">
        <v>115</v>
      </c>
      <c r="F203" s="409">
        <f>D203/g/J203</f>
        <v>168.23504721190514</v>
      </c>
      <c r="G203" s="418" t="s">
        <v>57</v>
      </c>
      <c r="H203" s="86">
        <v>0.17249999999999999</v>
      </c>
      <c r="I203" s="418" t="s">
        <v>272</v>
      </c>
      <c r="J203" s="410">
        <f>H203-L203</f>
        <v>8.6699999999999985E-2</v>
      </c>
      <c r="K203" s="418" t="s">
        <v>273</v>
      </c>
      <c r="L203" s="86">
        <v>8.5800000000000001E-2</v>
      </c>
      <c r="M203" s="418" t="s">
        <v>58</v>
      </c>
      <c r="N203" s="87">
        <v>114</v>
      </c>
      <c r="O203" s="418" t="s">
        <v>60</v>
      </c>
      <c r="P203" s="87">
        <v>114</v>
      </c>
      <c r="Q203" s="418" t="s">
        <v>61</v>
      </c>
      <c r="R203" s="87">
        <v>228</v>
      </c>
      <c r="S203" s="418" t="s">
        <v>62</v>
      </c>
      <c r="T203" s="87">
        <v>24</v>
      </c>
      <c r="U203" s="418" t="s">
        <v>55</v>
      </c>
      <c r="V203" s="88" t="s">
        <v>120</v>
      </c>
      <c r="W203" s="546" t="s">
        <v>396</v>
      </c>
      <c r="X203" s="548">
        <v>0.97</v>
      </c>
      <c r="Y203" s="546" t="s">
        <v>395</v>
      </c>
      <c r="Z203" s="413">
        <v>11</v>
      </c>
    </row>
    <row r="204" spans="1:26" x14ac:dyDescent="0.2">
      <c r="A204" s="417" t="s">
        <v>33</v>
      </c>
      <c r="B204" s="441">
        <v>0</v>
      </c>
      <c r="C204" s="442">
        <v>8.0000000000000002E-3</v>
      </c>
      <c r="D204" s="442">
        <v>1.2999999999999999E-2</v>
      </c>
      <c r="E204" s="442">
        <v>2.1999999999999999E-2</v>
      </c>
      <c r="F204" s="442">
        <v>3.5000000000000003E-2</v>
      </c>
      <c r="G204" s="442">
        <v>6.3E-2</v>
      </c>
      <c r="H204" s="442">
        <v>0.10299999999999999</v>
      </c>
      <c r="I204" s="442">
        <v>0.19600000000000001</v>
      </c>
      <c r="J204" s="442">
        <v>0.311</v>
      </c>
      <c r="K204" s="442">
        <v>0.47399999999999998</v>
      </c>
      <c r="L204" s="442">
        <v>0.56399999999999995</v>
      </c>
      <c r="M204" s="442">
        <v>0.76200000000000001</v>
      </c>
      <c r="N204" s="442">
        <v>0.85799999999999998</v>
      </c>
      <c r="O204" s="442">
        <v>0.92800000000000005</v>
      </c>
      <c r="P204" s="442">
        <v>1.038</v>
      </c>
      <c r="Q204" s="442">
        <v>1.08</v>
      </c>
      <c r="R204" s="442">
        <v>1.131</v>
      </c>
      <c r="S204" s="442">
        <v>1.1850000000000001</v>
      </c>
      <c r="T204" s="442">
        <v>1.224</v>
      </c>
      <c r="U204" s="442">
        <v>1.258</v>
      </c>
      <c r="V204" s="442">
        <v>1.4</v>
      </c>
      <c r="W204" s="442">
        <v>1.4410000000000001</v>
      </c>
      <c r="X204" s="442">
        <v>2</v>
      </c>
      <c r="Y204" s="444">
        <v>1000</v>
      </c>
    </row>
    <row r="205" spans="1:26" x14ac:dyDescent="0.2">
      <c r="A205" s="434" t="s">
        <v>34</v>
      </c>
      <c r="B205" s="443">
        <v>0</v>
      </c>
      <c r="C205" s="433">
        <v>168.643</v>
      </c>
      <c r="D205" s="433">
        <v>177.339</v>
      </c>
      <c r="E205" s="433">
        <v>177.86600000000001</v>
      </c>
      <c r="F205" s="433">
        <v>171.27799999999999</v>
      </c>
      <c r="G205" s="433">
        <v>157.839</v>
      </c>
      <c r="H205" s="433">
        <v>154.941</v>
      </c>
      <c r="I205" s="433">
        <v>148.88</v>
      </c>
      <c r="J205" s="433">
        <v>144.137</v>
      </c>
      <c r="K205" s="433">
        <v>138.07599999999999</v>
      </c>
      <c r="L205" s="433">
        <v>135.70500000000001</v>
      </c>
      <c r="M205" s="433">
        <v>125.955</v>
      </c>
      <c r="N205" s="433">
        <v>116.733</v>
      </c>
      <c r="O205" s="433">
        <v>101.71299999999999</v>
      </c>
      <c r="P205" s="433">
        <v>57.444000000000003</v>
      </c>
      <c r="Q205" s="433">
        <v>42.688000000000002</v>
      </c>
      <c r="R205" s="433">
        <v>31.884</v>
      </c>
      <c r="S205" s="433">
        <v>17.655000000000001</v>
      </c>
      <c r="T205" s="433">
        <v>9.4860000000000007</v>
      </c>
      <c r="U205" s="433">
        <v>5.27</v>
      </c>
      <c r="V205" s="433">
        <v>0.79100000000000004</v>
      </c>
      <c r="W205" s="433">
        <v>0</v>
      </c>
      <c r="X205" s="433">
        <f>W205</f>
        <v>0</v>
      </c>
      <c r="Y205" s="439">
        <v>0</v>
      </c>
    </row>
    <row r="206" spans="1:26" ht="13.5" thickBot="1" x14ac:dyDescent="0.25">
      <c r="A206" s="435" t="s">
        <v>117</v>
      </c>
      <c r="B206" s="429">
        <f t="shared" ref="B206:X206" si="71">(C205+B205)*(C204-B204)/2</f>
        <v>0.67457200000000006</v>
      </c>
      <c r="C206" s="430">
        <f t="shared" si="71"/>
        <v>0.86495499999999981</v>
      </c>
      <c r="D206" s="430">
        <f t="shared" si="71"/>
        <v>1.5984225000000001</v>
      </c>
      <c r="E206" s="430">
        <f t="shared" si="71"/>
        <v>2.2694360000000007</v>
      </c>
      <c r="F206" s="430">
        <f t="shared" si="71"/>
        <v>4.6076379999999988</v>
      </c>
      <c r="G206" s="430">
        <f t="shared" si="71"/>
        <v>6.2555999999999985</v>
      </c>
      <c r="H206" s="430">
        <f t="shared" si="71"/>
        <v>14.127676500000003</v>
      </c>
      <c r="I206" s="430">
        <f t="shared" si="71"/>
        <v>16.848477499999998</v>
      </c>
      <c r="J206" s="430">
        <f t="shared" si="71"/>
        <v>23.000359499999995</v>
      </c>
      <c r="K206" s="430">
        <f t="shared" si="71"/>
        <v>12.320144999999997</v>
      </c>
      <c r="L206" s="430">
        <f t="shared" si="71"/>
        <v>25.904340000000012</v>
      </c>
      <c r="M206" s="430">
        <f t="shared" si="71"/>
        <v>11.649023999999997</v>
      </c>
      <c r="N206" s="430">
        <f t="shared" si="71"/>
        <v>7.6456100000000067</v>
      </c>
      <c r="O206" s="430">
        <f t="shared" si="71"/>
        <v>8.7536349999999974</v>
      </c>
      <c r="P206" s="430">
        <f t="shared" si="71"/>
        <v>2.1027720000000021</v>
      </c>
      <c r="Q206" s="430">
        <f t="shared" si="71"/>
        <v>1.9015859999999976</v>
      </c>
      <c r="R206" s="430">
        <f t="shared" si="71"/>
        <v>1.3375530000000013</v>
      </c>
      <c r="S206" s="430">
        <f t="shared" si="71"/>
        <v>0.52924949999999904</v>
      </c>
      <c r="T206" s="430">
        <f t="shared" si="71"/>
        <v>0.25085200000000024</v>
      </c>
      <c r="U206" s="430">
        <f t="shared" si="71"/>
        <v>0.43033099999999969</v>
      </c>
      <c r="V206" s="430">
        <f t="shared" si="71"/>
        <v>1.621550000000006E-2</v>
      </c>
      <c r="W206" s="430">
        <f t="shared" si="71"/>
        <v>0</v>
      </c>
      <c r="X206" s="430">
        <f t="shared" si="71"/>
        <v>0</v>
      </c>
      <c r="Y206" s="424"/>
    </row>
    <row r="207" spans="1:26" ht="13.5" thickBot="1" x14ac:dyDescent="0.25">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row>
    <row r="208" spans="1:26" ht="13.5" thickBot="1" x14ac:dyDescent="0.25">
      <c r="A208" s="416" t="s">
        <v>539</v>
      </c>
      <c r="B208" s="414">
        <f>ROW(A208)</f>
        <v>208</v>
      </c>
      <c r="C208" s="418" t="s">
        <v>116</v>
      </c>
      <c r="D208" s="408">
        <f>SUM(B211:Y211)</f>
        <v>139.423417</v>
      </c>
      <c r="E208" s="418" t="s">
        <v>115</v>
      </c>
      <c r="F208" s="409">
        <f>D208/g/J208</f>
        <v>158.62027745922524</v>
      </c>
      <c r="G208" s="418" t="s">
        <v>57</v>
      </c>
      <c r="H208" s="86">
        <v>0.19450000000000001</v>
      </c>
      <c r="I208" s="418" t="s">
        <v>272</v>
      </c>
      <c r="J208" s="410">
        <f>H208-L208</f>
        <v>8.9600000000000013E-2</v>
      </c>
      <c r="K208" s="418" t="s">
        <v>273</v>
      </c>
      <c r="L208" s="86">
        <v>0.10489999999999999</v>
      </c>
      <c r="M208" s="418" t="s">
        <v>58</v>
      </c>
      <c r="N208" s="87">
        <v>114</v>
      </c>
      <c r="O208" s="418" t="s">
        <v>60</v>
      </c>
      <c r="P208" s="87">
        <v>144</v>
      </c>
      <c r="Q208" s="418" t="s">
        <v>61</v>
      </c>
      <c r="R208" s="87">
        <v>228</v>
      </c>
      <c r="S208" s="418" t="s">
        <v>62</v>
      </c>
      <c r="T208" s="87">
        <v>24</v>
      </c>
      <c r="U208" s="418" t="s">
        <v>55</v>
      </c>
      <c r="V208" s="88" t="s">
        <v>120</v>
      </c>
      <c r="W208" s="546" t="s">
        <v>396</v>
      </c>
      <c r="X208" s="548">
        <v>1.3</v>
      </c>
      <c r="Y208" s="546" t="s">
        <v>395</v>
      </c>
      <c r="Z208" s="413">
        <v>12</v>
      </c>
    </row>
    <row r="209" spans="1:26" x14ac:dyDescent="0.2">
      <c r="A209" s="417" t="s">
        <v>33</v>
      </c>
      <c r="B209" s="441">
        <v>0</v>
      </c>
      <c r="C209" s="442">
        <v>1.0999999999999999E-2</v>
      </c>
      <c r="D209" s="442">
        <v>2.1999999999999999E-2</v>
      </c>
      <c r="E209" s="442">
        <v>4.5999999999999999E-2</v>
      </c>
      <c r="F209" s="442">
        <v>8.1000000000000003E-2</v>
      </c>
      <c r="G209" s="442">
        <v>0.219</v>
      </c>
      <c r="H209" s="442">
        <v>0.253</v>
      </c>
      <c r="I209" s="442">
        <v>0.27400000000000002</v>
      </c>
      <c r="J209" s="442">
        <v>0.30499999999999999</v>
      </c>
      <c r="K209" s="442">
        <v>0.41199999999999998</v>
      </c>
      <c r="L209" s="442">
        <v>0.78900000000000003</v>
      </c>
      <c r="M209" s="442">
        <v>0.89900000000000002</v>
      </c>
      <c r="N209" s="442">
        <v>0.95299999999999996</v>
      </c>
      <c r="O209" s="442">
        <v>0.999</v>
      </c>
      <c r="P209" s="442">
        <v>1.03</v>
      </c>
      <c r="Q209" s="442">
        <v>1.0569999999999999</v>
      </c>
      <c r="R209" s="442">
        <v>1.1020000000000001</v>
      </c>
      <c r="S209" s="442">
        <v>1.1539999999999999</v>
      </c>
      <c r="T209" s="442">
        <v>1.1970000000000001</v>
      </c>
      <c r="U209" s="442">
        <v>1.2769999999999999</v>
      </c>
      <c r="V209" s="442">
        <v>1.335</v>
      </c>
      <c r="W209" s="442">
        <v>1.4510000000000001</v>
      </c>
      <c r="X209" s="442">
        <v>2</v>
      </c>
      <c r="Y209" s="444">
        <v>1000</v>
      </c>
    </row>
    <row r="210" spans="1:26" x14ac:dyDescent="0.2">
      <c r="A210" s="434" t="s">
        <v>34</v>
      </c>
      <c r="B210" s="443">
        <v>0</v>
      </c>
      <c r="C210" s="433">
        <v>198.41800000000001</v>
      </c>
      <c r="D210" s="433">
        <v>221.83500000000001</v>
      </c>
      <c r="E210" s="433">
        <v>212.65799999999999</v>
      </c>
      <c r="F210" s="433">
        <v>218.35400000000001</v>
      </c>
      <c r="G210" s="433">
        <v>204.43</v>
      </c>
      <c r="H210" s="433">
        <v>195.886</v>
      </c>
      <c r="I210" s="433">
        <v>183.54400000000001</v>
      </c>
      <c r="J210" s="433">
        <v>88.290999999999997</v>
      </c>
      <c r="K210" s="433">
        <v>93.671000000000006</v>
      </c>
      <c r="L210" s="433">
        <v>93.986999999999995</v>
      </c>
      <c r="M210" s="433">
        <v>91.138999999999996</v>
      </c>
      <c r="N210" s="433">
        <v>89.873000000000005</v>
      </c>
      <c r="O210" s="433">
        <v>87.025000000000006</v>
      </c>
      <c r="P210" s="433">
        <v>81.328999999999994</v>
      </c>
      <c r="Q210" s="433">
        <v>69.936999999999998</v>
      </c>
      <c r="R210" s="433">
        <v>54.113999999999997</v>
      </c>
      <c r="S210" s="433">
        <v>42.405000000000001</v>
      </c>
      <c r="T210" s="433">
        <v>31.646000000000001</v>
      </c>
      <c r="U210" s="433">
        <v>17.088999999999999</v>
      </c>
      <c r="V210" s="433">
        <v>9.81</v>
      </c>
      <c r="W210" s="433">
        <v>0</v>
      </c>
      <c r="X210" s="433">
        <v>0</v>
      </c>
      <c r="Y210" s="439">
        <v>0</v>
      </c>
    </row>
    <row r="211" spans="1:26" ht="13.5" thickBot="1" x14ac:dyDescent="0.25">
      <c r="A211" s="435" t="s">
        <v>117</v>
      </c>
      <c r="B211" s="429">
        <f t="shared" ref="B211:X211" si="72">(C210+B210)*(C209-B209)/2</f>
        <v>1.091299</v>
      </c>
      <c r="C211" s="430">
        <f t="shared" si="72"/>
        <v>2.3113915</v>
      </c>
      <c r="D211" s="430">
        <f t="shared" si="72"/>
        <v>5.2139160000000002</v>
      </c>
      <c r="E211" s="430">
        <f t="shared" si="72"/>
        <v>7.5427100000000005</v>
      </c>
      <c r="F211" s="430">
        <f t="shared" si="72"/>
        <v>29.172096000000003</v>
      </c>
      <c r="G211" s="430">
        <f t="shared" si="72"/>
        <v>6.8053720000000011</v>
      </c>
      <c r="H211" s="430">
        <f t="shared" si="72"/>
        <v>3.9840150000000034</v>
      </c>
      <c r="I211" s="430">
        <f t="shared" si="72"/>
        <v>4.2134424999999966</v>
      </c>
      <c r="J211" s="430">
        <f t="shared" si="72"/>
        <v>9.7349669999999975</v>
      </c>
      <c r="K211" s="430">
        <f t="shared" si="72"/>
        <v>35.373533000000009</v>
      </c>
      <c r="L211" s="430">
        <f t="shared" si="72"/>
        <v>10.181929999999998</v>
      </c>
      <c r="M211" s="430">
        <f t="shared" si="72"/>
        <v>4.8873239999999942</v>
      </c>
      <c r="N211" s="430">
        <f t="shared" si="72"/>
        <v>4.068654000000004</v>
      </c>
      <c r="O211" s="430">
        <f t="shared" si="72"/>
        <v>2.6094870000000019</v>
      </c>
      <c r="P211" s="430">
        <f t="shared" si="72"/>
        <v>2.0420909999999934</v>
      </c>
      <c r="Q211" s="430">
        <f t="shared" si="72"/>
        <v>2.791147500000009</v>
      </c>
      <c r="R211" s="430">
        <f t="shared" si="72"/>
        <v>2.5094939999999917</v>
      </c>
      <c r="S211" s="430">
        <f t="shared" si="72"/>
        <v>1.5920965000000056</v>
      </c>
      <c r="T211" s="430">
        <f t="shared" si="72"/>
        <v>1.9493999999999962</v>
      </c>
      <c r="U211" s="430">
        <f t="shared" si="72"/>
        <v>0.78007100000000074</v>
      </c>
      <c r="V211" s="430">
        <f t="shared" si="72"/>
        <v>0.56898000000000049</v>
      </c>
      <c r="W211" s="430">
        <f t="shared" si="72"/>
        <v>0</v>
      </c>
      <c r="X211" s="430">
        <f t="shared" si="72"/>
        <v>0</v>
      </c>
      <c r="Y211" s="424"/>
    </row>
    <row r="212" spans="1:26" ht="13.5" thickBot="1" x14ac:dyDescent="0.25">
      <c r="A212" s="492" t="s">
        <v>317</v>
      </c>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row>
    <row r="213" spans="1:26" ht="13.5" thickBot="1" x14ac:dyDescent="0.25">
      <c r="A213" s="416" t="s">
        <v>377</v>
      </c>
      <c r="B213" s="414">
        <f>ROW(A213)</f>
        <v>213</v>
      </c>
      <c r="C213" s="418" t="s">
        <v>116</v>
      </c>
      <c r="D213" s="408">
        <f>SUM(B216:Y216)</f>
        <v>82.798500000000018</v>
      </c>
      <c r="E213" s="418" t="s">
        <v>115</v>
      </c>
      <c r="F213" s="409">
        <f>D213/g/J213</f>
        <v>131.87834480122325</v>
      </c>
      <c r="G213" s="418" t="s">
        <v>57</v>
      </c>
      <c r="H213" s="86">
        <v>0.152</v>
      </c>
      <c r="I213" s="418" t="s">
        <v>272</v>
      </c>
      <c r="J213" s="410">
        <f>H213-L213</f>
        <v>6.4000000000000001E-2</v>
      </c>
      <c r="K213" s="418" t="s">
        <v>273</v>
      </c>
      <c r="L213" s="86">
        <v>8.7999999999999995E-2</v>
      </c>
      <c r="M213" s="418" t="s">
        <v>58</v>
      </c>
      <c r="N213" s="87">
        <v>71</v>
      </c>
      <c r="O213" s="418" t="s">
        <v>60</v>
      </c>
      <c r="P213" s="87">
        <v>71</v>
      </c>
      <c r="Q213" s="418" t="s">
        <v>61</v>
      </c>
      <c r="R213" s="87">
        <v>142</v>
      </c>
      <c r="S213" s="418" t="s">
        <v>62</v>
      </c>
      <c r="T213" s="87">
        <v>29</v>
      </c>
      <c r="U213" s="418" t="s">
        <v>55</v>
      </c>
      <c r="V213" s="88" t="s">
        <v>120</v>
      </c>
      <c r="W213" s="546" t="s">
        <v>396</v>
      </c>
      <c r="X213" s="548">
        <v>0.96</v>
      </c>
      <c r="Y213" s="546" t="s">
        <v>395</v>
      </c>
      <c r="Z213" s="413">
        <v>11</v>
      </c>
    </row>
    <row r="214" spans="1:26" x14ac:dyDescent="0.2">
      <c r="A214" s="417" t="s">
        <v>33</v>
      </c>
      <c r="B214" s="441">
        <v>0</v>
      </c>
      <c r="C214" s="442">
        <v>0.02</v>
      </c>
      <c r="D214" s="442">
        <v>0.03</v>
      </c>
      <c r="E214" s="442">
        <v>0.04</v>
      </c>
      <c r="F214" s="442">
        <v>0.06</v>
      </c>
      <c r="G214" s="442">
        <v>0.08</v>
      </c>
      <c r="H214" s="442">
        <v>0.15</v>
      </c>
      <c r="I214" s="442">
        <v>0.18</v>
      </c>
      <c r="J214" s="442">
        <v>0.2</v>
      </c>
      <c r="K214" s="442">
        <v>0.3</v>
      </c>
      <c r="L214" s="442">
        <v>0.4</v>
      </c>
      <c r="M214" s="442">
        <v>0.5</v>
      </c>
      <c r="N214" s="442">
        <v>0.6</v>
      </c>
      <c r="O214" s="442">
        <v>0.7</v>
      </c>
      <c r="P214" s="442">
        <v>0.82</v>
      </c>
      <c r="Q214" s="442">
        <v>0.93</v>
      </c>
      <c r="R214" s="442">
        <v>1</v>
      </c>
      <c r="S214" s="442">
        <f t="shared" ref="S214:X215" si="73">R214</f>
        <v>1</v>
      </c>
      <c r="T214" s="442">
        <f t="shared" si="73"/>
        <v>1</v>
      </c>
      <c r="U214" s="442">
        <f t="shared" si="73"/>
        <v>1</v>
      </c>
      <c r="V214" s="442">
        <f t="shared" si="73"/>
        <v>1</v>
      </c>
      <c r="W214" s="442">
        <f t="shared" si="73"/>
        <v>1</v>
      </c>
      <c r="X214" s="442">
        <v>2</v>
      </c>
      <c r="Y214" s="444">
        <v>1000</v>
      </c>
    </row>
    <row r="215" spans="1:26" x14ac:dyDescent="0.2">
      <c r="A215" s="434" t="s">
        <v>34</v>
      </c>
      <c r="B215" s="443">
        <v>0</v>
      </c>
      <c r="C215" s="433">
        <v>41.9</v>
      </c>
      <c r="D215" s="433">
        <v>92.1</v>
      </c>
      <c r="E215" s="433">
        <v>116.7</v>
      </c>
      <c r="F215" s="433">
        <v>112.7</v>
      </c>
      <c r="G215" s="433">
        <v>82.7</v>
      </c>
      <c r="H215" s="433">
        <v>84.7</v>
      </c>
      <c r="I215" s="433">
        <v>86.2</v>
      </c>
      <c r="J215" s="433">
        <v>87.9</v>
      </c>
      <c r="K215" s="433">
        <v>90.9</v>
      </c>
      <c r="L215" s="433">
        <v>93.9</v>
      </c>
      <c r="M215" s="433">
        <v>95.3</v>
      </c>
      <c r="N215" s="433">
        <v>96.8</v>
      </c>
      <c r="O215" s="433">
        <v>97.6</v>
      </c>
      <c r="P215" s="433">
        <v>108.2</v>
      </c>
      <c r="Q215" s="433">
        <v>11</v>
      </c>
      <c r="R215" s="433">
        <v>0</v>
      </c>
      <c r="S215" s="433">
        <f t="shared" si="73"/>
        <v>0</v>
      </c>
      <c r="T215" s="433">
        <f t="shared" si="73"/>
        <v>0</v>
      </c>
      <c r="U215" s="433">
        <f t="shared" si="73"/>
        <v>0</v>
      </c>
      <c r="V215" s="433">
        <f t="shared" si="73"/>
        <v>0</v>
      </c>
      <c r="W215" s="433">
        <f t="shared" si="73"/>
        <v>0</v>
      </c>
      <c r="X215" s="433">
        <f t="shared" si="73"/>
        <v>0</v>
      </c>
      <c r="Y215" s="439">
        <v>0</v>
      </c>
    </row>
    <row r="216" spans="1:26" ht="13.5" thickBot="1" x14ac:dyDescent="0.25">
      <c r="A216" s="435" t="s">
        <v>117</v>
      </c>
      <c r="B216" s="429">
        <f t="shared" ref="B216:V216" si="74">(C215+B215)*(C214-B214)/2</f>
        <v>0.41899999999999998</v>
      </c>
      <c r="C216" s="430">
        <f t="shared" si="74"/>
        <v>0.66999999999999993</v>
      </c>
      <c r="D216" s="430">
        <f t="shared" si="74"/>
        <v>1.0440000000000003</v>
      </c>
      <c r="E216" s="430">
        <f t="shared" si="74"/>
        <v>2.2939999999999996</v>
      </c>
      <c r="F216" s="430">
        <f t="shared" si="74"/>
        <v>1.9540000000000004</v>
      </c>
      <c r="G216" s="430">
        <f t="shared" si="74"/>
        <v>5.859</v>
      </c>
      <c r="H216" s="430">
        <f t="shared" si="74"/>
        <v>2.5634999999999999</v>
      </c>
      <c r="I216" s="430">
        <f t="shared" si="74"/>
        <v>1.7410000000000019</v>
      </c>
      <c r="J216" s="430">
        <f>(K215+J215)*(K214-J214)/2</f>
        <v>8.9399999999999977</v>
      </c>
      <c r="K216" s="430">
        <f t="shared" si="74"/>
        <v>9.2400000000000038</v>
      </c>
      <c r="L216" s="430">
        <f t="shared" si="74"/>
        <v>9.4599999999999973</v>
      </c>
      <c r="M216" s="430">
        <f t="shared" si="74"/>
        <v>9.6049999999999969</v>
      </c>
      <c r="N216" s="430">
        <f t="shared" si="74"/>
        <v>9.7199999999999971</v>
      </c>
      <c r="O216" s="430">
        <f t="shared" si="74"/>
        <v>12.348000000000001</v>
      </c>
      <c r="P216" s="430">
        <f t="shared" si="74"/>
        <v>6.5560000000000063</v>
      </c>
      <c r="Q216" s="430">
        <f t="shared" si="74"/>
        <v>0.38499999999999973</v>
      </c>
      <c r="R216" s="430">
        <f t="shared" si="74"/>
        <v>0</v>
      </c>
      <c r="S216" s="430">
        <f>(T215+S215)*(T214-S214)/2</f>
        <v>0</v>
      </c>
      <c r="T216" s="430">
        <f t="shared" si="74"/>
        <v>0</v>
      </c>
      <c r="U216" s="430">
        <f t="shared" si="74"/>
        <v>0</v>
      </c>
      <c r="V216" s="430">
        <f t="shared" si="74"/>
        <v>0</v>
      </c>
      <c r="W216" s="430">
        <f>(X215+W215)*(X214-W214)/2</f>
        <v>0</v>
      </c>
      <c r="X216" s="430">
        <f>(Y215+X215)*(Y214-X214)/2</f>
        <v>0</v>
      </c>
      <c r="Y216" s="424"/>
    </row>
    <row r="217" spans="1:26" ht="13.5" thickBot="1" x14ac:dyDescent="0.25">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row>
    <row r="218" spans="1:26" ht="13.5" thickBot="1" x14ac:dyDescent="0.25">
      <c r="A218" s="416" t="s">
        <v>378</v>
      </c>
      <c r="B218" s="414">
        <f>ROW(A218)</f>
        <v>218</v>
      </c>
      <c r="C218" s="418" t="s">
        <v>116</v>
      </c>
      <c r="D218" s="408">
        <f>SUM(B221:Y221)</f>
        <v>98.257101163036367</v>
      </c>
      <c r="E218" s="418" t="s">
        <v>115</v>
      </c>
      <c r="F218" s="409">
        <f>D218/g/J218</f>
        <v>177.58890761893778</v>
      </c>
      <c r="G218" s="418" t="s">
        <v>57</v>
      </c>
      <c r="H218" s="86">
        <v>0.14319999999999999</v>
      </c>
      <c r="I218" s="418" t="s">
        <v>272</v>
      </c>
      <c r="J218" s="410">
        <f>H218-L218</f>
        <v>5.6399999999999992E-2</v>
      </c>
      <c r="K218" s="418" t="s">
        <v>273</v>
      </c>
      <c r="L218" s="86">
        <v>8.6800000000000002E-2</v>
      </c>
      <c r="M218" s="418" t="s">
        <v>58</v>
      </c>
      <c r="N218" s="87">
        <v>71</v>
      </c>
      <c r="O218" s="418" t="s">
        <v>60</v>
      </c>
      <c r="P218" s="87">
        <v>71</v>
      </c>
      <c r="Q218" s="418" t="s">
        <v>61</v>
      </c>
      <c r="R218" s="87">
        <v>142</v>
      </c>
      <c r="S218" s="418" t="s">
        <v>62</v>
      </c>
      <c r="T218" s="87">
        <v>29</v>
      </c>
      <c r="U218" s="418" t="s">
        <v>55</v>
      </c>
      <c r="V218" s="88" t="s">
        <v>120</v>
      </c>
      <c r="W218" s="546" t="s">
        <v>396</v>
      </c>
      <c r="X218" s="548">
        <v>1.1499999999999999</v>
      </c>
      <c r="Y218" s="546" t="s">
        <v>395</v>
      </c>
      <c r="Z218" s="413">
        <v>14</v>
      </c>
    </row>
    <row r="219" spans="1:26" x14ac:dyDescent="0.2">
      <c r="A219" s="417" t="s">
        <v>33</v>
      </c>
      <c r="B219" s="441">
        <v>0</v>
      </c>
      <c r="C219" s="442">
        <v>1.4999999999999999E-2</v>
      </c>
      <c r="D219" s="442">
        <v>0.03</v>
      </c>
      <c r="E219" s="442">
        <v>4.4999999999999998E-2</v>
      </c>
      <c r="F219" s="442">
        <v>0.06</v>
      </c>
      <c r="G219" s="442">
        <v>7.4999999999999997E-2</v>
      </c>
      <c r="H219" s="442">
        <v>0.09</v>
      </c>
      <c r="I219" s="442">
        <v>0.105</v>
      </c>
      <c r="J219" s="442">
        <v>0.12</v>
      </c>
      <c r="K219" s="442">
        <v>0.18</v>
      </c>
      <c r="L219" s="442">
        <v>0.24</v>
      </c>
      <c r="M219" s="442">
        <v>0.3</v>
      </c>
      <c r="N219" s="442">
        <v>0.48</v>
      </c>
      <c r="O219" s="442">
        <v>0.6</v>
      </c>
      <c r="P219" s="442">
        <v>0.66</v>
      </c>
      <c r="Q219" s="442">
        <v>0.72</v>
      </c>
      <c r="R219" s="442">
        <v>0.78</v>
      </c>
      <c r="S219" s="442">
        <v>0.84</v>
      </c>
      <c r="T219" s="442">
        <v>0.9</v>
      </c>
      <c r="U219" s="442">
        <v>0.96</v>
      </c>
      <c r="V219" s="442">
        <v>1.0349999999999999</v>
      </c>
      <c r="W219" s="442">
        <v>1.2</v>
      </c>
      <c r="X219" s="442">
        <v>2</v>
      </c>
      <c r="Y219" s="444">
        <v>1000</v>
      </c>
    </row>
    <row r="220" spans="1:26" x14ac:dyDescent="0.2">
      <c r="A220" s="434" t="s">
        <v>34</v>
      </c>
      <c r="B220" s="443">
        <v>0</v>
      </c>
      <c r="C220" s="431">
        <v>99.328788958822486</v>
      </c>
      <c r="D220" s="431">
        <v>109.07039432469</v>
      </c>
      <c r="E220" s="431">
        <v>65.255411286427503</v>
      </c>
      <c r="F220" s="431">
        <v>67.568486533117493</v>
      </c>
      <c r="G220" s="431">
        <v>73.929443461515007</v>
      </c>
      <c r="H220" s="431">
        <v>74.329783408057494</v>
      </c>
      <c r="I220" s="431">
        <v>78.1552540083525</v>
      </c>
      <c r="J220" s="431">
        <v>78.600076171177506</v>
      </c>
      <c r="K220" s="431">
        <v>82.203135690059995</v>
      </c>
      <c r="L220" s="431">
        <v>84.516210936749999</v>
      </c>
      <c r="M220" s="431">
        <v>88.51961040217499</v>
      </c>
      <c r="N220" s="431">
        <v>95.102978411984992</v>
      </c>
      <c r="O220" s="431">
        <v>95.547800574809997</v>
      </c>
      <c r="P220" s="431">
        <v>94.480227384029988</v>
      </c>
      <c r="Q220" s="431">
        <v>92.122669921057494</v>
      </c>
      <c r="R220" s="431">
        <v>90.743721216299988</v>
      </c>
      <c r="S220" s="431">
        <v>88.964432564999996</v>
      </c>
      <c r="T220" s="431">
        <v>85.405855262399996</v>
      </c>
      <c r="U220" s="431">
        <v>83.448637745970004</v>
      </c>
      <c r="V220" s="431">
        <v>88.074788239349999</v>
      </c>
      <c r="W220" s="431">
        <v>0</v>
      </c>
      <c r="X220" s="433">
        <v>0</v>
      </c>
      <c r="Y220" s="439">
        <v>0</v>
      </c>
    </row>
    <row r="221" spans="1:26" ht="13.5" thickBot="1" x14ac:dyDescent="0.25">
      <c r="A221" s="435" t="s">
        <v>117</v>
      </c>
      <c r="B221" s="429">
        <f t="shared" ref="B221:V221" si="75">(C220+B220)*(C219-B219)/2</f>
        <v>0.74496591719116867</v>
      </c>
      <c r="C221" s="430">
        <f t="shared" si="75"/>
        <v>1.5629938746263436</v>
      </c>
      <c r="D221" s="430">
        <f t="shared" si="75"/>
        <v>1.3074435420833814</v>
      </c>
      <c r="E221" s="430">
        <f t="shared" si="75"/>
        <v>0.99617923364658734</v>
      </c>
      <c r="F221" s="430">
        <f t="shared" si="75"/>
        <v>1.0612344749597438</v>
      </c>
      <c r="G221" s="430">
        <f t="shared" si="75"/>
        <v>1.1119442015217937</v>
      </c>
      <c r="H221" s="430">
        <f t="shared" si="75"/>
        <v>1.1436377806230749</v>
      </c>
      <c r="I221" s="430">
        <f t="shared" si="75"/>
        <v>1.175664976346475</v>
      </c>
      <c r="J221" s="430">
        <f>(K220+J220)*(K219-J219)/2</f>
        <v>4.824096355837125</v>
      </c>
      <c r="K221" s="430">
        <f t="shared" si="75"/>
        <v>5.0015803988042995</v>
      </c>
      <c r="L221" s="430">
        <f t="shared" si="75"/>
        <v>5.1910746401677494</v>
      </c>
      <c r="M221" s="430">
        <f t="shared" si="75"/>
        <v>16.526032993274399</v>
      </c>
      <c r="N221" s="430">
        <f t="shared" si="75"/>
        <v>11.439046739207699</v>
      </c>
      <c r="O221" s="430">
        <f t="shared" si="75"/>
        <v>5.7008408387652043</v>
      </c>
      <c r="P221" s="430">
        <f t="shared" si="75"/>
        <v>5.5980869191526192</v>
      </c>
      <c r="Q221" s="430">
        <f t="shared" si="75"/>
        <v>5.4859917341207289</v>
      </c>
      <c r="R221" s="430">
        <f t="shared" si="75"/>
        <v>5.3912446134389942</v>
      </c>
      <c r="S221" s="430">
        <f>(T220+S220)*(T219-S219)/2</f>
        <v>5.2311086348220037</v>
      </c>
      <c r="T221" s="430">
        <f t="shared" si="75"/>
        <v>5.0656347902510959</v>
      </c>
      <c r="U221" s="430">
        <f t="shared" si="75"/>
        <v>6.4321284744494962</v>
      </c>
      <c r="V221" s="430">
        <f t="shared" si="75"/>
        <v>7.2661700297463767</v>
      </c>
      <c r="W221" s="430">
        <f>(X220+W220)*(X219-W219)/2</f>
        <v>0</v>
      </c>
      <c r="X221" s="430">
        <f>(Y220+X220)*(Y219-X219)/2</f>
        <v>0</v>
      </c>
      <c r="Y221" s="424"/>
    </row>
    <row r="222" spans="1:26" ht="13.5" thickBot="1" x14ac:dyDescent="0.25">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row>
    <row r="223" spans="1:26" ht="13.5" thickBot="1" x14ac:dyDescent="0.25">
      <c r="A223" s="416" t="s">
        <v>379</v>
      </c>
      <c r="B223" s="414">
        <f>ROW(A223)</f>
        <v>223</v>
      </c>
      <c r="C223" s="418" t="s">
        <v>116</v>
      </c>
      <c r="D223" s="408">
        <f>SUM(B226:Y226)</f>
        <v>109.60639850000001</v>
      </c>
      <c r="E223" s="418" t="s">
        <v>115</v>
      </c>
      <c r="F223" s="409">
        <f>D223/g/J223</f>
        <v>194.31174666489383</v>
      </c>
      <c r="G223" s="418" t="s">
        <v>57</v>
      </c>
      <c r="H223" s="86">
        <v>0.14130000000000001</v>
      </c>
      <c r="I223" s="418" t="s">
        <v>272</v>
      </c>
      <c r="J223" s="410">
        <f>H223-L223</f>
        <v>5.7500000000000009E-2</v>
      </c>
      <c r="K223" s="418" t="s">
        <v>273</v>
      </c>
      <c r="L223" s="86">
        <v>8.3799999999999999E-2</v>
      </c>
      <c r="M223" s="418" t="s">
        <v>58</v>
      </c>
      <c r="N223" s="87">
        <v>71</v>
      </c>
      <c r="O223" s="418" t="s">
        <v>60</v>
      </c>
      <c r="P223" s="87">
        <v>71</v>
      </c>
      <c r="Q223" s="418" t="s">
        <v>61</v>
      </c>
      <c r="R223" s="87">
        <v>142</v>
      </c>
      <c r="S223" s="418" t="s">
        <v>62</v>
      </c>
      <c r="T223" s="87">
        <v>29</v>
      </c>
      <c r="U223" s="418" t="s">
        <v>55</v>
      </c>
      <c r="V223" s="88" t="s">
        <v>403</v>
      </c>
      <c r="W223" s="546" t="s">
        <v>396</v>
      </c>
      <c r="X223" s="548">
        <v>0.45</v>
      </c>
      <c r="Y223" s="546" t="s">
        <v>395</v>
      </c>
      <c r="Z223" s="413">
        <v>14</v>
      </c>
    </row>
    <row r="224" spans="1:26" x14ac:dyDescent="0.2">
      <c r="A224" s="417" t="s">
        <v>33</v>
      </c>
      <c r="B224" s="441">
        <v>0</v>
      </c>
      <c r="C224" s="442">
        <v>6.0000000000000001E-3</v>
      </c>
      <c r="D224" s="442">
        <v>1.0999999999999999E-2</v>
      </c>
      <c r="E224" s="442">
        <v>1.6E-2</v>
      </c>
      <c r="F224" s="442">
        <v>3.1E-2</v>
      </c>
      <c r="G224" s="442">
        <v>7.4999999999999997E-2</v>
      </c>
      <c r="H224" s="442">
        <v>0.122</v>
      </c>
      <c r="I224" s="442">
        <v>0.216</v>
      </c>
      <c r="J224" s="442">
        <v>0.25</v>
      </c>
      <c r="K224" s="442">
        <v>0.28699999999999998</v>
      </c>
      <c r="L224" s="442">
        <v>0.35399999999999998</v>
      </c>
      <c r="M224" s="442">
        <v>0.374</v>
      </c>
      <c r="N224" s="442">
        <v>0.4</v>
      </c>
      <c r="O224" s="442">
        <v>0.41299999999999998</v>
      </c>
      <c r="P224" s="442">
        <v>0.42</v>
      </c>
      <c r="Q224" s="442">
        <v>0.433</v>
      </c>
      <c r="R224" s="442">
        <v>0.44500000000000001</v>
      </c>
      <c r="S224" s="442">
        <v>0.45400000000000001</v>
      </c>
      <c r="T224" s="442">
        <f t="shared" ref="T224:X225" si="76">S224</f>
        <v>0.45400000000000001</v>
      </c>
      <c r="U224" s="442">
        <f t="shared" si="76"/>
        <v>0.45400000000000001</v>
      </c>
      <c r="V224" s="442">
        <f t="shared" si="76"/>
        <v>0.45400000000000001</v>
      </c>
      <c r="W224" s="442">
        <f t="shared" si="76"/>
        <v>0.45400000000000001</v>
      </c>
      <c r="X224" s="442">
        <v>2</v>
      </c>
      <c r="Y224" s="444">
        <v>1000</v>
      </c>
    </row>
    <row r="225" spans="1:26" x14ac:dyDescent="0.2">
      <c r="A225" s="434" t="s">
        <v>34</v>
      </c>
      <c r="B225" s="443">
        <v>0</v>
      </c>
      <c r="C225" s="433">
        <v>151.62100000000001</v>
      </c>
      <c r="D225" s="433">
        <v>198.07900000000001</v>
      </c>
      <c r="E225" s="433">
        <v>203.12100000000001</v>
      </c>
      <c r="F225" s="433">
        <v>201.68100000000001</v>
      </c>
      <c r="G225" s="433">
        <v>226.17</v>
      </c>
      <c r="H225" s="433">
        <v>250.3</v>
      </c>
      <c r="I225" s="433">
        <v>280.19200000000001</v>
      </c>
      <c r="J225" s="433">
        <v>287.03500000000003</v>
      </c>
      <c r="K225" s="433">
        <v>284.87400000000002</v>
      </c>
      <c r="L225" s="433">
        <v>269.74799999999999</v>
      </c>
      <c r="M225" s="433">
        <v>258.58300000000003</v>
      </c>
      <c r="N225" s="433">
        <v>233.37299999999999</v>
      </c>
      <c r="O225" s="433">
        <v>234.09399999999999</v>
      </c>
      <c r="P225" s="433">
        <v>227.61099999999999</v>
      </c>
      <c r="Q225" s="433">
        <v>137.935</v>
      </c>
      <c r="R225" s="433">
        <v>33.853999999999999</v>
      </c>
      <c r="S225" s="433">
        <v>0</v>
      </c>
      <c r="T225" s="433">
        <f t="shared" si="76"/>
        <v>0</v>
      </c>
      <c r="U225" s="433">
        <f t="shared" si="76"/>
        <v>0</v>
      </c>
      <c r="V225" s="433">
        <f t="shared" si="76"/>
        <v>0</v>
      </c>
      <c r="W225" s="433">
        <f t="shared" si="76"/>
        <v>0</v>
      </c>
      <c r="X225" s="433">
        <f t="shared" si="76"/>
        <v>0</v>
      </c>
      <c r="Y225" s="439">
        <v>0</v>
      </c>
    </row>
    <row r="226" spans="1:26" ht="13.5" thickBot="1" x14ac:dyDescent="0.25">
      <c r="A226" s="435" t="s">
        <v>117</v>
      </c>
      <c r="B226" s="429">
        <f t="shared" ref="B226:X226" si="77">(C225+B225)*(C224-B224)/2</f>
        <v>0.45486300000000002</v>
      </c>
      <c r="C226" s="430">
        <f t="shared" si="77"/>
        <v>0.87424999999999997</v>
      </c>
      <c r="D226" s="430">
        <f t="shared" si="77"/>
        <v>1.0030000000000003</v>
      </c>
      <c r="E226" s="430">
        <f t="shared" si="77"/>
        <v>3.0360149999999999</v>
      </c>
      <c r="F226" s="430">
        <f t="shared" si="77"/>
        <v>9.4127219999999987</v>
      </c>
      <c r="G226" s="430">
        <f t="shared" si="77"/>
        <v>11.197045000000001</v>
      </c>
      <c r="H226" s="430">
        <f t="shared" si="77"/>
        <v>24.933123999999999</v>
      </c>
      <c r="I226" s="430">
        <f t="shared" si="77"/>
        <v>9.6428590000000014</v>
      </c>
      <c r="J226" s="430">
        <f t="shared" si="77"/>
        <v>10.580316499999995</v>
      </c>
      <c r="K226" s="430">
        <f t="shared" si="77"/>
        <v>18.579837000000005</v>
      </c>
      <c r="L226" s="430">
        <f t="shared" si="77"/>
        <v>5.2833100000000046</v>
      </c>
      <c r="M226" s="430">
        <f t="shared" si="77"/>
        <v>6.3954280000000061</v>
      </c>
      <c r="N226" s="430">
        <f t="shared" si="77"/>
        <v>3.0385354999999898</v>
      </c>
      <c r="O226" s="430">
        <f t="shared" si="77"/>
        <v>1.6159675000000013</v>
      </c>
      <c r="P226" s="430">
        <f t="shared" si="77"/>
        <v>2.3760490000000019</v>
      </c>
      <c r="Q226" s="430">
        <f t="shared" si="77"/>
        <v>1.0307340000000009</v>
      </c>
      <c r="R226" s="430">
        <f t="shared" si="77"/>
        <v>0.15234300000000014</v>
      </c>
      <c r="S226" s="430">
        <f t="shared" si="77"/>
        <v>0</v>
      </c>
      <c r="T226" s="430">
        <f t="shared" si="77"/>
        <v>0</v>
      </c>
      <c r="U226" s="430">
        <f t="shared" si="77"/>
        <v>0</v>
      </c>
      <c r="V226" s="430">
        <f t="shared" si="77"/>
        <v>0</v>
      </c>
      <c r="W226" s="430">
        <f t="shared" si="77"/>
        <v>0</v>
      </c>
      <c r="X226" s="430">
        <f t="shared" si="77"/>
        <v>0</v>
      </c>
      <c r="Y226" s="424"/>
    </row>
    <row r="227" spans="1:26" ht="13.5" thickBot="1" x14ac:dyDescent="0.25">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row>
    <row r="228" spans="1:26" ht="13.5" thickBot="1" x14ac:dyDescent="0.25">
      <c r="A228" s="416" t="s">
        <v>380</v>
      </c>
      <c r="B228" s="414">
        <f>ROW(A228)</f>
        <v>228</v>
      </c>
      <c r="C228" s="418" t="s">
        <v>116</v>
      </c>
      <c r="D228" s="408">
        <f>SUM(B231:Y231)</f>
        <v>115.63</v>
      </c>
      <c r="E228" s="418" t="s">
        <v>115</v>
      </c>
      <c r="F228" s="409">
        <f>D228/g/J228</f>
        <v>199.77884897804037</v>
      </c>
      <c r="G228" s="418" t="s">
        <v>57</v>
      </c>
      <c r="H228" s="86">
        <v>0.14499999999999999</v>
      </c>
      <c r="I228" s="418" t="s">
        <v>272</v>
      </c>
      <c r="J228" s="410">
        <f>H228-L228</f>
        <v>5.8999999999999997E-2</v>
      </c>
      <c r="K228" s="418" t="s">
        <v>273</v>
      </c>
      <c r="L228" s="86">
        <v>8.5999999999999993E-2</v>
      </c>
      <c r="M228" s="418" t="s">
        <v>58</v>
      </c>
      <c r="N228" s="87">
        <v>71</v>
      </c>
      <c r="O228" s="418" t="s">
        <v>60</v>
      </c>
      <c r="P228" s="87">
        <v>71</v>
      </c>
      <c r="Q228" s="418" t="s">
        <v>61</v>
      </c>
      <c r="R228" s="87">
        <v>142</v>
      </c>
      <c r="S228" s="418" t="s">
        <v>62</v>
      </c>
      <c r="T228" s="87">
        <v>29</v>
      </c>
      <c r="U228" s="418" t="s">
        <v>55</v>
      </c>
      <c r="V228" s="88" t="s">
        <v>402</v>
      </c>
      <c r="W228" s="546" t="s">
        <v>396</v>
      </c>
      <c r="X228" s="548">
        <v>0.93</v>
      </c>
      <c r="Y228" s="546" t="s">
        <v>395</v>
      </c>
      <c r="Z228" s="413">
        <v>13</v>
      </c>
    </row>
    <row r="229" spans="1:26" x14ac:dyDescent="0.2">
      <c r="A229" s="417" t="s">
        <v>33</v>
      </c>
      <c r="B229" s="441">
        <v>0</v>
      </c>
      <c r="C229" s="442">
        <v>0.01</v>
      </c>
      <c r="D229" s="442">
        <v>0.02</v>
      </c>
      <c r="E229" s="442">
        <v>0.03</v>
      </c>
      <c r="F229" s="442">
        <v>0.04</v>
      </c>
      <c r="G229" s="442">
        <v>0.05</v>
      </c>
      <c r="H229" s="442">
        <v>0.1</v>
      </c>
      <c r="I229" s="442">
        <v>0.2</v>
      </c>
      <c r="J229" s="442">
        <v>0.3</v>
      </c>
      <c r="K229" s="442">
        <v>0.4</v>
      </c>
      <c r="L229" s="442">
        <v>0.6</v>
      </c>
      <c r="M229" s="442">
        <v>0.75</v>
      </c>
      <c r="N229" s="442">
        <v>0.81</v>
      </c>
      <c r="O229" s="442">
        <v>0.86</v>
      </c>
      <c r="P229" s="442">
        <v>0.9</v>
      </c>
      <c r="Q229" s="442">
        <v>0.95</v>
      </c>
      <c r="R229" s="442">
        <v>1</v>
      </c>
      <c r="S229" s="442">
        <v>1</v>
      </c>
      <c r="T229" s="442">
        <v>1</v>
      </c>
      <c r="U229" s="442">
        <v>1</v>
      </c>
      <c r="V229" s="442">
        <v>1</v>
      </c>
      <c r="W229" s="442">
        <v>1</v>
      </c>
      <c r="X229" s="442">
        <v>2</v>
      </c>
      <c r="Y229" s="444">
        <v>1000</v>
      </c>
    </row>
    <row r="230" spans="1:26" x14ac:dyDescent="0.2">
      <c r="A230" s="434" t="s">
        <v>34</v>
      </c>
      <c r="B230" s="443">
        <v>0</v>
      </c>
      <c r="C230" s="431">
        <v>55</v>
      </c>
      <c r="D230" s="431">
        <v>168</v>
      </c>
      <c r="E230" s="431">
        <v>157</v>
      </c>
      <c r="F230" s="431">
        <v>148</v>
      </c>
      <c r="G230" s="431">
        <v>125</v>
      </c>
      <c r="H230" s="431">
        <v>135</v>
      </c>
      <c r="I230" s="431">
        <v>141</v>
      </c>
      <c r="J230" s="431">
        <v>142</v>
      </c>
      <c r="K230" s="431">
        <v>141</v>
      </c>
      <c r="L230" s="431">
        <v>133</v>
      </c>
      <c r="M230" s="431">
        <v>127</v>
      </c>
      <c r="N230" s="431">
        <v>128</v>
      </c>
      <c r="O230" s="431">
        <v>60</v>
      </c>
      <c r="P230" s="431">
        <v>15</v>
      </c>
      <c r="Q230" s="431">
        <v>0</v>
      </c>
      <c r="R230" s="431">
        <v>0</v>
      </c>
      <c r="S230" s="431">
        <v>0</v>
      </c>
      <c r="T230" s="431">
        <v>0</v>
      </c>
      <c r="U230" s="431">
        <v>0</v>
      </c>
      <c r="V230" s="431">
        <v>0</v>
      </c>
      <c r="W230" s="431">
        <v>0</v>
      </c>
      <c r="X230" s="433">
        <v>0</v>
      </c>
      <c r="Y230" s="439">
        <v>0</v>
      </c>
    </row>
    <row r="231" spans="1:26" ht="13.5" thickBot="1" x14ac:dyDescent="0.25">
      <c r="A231" s="435" t="s">
        <v>117</v>
      </c>
      <c r="B231" s="429">
        <f t="shared" ref="B231:X231" si="78">(C230+B230)*(C229-B229)/2</f>
        <v>0.27500000000000002</v>
      </c>
      <c r="C231" s="430">
        <f t="shared" si="78"/>
        <v>1.115</v>
      </c>
      <c r="D231" s="430">
        <f t="shared" si="78"/>
        <v>1.6249999999999998</v>
      </c>
      <c r="E231" s="430">
        <f t="shared" si="78"/>
        <v>1.5250000000000004</v>
      </c>
      <c r="F231" s="430">
        <f t="shared" si="78"/>
        <v>1.3650000000000002</v>
      </c>
      <c r="G231" s="430">
        <f t="shared" si="78"/>
        <v>6.5</v>
      </c>
      <c r="H231" s="430">
        <f t="shared" si="78"/>
        <v>13.8</v>
      </c>
      <c r="I231" s="430">
        <f t="shared" si="78"/>
        <v>14.149999999999997</v>
      </c>
      <c r="J231" s="430">
        <f t="shared" si="78"/>
        <v>14.150000000000004</v>
      </c>
      <c r="K231" s="430">
        <f t="shared" si="78"/>
        <v>27.399999999999995</v>
      </c>
      <c r="L231" s="430">
        <f t="shared" si="78"/>
        <v>19.500000000000004</v>
      </c>
      <c r="M231" s="430">
        <f t="shared" si="78"/>
        <v>7.6500000000000066</v>
      </c>
      <c r="N231" s="430">
        <f t="shared" si="78"/>
        <v>4.699999999999994</v>
      </c>
      <c r="O231" s="430">
        <f t="shared" si="78"/>
        <v>1.5000000000000013</v>
      </c>
      <c r="P231" s="430">
        <f t="shared" si="78"/>
        <v>0.3749999999999995</v>
      </c>
      <c r="Q231" s="430">
        <f t="shared" si="78"/>
        <v>0</v>
      </c>
      <c r="R231" s="430">
        <f t="shared" si="78"/>
        <v>0</v>
      </c>
      <c r="S231" s="430">
        <f t="shared" si="78"/>
        <v>0</v>
      </c>
      <c r="T231" s="430">
        <f t="shared" si="78"/>
        <v>0</v>
      </c>
      <c r="U231" s="430">
        <f t="shared" si="78"/>
        <v>0</v>
      </c>
      <c r="V231" s="430">
        <f t="shared" si="78"/>
        <v>0</v>
      </c>
      <c r="W231" s="430">
        <f t="shared" si="78"/>
        <v>0</v>
      </c>
      <c r="X231" s="430">
        <f t="shared" si="78"/>
        <v>0</v>
      </c>
      <c r="Y231" s="424"/>
    </row>
    <row r="232" spans="1:26" ht="13.5" thickBot="1" x14ac:dyDescent="0.25">
      <c r="A232" s="492" t="s">
        <v>388</v>
      </c>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row>
    <row r="233" spans="1:26" ht="13.5" thickBot="1" x14ac:dyDescent="0.25">
      <c r="A233" s="416" t="s">
        <v>389</v>
      </c>
      <c r="B233" s="414">
        <f>ROW(A233)</f>
        <v>233</v>
      </c>
      <c r="C233" s="418" t="s">
        <v>116</v>
      </c>
      <c r="D233" s="408">
        <f>SUM(B236:Y236)</f>
        <v>115.63</v>
      </c>
      <c r="E233" s="418" t="s">
        <v>115</v>
      </c>
      <c r="F233" s="409">
        <f>D233/g/J233</f>
        <v>125.39310733728064</v>
      </c>
      <c r="G233" s="418" t="s">
        <v>57</v>
      </c>
      <c r="H233" s="86">
        <v>0.2</v>
      </c>
      <c r="I233" s="418" t="s">
        <v>272</v>
      </c>
      <c r="J233" s="410">
        <f>H233-L233</f>
        <v>9.4000000000000014E-2</v>
      </c>
      <c r="K233" s="418" t="s">
        <v>273</v>
      </c>
      <c r="L233" s="86">
        <v>0.106</v>
      </c>
      <c r="M233" s="418" t="s">
        <v>58</v>
      </c>
      <c r="N233" s="87">
        <v>93</v>
      </c>
      <c r="O233" s="418" t="s">
        <v>60</v>
      </c>
      <c r="P233" s="87">
        <v>93</v>
      </c>
      <c r="Q233" s="418" t="s">
        <v>61</v>
      </c>
      <c r="R233" s="87">
        <v>187</v>
      </c>
      <c r="S233" s="418" t="s">
        <v>62</v>
      </c>
      <c r="T233" s="87">
        <v>29</v>
      </c>
      <c r="U233" s="418" t="s">
        <v>55</v>
      </c>
      <c r="V233" s="88" t="s">
        <v>120</v>
      </c>
      <c r="W233" s="546" t="s">
        <v>396</v>
      </c>
      <c r="X233" s="548">
        <v>0.96</v>
      </c>
      <c r="Y233" s="546" t="s">
        <v>395</v>
      </c>
      <c r="Z233" s="413">
        <v>14</v>
      </c>
    </row>
    <row r="234" spans="1:26" x14ac:dyDescent="0.2">
      <c r="A234" s="417" t="s">
        <v>33</v>
      </c>
      <c r="B234" s="441">
        <v>0</v>
      </c>
      <c r="C234" s="442">
        <v>0.01</v>
      </c>
      <c r="D234" s="442">
        <v>0.02</v>
      </c>
      <c r="E234" s="442">
        <v>0.03</v>
      </c>
      <c r="F234" s="442">
        <v>0.04</v>
      </c>
      <c r="G234" s="442">
        <v>0.05</v>
      </c>
      <c r="H234" s="442">
        <v>0.1</v>
      </c>
      <c r="I234" s="442">
        <v>0.2</v>
      </c>
      <c r="J234" s="442">
        <v>0.3</v>
      </c>
      <c r="K234" s="442">
        <v>0.4</v>
      </c>
      <c r="L234" s="442">
        <v>0.6</v>
      </c>
      <c r="M234" s="442">
        <v>0.75</v>
      </c>
      <c r="N234" s="442">
        <v>0.81</v>
      </c>
      <c r="O234" s="442">
        <v>0.86</v>
      </c>
      <c r="P234" s="442">
        <v>0.9</v>
      </c>
      <c r="Q234" s="442">
        <v>0.95</v>
      </c>
      <c r="R234" s="442">
        <v>1</v>
      </c>
      <c r="S234" s="442">
        <f t="shared" ref="S234:X235" si="79">R234</f>
        <v>1</v>
      </c>
      <c r="T234" s="442">
        <f t="shared" si="79"/>
        <v>1</v>
      </c>
      <c r="U234" s="442">
        <f t="shared" si="79"/>
        <v>1</v>
      </c>
      <c r="V234" s="442">
        <f t="shared" si="79"/>
        <v>1</v>
      </c>
      <c r="W234" s="442">
        <f t="shared" si="79"/>
        <v>1</v>
      </c>
      <c r="X234" s="442">
        <v>2</v>
      </c>
      <c r="Y234" s="444">
        <v>1000</v>
      </c>
    </row>
    <row r="235" spans="1:26" x14ac:dyDescent="0.2">
      <c r="A235" s="434" t="s">
        <v>34</v>
      </c>
      <c r="B235" s="443">
        <v>0</v>
      </c>
      <c r="C235" s="433">
        <v>55</v>
      </c>
      <c r="D235" s="433">
        <v>168</v>
      </c>
      <c r="E235" s="433">
        <v>157</v>
      </c>
      <c r="F235" s="433">
        <v>148</v>
      </c>
      <c r="G235" s="433">
        <v>125</v>
      </c>
      <c r="H235" s="433">
        <v>135</v>
      </c>
      <c r="I235" s="433">
        <v>141</v>
      </c>
      <c r="J235" s="433">
        <v>142</v>
      </c>
      <c r="K235" s="433">
        <v>141</v>
      </c>
      <c r="L235" s="433">
        <v>133</v>
      </c>
      <c r="M235" s="433">
        <v>127</v>
      </c>
      <c r="N235" s="433">
        <v>128</v>
      </c>
      <c r="O235" s="433">
        <v>60</v>
      </c>
      <c r="P235" s="433">
        <v>15</v>
      </c>
      <c r="Q235" s="433">
        <v>0</v>
      </c>
      <c r="R235" s="433">
        <v>0</v>
      </c>
      <c r="S235" s="433">
        <f t="shared" si="79"/>
        <v>0</v>
      </c>
      <c r="T235" s="433">
        <f t="shared" si="79"/>
        <v>0</v>
      </c>
      <c r="U235" s="433">
        <f t="shared" si="79"/>
        <v>0</v>
      </c>
      <c r="V235" s="433">
        <f t="shared" si="79"/>
        <v>0</v>
      </c>
      <c r="W235" s="433">
        <f t="shared" si="79"/>
        <v>0</v>
      </c>
      <c r="X235" s="433">
        <f t="shared" si="79"/>
        <v>0</v>
      </c>
      <c r="Y235" s="439">
        <v>0</v>
      </c>
    </row>
    <row r="236" spans="1:26" ht="13.5" thickBot="1" x14ac:dyDescent="0.25">
      <c r="A236" s="435" t="s">
        <v>117</v>
      </c>
      <c r="B236" s="429">
        <f t="shared" ref="B236:X236" si="80">(C235+B235)*(C234-B234)/2</f>
        <v>0.27500000000000002</v>
      </c>
      <c r="C236" s="430">
        <f t="shared" si="80"/>
        <v>1.115</v>
      </c>
      <c r="D236" s="430">
        <f t="shared" si="80"/>
        <v>1.6249999999999998</v>
      </c>
      <c r="E236" s="430">
        <f t="shared" si="80"/>
        <v>1.5250000000000004</v>
      </c>
      <c r="F236" s="430">
        <f t="shared" si="80"/>
        <v>1.3650000000000002</v>
      </c>
      <c r="G236" s="430">
        <f t="shared" si="80"/>
        <v>6.5</v>
      </c>
      <c r="H236" s="430">
        <f t="shared" si="80"/>
        <v>13.8</v>
      </c>
      <c r="I236" s="430">
        <f t="shared" si="80"/>
        <v>14.149999999999997</v>
      </c>
      <c r="J236" s="430">
        <f t="shared" si="80"/>
        <v>14.150000000000004</v>
      </c>
      <c r="K236" s="430">
        <f t="shared" si="80"/>
        <v>27.399999999999995</v>
      </c>
      <c r="L236" s="430">
        <f t="shared" si="80"/>
        <v>19.500000000000004</v>
      </c>
      <c r="M236" s="430">
        <f t="shared" si="80"/>
        <v>7.6500000000000066</v>
      </c>
      <c r="N236" s="430">
        <f t="shared" si="80"/>
        <v>4.699999999999994</v>
      </c>
      <c r="O236" s="430">
        <f t="shared" si="80"/>
        <v>1.5000000000000013</v>
      </c>
      <c r="P236" s="430">
        <f t="shared" si="80"/>
        <v>0.3749999999999995</v>
      </c>
      <c r="Q236" s="430">
        <f t="shared" si="80"/>
        <v>0</v>
      </c>
      <c r="R236" s="430">
        <f t="shared" si="80"/>
        <v>0</v>
      </c>
      <c r="S236" s="430">
        <f t="shared" si="80"/>
        <v>0</v>
      </c>
      <c r="T236" s="430">
        <f t="shared" si="80"/>
        <v>0</v>
      </c>
      <c r="U236" s="430">
        <f t="shared" si="80"/>
        <v>0</v>
      </c>
      <c r="V236" s="430">
        <f t="shared" si="80"/>
        <v>0</v>
      </c>
      <c r="W236" s="430">
        <f t="shared" si="80"/>
        <v>0</v>
      </c>
      <c r="X236" s="430">
        <f t="shared" si="80"/>
        <v>0</v>
      </c>
      <c r="Y236" s="424"/>
    </row>
    <row r="237" spans="1:26" ht="13.5" thickBot="1" x14ac:dyDescent="0.25">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row>
    <row r="238" spans="1:26" ht="13.5" thickBot="1" x14ac:dyDescent="0.25">
      <c r="A238" s="416" t="s">
        <v>394</v>
      </c>
      <c r="B238" s="414">
        <f>ROW(A238)</f>
        <v>238</v>
      </c>
      <c r="C238" s="418" t="s">
        <v>116</v>
      </c>
      <c r="D238" s="408">
        <f>SUM(B241:Y241)</f>
        <v>158.04815100000002</v>
      </c>
      <c r="E238" s="418" t="s">
        <v>115</v>
      </c>
      <c r="F238" s="409">
        <v>198</v>
      </c>
      <c r="G238" s="418" t="s">
        <v>57</v>
      </c>
      <c r="H238" s="86">
        <v>0.19450000000000001</v>
      </c>
      <c r="I238" s="418" t="s">
        <v>272</v>
      </c>
      <c r="J238" s="410">
        <f>H238-L238</f>
        <v>8.9600000000000013E-2</v>
      </c>
      <c r="K238" s="418" t="s">
        <v>273</v>
      </c>
      <c r="L238" s="86">
        <v>0.10489999999999999</v>
      </c>
      <c r="M238" s="418" t="s">
        <v>58</v>
      </c>
      <c r="N238" s="87">
        <v>93</v>
      </c>
      <c r="O238" s="418" t="s">
        <v>60</v>
      </c>
      <c r="P238" s="87">
        <v>93</v>
      </c>
      <c r="Q238" s="418" t="s">
        <v>61</v>
      </c>
      <c r="R238" s="87">
        <v>187</v>
      </c>
      <c r="S238" s="418" t="s">
        <v>62</v>
      </c>
      <c r="T238" s="87">
        <v>29</v>
      </c>
      <c r="U238" s="418" t="s">
        <v>55</v>
      </c>
      <c r="V238" s="88" t="s">
        <v>120</v>
      </c>
      <c r="W238" s="546" t="s">
        <v>396</v>
      </c>
      <c r="X238" s="548">
        <v>1.27</v>
      </c>
      <c r="Y238" s="546" t="s">
        <v>395</v>
      </c>
      <c r="Z238" s="413">
        <v>14</v>
      </c>
    </row>
    <row r="239" spans="1:26" x14ac:dyDescent="0.2">
      <c r="A239" s="417" t="s">
        <v>33</v>
      </c>
      <c r="B239" s="556">
        <v>0</v>
      </c>
      <c r="C239" s="556">
        <v>4.0000000000000001E-3</v>
      </c>
      <c r="D239" s="556">
        <v>2.1999999999999999E-2</v>
      </c>
      <c r="E239" s="556">
        <v>3.9E-2</v>
      </c>
      <c r="F239" s="556">
        <v>0.122</v>
      </c>
      <c r="G239" s="556">
        <v>0.23599999999999999</v>
      </c>
      <c r="H239" s="556">
        <v>0.58899999999999997</v>
      </c>
      <c r="I239" s="556">
        <v>0.80100000000000005</v>
      </c>
      <c r="J239" s="556">
        <v>1.0680000000000001</v>
      </c>
      <c r="K239" s="556">
        <v>1.1180000000000001</v>
      </c>
      <c r="L239" s="556">
        <v>1.145</v>
      </c>
      <c r="M239" s="556">
        <v>1.1739999999999999</v>
      </c>
      <c r="N239" s="556">
        <v>1.2110000000000001</v>
      </c>
      <c r="O239" s="556">
        <v>1.2470000000000001</v>
      </c>
      <c r="P239" s="556">
        <v>1.2989999999999999</v>
      </c>
      <c r="Q239" s="442">
        <v>2</v>
      </c>
      <c r="R239" s="442">
        <v>2</v>
      </c>
      <c r="S239" s="442">
        <f t="shared" ref="S239:X240" si="81">R239</f>
        <v>2</v>
      </c>
      <c r="T239" s="442">
        <f t="shared" si="81"/>
        <v>2</v>
      </c>
      <c r="U239" s="442">
        <f t="shared" si="81"/>
        <v>2</v>
      </c>
      <c r="V239" s="442">
        <f t="shared" si="81"/>
        <v>2</v>
      </c>
      <c r="W239" s="442">
        <f t="shared" si="81"/>
        <v>2</v>
      </c>
      <c r="X239" s="442">
        <f t="shared" si="81"/>
        <v>2</v>
      </c>
      <c r="Y239" s="444">
        <v>1000</v>
      </c>
    </row>
    <row r="240" spans="1:26" x14ac:dyDescent="0.2">
      <c r="A240" s="434" t="s">
        <v>34</v>
      </c>
      <c r="B240" s="556">
        <v>0</v>
      </c>
      <c r="C240" s="556">
        <v>15.683</v>
      </c>
      <c r="D240" s="556">
        <v>170.834</v>
      </c>
      <c r="E240" s="556">
        <v>116.877</v>
      </c>
      <c r="F240" s="556">
        <v>142.642</v>
      </c>
      <c r="G240" s="556">
        <v>149.73699999999999</v>
      </c>
      <c r="H240" s="556">
        <v>142.642</v>
      </c>
      <c r="I240" s="556">
        <v>131.25299999999999</v>
      </c>
      <c r="J240" s="556">
        <v>122.104</v>
      </c>
      <c r="K240" s="556">
        <v>107.91500000000001</v>
      </c>
      <c r="L240" s="556">
        <v>78.415999999999997</v>
      </c>
      <c r="M240" s="556">
        <v>43.128999999999998</v>
      </c>
      <c r="N240" s="556">
        <v>21.471</v>
      </c>
      <c r="O240" s="556">
        <v>8.7750000000000004</v>
      </c>
      <c r="P240" s="556">
        <v>0</v>
      </c>
      <c r="Q240" s="433">
        <v>0</v>
      </c>
      <c r="R240" s="433">
        <v>0</v>
      </c>
      <c r="S240" s="433">
        <f t="shared" si="81"/>
        <v>0</v>
      </c>
      <c r="T240" s="433">
        <f t="shared" si="81"/>
        <v>0</v>
      </c>
      <c r="U240" s="433">
        <f t="shared" si="81"/>
        <v>0</v>
      </c>
      <c r="V240" s="433">
        <f t="shared" si="81"/>
        <v>0</v>
      </c>
      <c r="W240" s="433">
        <f t="shared" si="81"/>
        <v>0</v>
      </c>
      <c r="X240" s="433">
        <f t="shared" si="81"/>
        <v>0</v>
      </c>
      <c r="Y240" s="439">
        <v>0</v>
      </c>
    </row>
    <row r="241" spans="1:26" ht="13.5" thickBot="1" x14ac:dyDescent="0.25">
      <c r="A241" s="435" t="s">
        <v>117</v>
      </c>
      <c r="B241" s="429">
        <f t="shared" ref="B241:X241" si="82">(C240+B240)*(C239-B239)/2</f>
        <v>3.1365999999999998E-2</v>
      </c>
      <c r="C241" s="430">
        <f t="shared" si="82"/>
        <v>1.6786529999999997</v>
      </c>
      <c r="D241" s="430">
        <f t="shared" si="82"/>
        <v>2.4455435000000003</v>
      </c>
      <c r="E241" s="430">
        <f t="shared" si="82"/>
        <v>10.770038499999998</v>
      </c>
      <c r="F241" s="430">
        <f t="shared" si="82"/>
        <v>16.665603000000001</v>
      </c>
      <c r="G241" s="430">
        <f t="shared" si="82"/>
        <v>51.604893500000003</v>
      </c>
      <c r="H241" s="430">
        <f t="shared" si="82"/>
        <v>29.03287000000001</v>
      </c>
      <c r="I241" s="430">
        <f t="shared" si="82"/>
        <v>33.823159499999996</v>
      </c>
      <c r="J241" s="430">
        <f t="shared" si="82"/>
        <v>5.7504750000000051</v>
      </c>
      <c r="K241" s="430">
        <f t="shared" si="82"/>
        <v>2.5154684999999923</v>
      </c>
      <c r="L241" s="430">
        <f t="shared" si="82"/>
        <v>1.7624024999999945</v>
      </c>
      <c r="M241" s="430">
        <f t="shared" si="82"/>
        <v>1.1951000000000045</v>
      </c>
      <c r="N241" s="430">
        <f t="shared" si="82"/>
        <v>0.54442800000000058</v>
      </c>
      <c r="O241" s="430">
        <f t="shared" si="82"/>
        <v>0.22814999999999924</v>
      </c>
      <c r="P241" s="430">
        <f t="shared" si="82"/>
        <v>0</v>
      </c>
      <c r="Q241" s="430">
        <f t="shared" si="82"/>
        <v>0</v>
      </c>
      <c r="R241" s="430">
        <f t="shared" si="82"/>
        <v>0</v>
      </c>
      <c r="S241" s="430">
        <f t="shared" si="82"/>
        <v>0</v>
      </c>
      <c r="T241" s="430">
        <f t="shared" si="82"/>
        <v>0</v>
      </c>
      <c r="U241" s="430">
        <f t="shared" si="82"/>
        <v>0</v>
      </c>
      <c r="V241" s="430">
        <f t="shared" si="82"/>
        <v>0</v>
      </c>
      <c r="W241" s="430">
        <f t="shared" si="82"/>
        <v>0</v>
      </c>
      <c r="X241" s="430">
        <f t="shared" si="82"/>
        <v>0</v>
      </c>
      <c r="Y241" s="424"/>
    </row>
    <row r="242" spans="1:26" ht="13.5" thickBot="1" x14ac:dyDescent="0.25">
      <c r="A242" s="492" t="s">
        <v>376</v>
      </c>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row>
    <row r="243" spans="1:26" ht="13.5" thickBot="1" x14ac:dyDescent="0.25">
      <c r="A243" s="416" t="s">
        <v>381</v>
      </c>
      <c r="B243" s="414">
        <f>ROW(A243)</f>
        <v>243</v>
      </c>
      <c r="C243" s="418" t="s">
        <v>116</v>
      </c>
      <c r="D243" s="408">
        <f>SUM(B246:Y246)</f>
        <v>136.75235000000001</v>
      </c>
      <c r="E243" s="418" t="s">
        <v>115</v>
      </c>
      <c r="F243" s="409">
        <f>D243/g/J243</f>
        <v>152.35078513616639</v>
      </c>
      <c r="G243" s="418" t="s">
        <v>57</v>
      </c>
      <c r="H243" s="86">
        <v>0.21249999999999999</v>
      </c>
      <c r="I243" s="418" t="s">
        <v>272</v>
      </c>
      <c r="J243" s="410">
        <f>H243-L243</f>
        <v>9.1499999999999998E-2</v>
      </c>
      <c r="K243" s="418" t="s">
        <v>273</v>
      </c>
      <c r="L243" s="86">
        <v>0.121</v>
      </c>
      <c r="M243" s="418" t="s">
        <v>58</v>
      </c>
      <c r="N243" s="87">
        <v>63</v>
      </c>
      <c r="O243" s="418" t="s">
        <v>60</v>
      </c>
      <c r="P243" s="87">
        <v>114</v>
      </c>
      <c r="Q243" s="418" t="s">
        <v>61</v>
      </c>
      <c r="R243" s="87">
        <v>127</v>
      </c>
      <c r="S243" s="418" t="s">
        <v>62</v>
      </c>
      <c r="T243" s="87">
        <v>38</v>
      </c>
      <c r="U243" s="418" t="s">
        <v>55</v>
      </c>
      <c r="V243" s="88" t="s">
        <v>120</v>
      </c>
      <c r="W243" s="546" t="s">
        <v>396</v>
      </c>
      <c r="X243" s="548">
        <v>2.36</v>
      </c>
      <c r="Y243" s="546" t="s">
        <v>395</v>
      </c>
      <c r="Z243" s="413">
        <v>13</v>
      </c>
    </row>
    <row r="244" spans="1:26" x14ac:dyDescent="0.2">
      <c r="A244" s="417" t="s">
        <v>33</v>
      </c>
      <c r="B244" s="441">
        <v>0</v>
      </c>
      <c r="C244" s="426">
        <v>2.9000000000000001E-2</v>
      </c>
      <c r="D244" s="426">
        <v>4.5999999999999999E-2</v>
      </c>
      <c r="E244" s="426">
        <v>5.8000000000000003E-2</v>
      </c>
      <c r="F244" s="426">
        <v>8.4000000000000005E-2</v>
      </c>
      <c r="G244" s="426">
        <v>0.17100000000000001</v>
      </c>
      <c r="H244" s="426">
        <v>0.28000000000000003</v>
      </c>
      <c r="I244" s="426">
        <v>0.45500000000000002</v>
      </c>
      <c r="J244" s="426">
        <v>0.58599999999999997</v>
      </c>
      <c r="K244" s="426">
        <v>0.74099999999999999</v>
      </c>
      <c r="L244" s="426">
        <v>0.95199999999999996</v>
      </c>
      <c r="M244" s="426">
        <v>1.2170000000000001</v>
      </c>
      <c r="N244" s="426">
        <v>1.43</v>
      </c>
      <c r="O244" s="426">
        <v>1.6259999999999999</v>
      </c>
      <c r="P244" s="426">
        <v>1.8069999999999999</v>
      </c>
      <c r="Q244" s="426">
        <v>1.9590000000000001</v>
      </c>
      <c r="R244" s="426">
        <v>2.1040000000000001</v>
      </c>
      <c r="S244" s="426">
        <v>2.1680000000000001</v>
      </c>
      <c r="T244" s="426">
        <v>2.21</v>
      </c>
      <c r="U244" s="426">
        <v>2.2469999999999999</v>
      </c>
      <c r="V244" s="426">
        <v>2.3290000000000002</v>
      </c>
      <c r="W244" s="442">
        <f>2.4</f>
        <v>2.4</v>
      </c>
      <c r="X244" s="442">
        <f>W244</f>
        <v>2.4</v>
      </c>
      <c r="Y244" s="444">
        <v>1000</v>
      </c>
    </row>
    <row r="245" spans="1:26" x14ac:dyDescent="0.2">
      <c r="A245" s="434" t="s">
        <v>34</v>
      </c>
      <c r="B245" s="443">
        <v>0</v>
      </c>
      <c r="C245" s="428">
        <v>90.25</v>
      </c>
      <c r="D245" s="428">
        <v>69.17</v>
      </c>
      <c r="E245" s="428">
        <v>59.947000000000003</v>
      </c>
      <c r="F245" s="428">
        <v>47.167000000000002</v>
      </c>
      <c r="G245" s="428">
        <v>57.970999999999997</v>
      </c>
      <c r="H245" s="428">
        <v>59.552</v>
      </c>
      <c r="I245" s="428">
        <v>61.265000000000001</v>
      </c>
      <c r="J245" s="428">
        <v>61.66</v>
      </c>
      <c r="K245" s="428">
        <v>62.319000000000003</v>
      </c>
      <c r="L245" s="428">
        <v>63.768000000000001</v>
      </c>
      <c r="M245" s="428">
        <v>64.69</v>
      </c>
      <c r="N245" s="428">
        <v>63.768000000000001</v>
      </c>
      <c r="O245" s="428">
        <v>61.265000000000001</v>
      </c>
      <c r="P245" s="428">
        <v>58.103000000000002</v>
      </c>
      <c r="Q245" s="428">
        <v>53.887</v>
      </c>
      <c r="R245" s="428">
        <v>48.353000000000002</v>
      </c>
      <c r="S245" s="428">
        <v>47.563000000000002</v>
      </c>
      <c r="T245" s="428">
        <v>44.005000000000003</v>
      </c>
      <c r="U245" s="428">
        <v>37.286000000000001</v>
      </c>
      <c r="V245" s="428">
        <v>22.265999999999998</v>
      </c>
      <c r="W245" s="433">
        <v>0</v>
      </c>
      <c r="X245" s="433">
        <f>W245</f>
        <v>0</v>
      </c>
      <c r="Y245" s="439">
        <v>0</v>
      </c>
    </row>
    <row r="246" spans="1:26" ht="13.5" thickBot="1" x14ac:dyDescent="0.25">
      <c r="A246" s="435" t="s">
        <v>117</v>
      </c>
      <c r="B246" s="429">
        <f t="shared" ref="B246:X246" si="83">(C245+B245)*(C244-B244)/2</f>
        <v>1.3086250000000001</v>
      </c>
      <c r="C246" s="430">
        <f t="shared" si="83"/>
        <v>1.35507</v>
      </c>
      <c r="D246" s="430">
        <f t="shared" si="83"/>
        <v>0.77470200000000033</v>
      </c>
      <c r="E246" s="430">
        <f t="shared" si="83"/>
        <v>1.3924820000000002</v>
      </c>
      <c r="F246" s="430">
        <f t="shared" si="83"/>
        <v>4.5735030000000005</v>
      </c>
      <c r="G246" s="430">
        <f t="shared" si="83"/>
        <v>6.4050035000000003</v>
      </c>
      <c r="H246" s="430">
        <f t="shared" si="83"/>
        <v>10.5714875</v>
      </c>
      <c r="I246" s="430">
        <f t="shared" si="83"/>
        <v>8.0515874999999966</v>
      </c>
      <c r="J246" s="430">
        <f t="shared" si="83"/>
        <v>9.6083725000000015</v>
      </c>
      <c r="K246" s="430">
        <f t="shared" si="83"/>
        <v>13.302178499999998</v>
      </c>
      <c r="L246" s="430">
        <f t="shared" si="83"/>
        <v>17.020685000000007</v>
      </c>
      <c r="M246" s="430">
        <f t="shared" si="83"/>
        <v>13.68077699999999</v>
      </c>
      <c r="N246" s="430">
        <f t="shared" si="83"/>
        <v>12.253233999999997</v>
      </c>
      <c r="O246" s="430">
        <f t="shared" si="83"/>
        <v>10.802804000000002</v>
      </c>
      <c r="P246" s="430">
        <f t="shared" si="83"/>
        <v>8.5112400000000079</v>
      </c>
      <c r="Q246" s="430">
        <f t="shared" si="83"/>
        <v>7.4124000000000017</v>
      </c>
      <c r="R246" s="430">
        <f t="shared" si="83"/>
        <v>3.0693120000000027</v>
      </c>
      <c r="S246" s="430">
        <f t="shared" si="83"/>
        <v>1.9229279999999918</v>
      </c>
      <c r="T246" s="430">
        <f t="shared" si="83"/>
        <v>1.5038834999999968</v>
      </c>
      <c r="U246" s="430">
        <f t="shared" si="83"/>
        <v>2.4416320000000087</v>
      </c>
      <c r="V246" s="430">
        <f t="shared" si="83"/>
        <v>0.7904429999999969</v>
      </c>
      <c r="W246" s="430">
        <f t="shared" si="83"/>
        <v>0</v>
      </c>
      <c r="X246" s="430">
        <f t="shared" si="83"/>
        <v>0</v>
      </c>
      <c r="Y246" s="424"/>
    </row>
    <row r="247" spans="1:26" ht="13.5" thickBot="1" x14ac:dyDescent="0.25">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row>
    <row r="248" spans="1:26" ht="13.5" thickBot="1" x14ac:dyDescent="0.25">
      <c r="A248" s="416" t="s">
        <v>382</v>
      </c>
      <c r="B248" s="414">
        <f>ROW(A248)</f>
        <v>248</v>
      </c>
      <c r="C248" s="418" t="s">
        <v>116</v>
      </c>
      <c r="D248" s="408">
        <f>SUM(B251:Y251)</f>
        <v>127.06944999999999</v>
      </c>
      <c r="E248" s="418" t="s">
        <v>115</v>
      </c>
      <c r="F248" s="409">
        <f>D248/g/J248</f>
        <v>180.65624835614466</v>
      </c>
      <c r="G248" s="418" t="s">
        <v>57</v>
      </c>
      <c r="H248" s="86">
        <v>0.18840000000000001</v>
      </c>
      <c r="I248" s="418" t="s">
        <v>272</v>
      </c>
      <c r="J248" s="410">
        <f>H248-L248</f>
        <v>7.1700000000000014E-2</v>
      </c>
      <c r="K248" s="418" t="s">
        <v>273</v>
      </c>
      <c r="L248" s="86">
        <v>0.1167</v>
      </c>
      <c r="M248" s="418" t="s">
        <v>58</v>
      </c>
      <c r="N248" s="87">
        <v>63</v>
      </c>
      <c r="O248" s="418" t="s">
        <v>60</v>
      </c>
      <c r="P248" s="87">
        <v>114</v>
      </c>
      <c r="Q248" s="418" t="s">
        <v>61</v>
      </c>
      <c r="R248" s="87">
        <v>127</v>
      </c>
      <c r="S248" s="418" t="s">
        <v>62</v>
      </c>
      <c r="T248" s="87">
        <v>38</v>
      </c>
      <c r="U248" s="418" t="s">
        <v>55</v>
      </c>
      <c r="V248" s="88" t="s">
        <v>120</v>
      </c>
      <c r="W248" s="546" t="s">
        <v>396</v>
      </c>
      <c r="X248" s="548">
        <v>0.69</v>
      </c>
      <c r="Y248" s="546" t="s">
        <v>395</v>
      </c>
      <c r="Z248" s="413">
        <v>12</v>
      </c>
    </row>
    <row r="249" spans="1:26" x14ac:dyDescent="0.2">
      <c r="A249" s="417" t="s">
        <v>33</v>
      </c>
      <c r="B249" s="441">
        <v>0</v>
      </c>
      <c r="C249" s="442">
        <v>0.01</v>
      </c>
      <c r="D249" s="442">
        <v>0.02</v>
      </c>
      <c r="E249" s="442">
        <v>0.05</v>
      </c>
      <c r="F249" s="442">
        <v>0.1</v>
      </c>
      <c r="G249" s="442">
        <v>0.2</v>
      </c>
      <c r="H249" s="442">
        <v>0.3</v>
      </c>
      <c r="I249" s="442">
        <v>0.35</v>
      </c>
      <c r="J249" s="442">
        <v>0.4</v>
      </c>
      <c r="K249" s="442">
        <v>0.45</v>
      </c>
      <c r="L249" s="442">
        <v>0.5</v>
      </c>
      <c r="M249" s="442">
        <v>0.55000000000000004</v>
      </c>
      <c r="N249" s="442">
        <v>0.6</v>
      </c>
      <c r="O249" s="442">
        <v>0.61</v>
      </c>
      <c r="P249" s="442">
        <v>0.63</v>
      </c>
      <c r="Q249" s="442">
        <v>0.64</v>
      </c>
      <c r="R249" s="442">
        <v>0.65</v>
      </c>
      <c r="S249" s="442">
        <v>0.67</v>
      </c>
      <c r="T249" s="442">
        <v>0.68</v>
      </c>
      <c r="U249" s="442">
        <v>0.69</v>
      </c>
      <c r="V249" s="442">
        <f t="shared" ref="V249:X250" si="84">U249</f>
        <v>0.69</v>
      </c>
      <c r="W249" s="442">
        <f t="shared" si="84"/>
        <v>0.69</v>
      </c>
      <c r="X249" s="442">
        <v>2</v>
      </c>
      <c r="Y249" s="444">
        <v>1000</v>
      </c>
    </row>
    <row r="250" spans="1:26" x14ac:dyDescent="0.2">
      <c r="A250" s="434" t="s">
        <v>34</v>
      </c>
      <c r="B250" s="443">
        <v>0</v>
      </c>
      <c r="C250" s="433">
        <v>108.72</v>
      </c>
      <c r="D250" s="433">
        <v>131.19</v>
      </c>
      <c r="E250" s="433">
        <v>153.13999999999999</v>
      </c>
      <c r="F250" s="433">
        <v>168.97</v>
      </c>
      <c r="G250" s="433">
        <v>189.92</v>
      </c>
      <c r="H250" s="433">
        <v>199.95</v>
      </c>
      <c r="I250" s="433">
        <v>203.59</v>
      </c>
      <c r="J250" s="433">
        <v>205.03</v>
      </c>
      <c r="K250" s="433">
        <v>202.6</v>
      </c>
      <c r="L250" s="433">
        <v>203.06</v>
      </c>
      <c r="M250" s="433">
        <v>199.34</v>
      </c>
      <c r="N250" s="433">
        <v>194.71</v>
      </c>
      <c r="O250" s="433">
        <v>194.1</v>
      </c>
      <c r="P250" s="433">
        <v>193.49</v>
      </c>
      <c r="Q250" s="433">
        <v>193.68</v>
      </c>
      <c r="R250" s="433">
        <v>202.91</v>
      </c>
      <c r="S250" s="433">
        <v>163.38999999999999</v>
      </c>
      <c r="T250" s="433">
        <v>80.44</v>
      </c>
      <c r="U250" s="433">
        <v>0</v>
      </c>
      <c r="V250" s="433">
        <f t="shared" si="84"/>
        <v>0</v>
      </c>
      <c r="W250" s="433">
        <f t="shared" si="84"/>
        <v>0</v>
      </c>
      <c r="X250" s="433">
        <f t="shared" si="84"/>
        <v>0</v>
      </c>
      <c r="Y250" s="439">
        <v>0</v>
      </c>
    </row>
    <row r="251" spans="1:26" ht="13.5" thickBot="1" x14ac:dyDescent="0.25">
      <c r="A251" s="435" t="s">
        <v>117</v>
      </c>
      <c r="B251" s="429">
        <f t="shared" ref="B251:X251" si="85">(C250+B250)*(C249-B249)/2</f>
        <v>0.54359999999999997</v>
      </c>
      <c r="C251" s="430">
        <f t="shared" si="85"/>
        <v>1.1995500000000001</v>
      </c>
      <c r="D251" s="430">
        <f t="shared" si="85"/>
        <v>4.2649499999999998</v>
      </c>
      <c r="E251" s="430">
        <f t="shared" si="85"/>
        <v>8.0527500000000014</v>
      </c>
      <c r="F251" s="430">
        <f t="shared" si="85"/>
        <v>17.944500000000001</v>
      </c>
      <c r="G251" s="430">
        <f t="shared" si="85"/>
        <v>19.493499999999997</v>
      </c>
      <c r="H251" s="430">
        <f t="shared" si="85"/>
        <v>10.088499999999996</v>
      </c>
      <c r="I251" s="430">
        <f t="shared" si="85"/>
        <v>10.215500000000009</v>
      </c>
      <c r="J251" s="430">
        <f t="shared" si="85"/>
        <v>10.190749999999998</v>
      </c>
      <c r="K251" s="430">
        <f t="shared" si="85"/>
        <v>10.141499999999997</v>
      </c>
      <c r="L251" s="430">
        <f t="shared" si="85"/>
        <v>10.060000000000008</v>
      </c>
      <c r="M251" s="430">
        <f t="shared" si="85"/>
        <v>9.8512499999999878</v>
      </c>
      <c r="N251" s="430">
        <f t="shared" si="85"/>
        <v>1.9440500000000018</v>
      </c>
      <c r="O251" s="430">
        <f t="shared" si="85"/>
        <v>3.8759000000000037</v>
      </c>
      <c r="P251" s="430">
        <f t="shared" si="85"/>
        <v>1.9358500000000018</v>
      </c>
      <c r="Q251" s="430">
        <f t="shared" si="85"/>
        <v>1.982950000000002</v>
      </c>
      <c r="R251" s="430">
        <f t="shared" si="85"/>
        <v>3.6630000000000029</v>
      </c>
      <c r="S251" s="430">
        <f t="shared" si="85"/>
        <v>1.2191500000000011</v>
      </c>
      <c r="T251" s="430">
        <f t="shared" si="85"/>
        <v>0.40219999999999589</v>
      </c>
      <c r="U251" s="430">
        <f t="shared" si="85"/>
        <v>0</v>
      </c>
      <c r="V251" s="430">
        <f t="shared" si="85"/>
        <v>0</v>
      </c>
      <c r="W251" s="430">
        <f t="shared" si="85"/>
        <v>0</v>
      </c>
      <c r="X251" s="430">
        <f t="shared" si="85"/>
        <v>0</v>
      </c>
      <c r="Y251" s="424"/>
    </row>
    <row r="252" spans="1:26" ht="13.5" thickBot="1" x14ac:dyDescent="0.25">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row>
    <row r="253" spans="1:26" ht="13.5" thickBot="1" x14ac:dyDescent="0.25">
      <c r="A253" s="416" t="s">
        <v>390</v>
      </c>
      <c r="B253" s="414">
        <f>ROW(A253)</f>
        <v>253</v>
      </c>
      <c r="C253" s="418" t="s">
        <v>116</v>
      </c>
      <c r="D253" s="408">
        <f>SUM(B256:Y256)</f>
        <v>142.7236025</v>
      </c>
      <c r="E253" s="418" t="s">
        <v>115</v>
      </c>
      <c r="F253" s="409">
        <v>208</v>
      </c>
      <c r="G253" s="418" t="s">
        <v>57</v>
      </c>
      <c r="H253" s="86">
        <v>0.19700000000000001</v>
      </c>
      <c r="I253" s="418" t="s">
        <v>272</v>
      </c>
      <c r="J253" s="410">
        <f>H253-L253</f>
        <v>7.0000000000000007E-2</v>
      </c>
      <c r="K253" s="418" t="s">
        <v>273</v>
      </c>
      <c r="L253" s="86">
        <v>0.127</v>
      </c>
      <c r="M253" s="418" t="s">
        <v>58</v>
      </c>
      <c r="N253" s="87">
        <v>63</v>
      </c>
      <c r="O253" s="418" t="s">
        <v>60</v>
      </c>
      <c r="P253" s="87">
        <v>114</v>
      </c>
      <c r="Q253" s="418" t="s">
        <v>61</v>
      </c>
      <c r="R253" s="87">
        <v>127</v>
      </c>
      <c r="S253" s="418" t="s">
        <v>62</v>
      </c>
      <c r="T253" s="87">
        <v>38</v>
      </c>
      <c r="U253" s="418" t="s">
        <v>55</v>
      </c>
      <c r="V253" s="88" t="s">
        <v>120</v>
      </c>
      <c r="W253" s="546" t="s">
        <v>396</v>
      </c>
      <c r="X253" s="548">
        <v>1.8</v>
      </c>
      <c r="Y253" s="546" t="s">
        <v>395</v>
      </c>
      <c r="Z253" s="413">
        <v>15</v>
      </c>
    </row>
    <row r="254" spans="1:26" x14ac:dyDescent="0.2">
      <c r="A254" s="417" t="s">
        <v>33</v>
      </c>
      <c r="B254" s="441">
        <v>0</v>
      </c>
      <c r="C254" s="441">
        <v>6.0000000000000001E-3</v>
      </c>
      <c r="D254" s="442">
        <v>1.7999999999999999E-2</v>
      </c>
      <c r="E254" s="442">
        <v>3.5999999999999997E-2</v>
      </c>
      <c r="F254" s="442">
        <v>4.7E-2</v>
      </c>
      <c r="G254" s="442">
        <v>8.4000000000000005E-2</v>
      </c>
      <c r="H254" s="442">
        <v>0.13500000000000001</v>
      </c>
      <c r="I254" s="442">
        <v>0.23799999999999999</v>
      </c>
      <c r="J254" s="442">
        <v>0.438</v>
      </c>
      <c r="K254" s="442">
        <v>0.63</v>
      </c>
      <c r="L254" s="442">
        <v>0.85899999999999999</v>
      </c>
      <c r="M254" s="442">
        <v>1.2829999999999999</v>
      </c>
      <c r="N254" s="442">
        <v>1.4470000000000001</v>
      </c>
      <c r="O254" s="442">
        <v>1.643</v>
      </c>
      <c r="P254" s="442">
        <v>1.7130000000000001</v>
      </c>
      <c r="Q254" s="442">
        <v>1.7430000000000001</v>
      </c>
      <c r="R254" s="442">
        <v>1.79</v>
      </c>
      <c r="S254" s="442">
        <v>1.8180000000000001</v>
      </c>
      <c r="T254" s="442">
        <v>1.8520000000000001</v>
      </c>
      <c r="U254" s="442">
        <v>2</v>
      </c>
      <c r="V254" s="442">
        <f t="shared" ref="V254:X255" si="86">U254</f>
        <v>2</v>
      </c>
      <c r="W254" s="442">
        <f t="shared" si="86"/>
        <v>2</v>
      </c>
      <c r="X254" s="442">
        <f t="shared" si="86"/>
        <v>2</v>
      </c>
      <c r="Y254" s="444">
        <v>1000</v>
      </c>
    </row>
    <row r="255" spans="1:26" x14ac:dyDescent="0.2">
      <c r="A255" s="434" t="s">
        <v>34</v>
      </c>
      <c r="B255" s="443">
        <v>0</v>
      </c>
      <c r="C255" s="443">
        <v>104.068</v>
      </c>
      <c r="D255" s="433">
        <v>137.928</v>
      </c>
      <c r="E255" s="433">
        <v>70.706999999999994</v>
      </c>
      <c r="F255" s="433">
        <v>62.241999999999997</v>
      </c>
      <c r="G255" s="433">
        <v>73.694000000000003</v>
      </c>
      <c r="H255" s="433">
        <v>78.176000000000002</v>
      </c>
      <c r="I255" s="433">
        <v>84.150999999999996</v>
      </c>
      <c r="J255" s="433">
        <v>89.628</v>
      </c>
      <c r="K255" s="433">
        <v>88.135000000000005</v>
      </c>
      <c r="L255" s="433">
        <v>87.138999999999996</v>
      </c>
      <c r="M255" s="433">
        <v>77.180000000000007</v>
      </c>
      <c r="N255" s="433">
        <v>70.706999999999994</v>
      </c>
      <c r="O255" s="433">
        <v>67.718999999999994</v>
      </c>
      <c r="P255" s="433">
        <v>64.233999999999995</v>
      </c>
      <c r="Q255" s="433">
        <v>54.274999999999999</v>
      </c>
      <c r="R255" s="433">
        <v>18.423999999999999</v>
      </c>
      <c r="S255" s="433">
        <v>6.4729999999999999</v>
      </c>
      <c r="T255" s="433">
        <v>0</v>
      </c>
      <c r="U255" s="433">
        <v>0</v>
      </c>
      <c r="V255" s="433">
        <f t="shared" si="86"/>
        <v>0</v>
      </c>
      <c r="W255" s="433">
        <f t="shared" si="86"/>
        <v>0</v>
      </c>
      <c r="X255" s="433">
        <f t="shared" si="86"/>
        <v>0</v>
      </c>
      <c r="Y255" s="439">
        <v>0</v>
      </c>
    </row>
    <row r="256" spans="1:26" ht="13.5" thickBot="1" x14ac:dyDescent="0.25">
      <c r="A256" s="435" t="s">
        <v>117</v>
      </c>
      <c r="B256" s="429">
        <f t="shared" ref="B256:X256" si="87">(C255+B255)*(C254-B254)/2</f>
        <v>0.31220399999999998</v>
      </c>
      <c r="C256" s="430">
        <f t="shared" si="87"/>
        <v>1.4519759999999997</v>
      </c>
      <c r="D256" s="430">
        <f t="shared" si="87"/>
        <v>1.8777149999999998</v>
      </c>
      <c r="E256" s="430">
        <f t="shared" si="87"/>
        <v>0.73121950000000013</v>
      </c>
      <c r="F256" s="430">
        <f t="shared" si="87"/>
        <v>2.5148160000000006</v>
      </c>
      <c r="G256" s="430">
        <f t="shared" si="87"/>
        <v>3.8726850000000006</v>
      </c>
      <c r="H256" s="430">
        <f t="shared" si="87"/>
        <v>8.3598404999999989</v>
      </c>
      <c r="I256" s="430">
        <f t="shared" si="87"/>
        <v>17.3779</v>
      </c>
      <c r="J256" s="430">
        <f t="shared" si="87"/>
        <v>17.065248</v>
      </c>
      <c r="K256" s="430">
        <f t="shared" si="87"/>
        <v>20.068873</v>
      </c>
      <c r="L256" s="430">
        <f t="shared" si="87"/>
        <v>34.835628</v>
      </c>
      <c r="M256" s="430">
        <f t="shared" si="87"/>
        <v>12.126734000000011</v>
      </c>
      <c r="N256" s="430">
        <f t="shared" si="87"/>
        <v>13.565747999999996</v>
      </c>
      <c r="O256" s="430">
        <f t="shared" si="87"/>
        <v>4.6183550000000029</v>
      </c>
      <c r="P256" s="430">
        <f t="shared" si="87"/>
        <v>1.7776350000000014</v>
      </c>
      <c r="Q256" s="430">
        <f t="shared" si="87"/>
        <v>1.7084264999999974</v>
      </c>
      <c r="R256" s="430">
        <f t="shared" si="87"/>
        <v>0.34855800000000031</v>
      </c>
      <c r="S256" s="430">
        <f t="shared" si="87"/>
        <v>0.1100410000000001</v>
      </c>
      <c r="T256" s="430">
        <f t="shared" si="87"/>
        <v>0</v>
      </c>
      <c r="U256" s="430">
        <f t="shared" si="87"/>
        <v>0</v>
      </c>
      <c r="V256" s="430">
        <f t="shared" si="87"/>
        <v>0</v>
      </c>
      <c r="W256" s="430">
        <f t="shared" si="87"/>
        <v>0</v>
      </c>
      <c r="X256" s="430">
        <f t="shared" si="87"/>
        <v>0</v>
      </c>
      <c r="Y256" s="424"/>
    </row>
    <row r="257" spans="1:25" ht="13.5" thickBot="1" x14ac:dyDescent="0.25">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row>
    <row r="258" spans="1:25" ht="13.5" thickBot="1" x14ac:dyDescent="0.25">
      <c r="A258" s="416" t="s">
        <v>275</v>
      </c>
      <c r="B258" s="415">
        <f>ROW(A258)</f>
        <v>258</v>
      </c>
      <c r="C258" s="418" t="s">
        <v>116</v>
      </c>
      <c r="D258" s="408">
        <f>SUM(B261:Y261)</f>
        <v>33.500000000000007</v>
      </c>
      <c r="E258" s="418" t="s">
        <v>115</v>
      </c>
      <c r="F258" s="409">
        <f>D258/g/J258</f>
        <v>68.297655453618759</v>
      </c>
      <c r="G258" s="418" t="s">
        <v>57</v>
      </c>
      <c r="H258" s="86">
        <v>8.5000000000000006E-2</v>
      </c>
      <c r="I258" s="418" t="s">
        <v>272</v>
      </c>
      <c r="J258" s="410">
        <f>H258-L258</f>
        <v>0.05</v>
      </c>
      <c r="K258" s="418" t="s">
        <v>273</v>
      </c>
      <c r="L258" s="86">
        <v>3.5000000000000003E-2</v>
      </c>
      <c r="M258" s="418" t="s">
        <v>58</v>
      </c>
      <c r="N258" s="87">
        <v>20</v>
      </c>
      <c r="O258" s="418" t="s">
        <v>60</v>
      </c>
      <c r="P258" s="87">
        <v>20</v>
      </c>
      <c r="Q258" s="418" t="s">
        <v>61</v>
      </c>
      <c r="R258" s="87">
        <v>39</v>
      </c>
      <c r="S258" s="418" t="s">
        <v>62</v>
      </c>
      <c r="T258" s="87">
        <v>39</v>
      </c>
      <c r="U258" s="418" t="s">
        <v>55</v>
      </c>
      <c r="V258" s="88" t="s">
        <v>403</v>
      </c>
      <c r="W258" s="17"/>
      <c r="X258" s="17"/>
      <c r="Y258" s="17"/>
    </row>
    <row r="259" spans="1:25" x14ac:dyDescent="0.2">
      <c r="A259" s="417" t="s">
        <v>33</v>
      </c>
      <c r="B259" s="425">
        <v>0</v>
      </c>
      <c r="C259" s="426">
        <v>0.05</v>
      </c>
      <c r="D259" s="426">
        <v>0.1</v>
      </c>
      <c r="E259" s="426">
        <v>0.25</v>
      </c>
      <c r="F259" s="426">
        <v>0.3</v>
      </c>
      <c r="G259" s="426">
        <v>0.35</v>
      </c>
      <c r="H259" s="426">
        <v>0.45</v>
      </c>
      <c r="I259" s="426">
        <v>0.55000000000000004</v>
      </c>
      <c r="J259" s="426">
        <v>3.5</v>
      </c>
      <c r="K259" s="426">
        <v>3.6</v>
      </c>
      <c r="L259" s="426">
        <v>3.6</v>
      </c>
      <c r="M259" s="426">
        <v>3.6</v>
      </c>
      <c r="N259" s="426">
        <v>3.6</v>
      </c>
      <c r="O259" s="426">
        <v>3.6</v>
      </c>
      <c r="P259" s="426">
        <v>3.6</v>
      </c>
      <c r="Q259" s="426">
        <v>3.6</v>
      </c>
      <c r="R259" s="426">
        <v>3.6</v>
      </c>
      <c r="S259" s="426">
        <v>3.6</v>
      </c>
      <c r="T259" s="426">
        <v>3.6</v>
      </c>
      <c r="U259" s="426">
        <v>3.6</v>
      </c>
      <c r="V259" s="426">
        <v>3.6</v>
      </c>
      <c r="W259" s="426">
        <v>3.6</v>
      </c>
      <c r="X259" s="426">
        <v>3.6</v>
      </c>
      <c r="Y259" s="437">
        <v>1000</v>
      </c>
    </row>
    <row r="260" spans="1:25" x14ac:dyDescent="0.2">
      <c r="A260" s="434" t="s">
        <v>34</v>
      </c>
      <c r="B260" s="427">
        <v>0</v>
      </c>
      <c r="C260" s="428">
        <v>68</v>
      </c>
      <c r="D260" s="428">
        <v>62</v>
      </c>
      <c r="E260" s="428">
        <v>60</v>
      </c>
      <c r="F260" s="428">
        <v>39</v>
      </c>
      <c r="G260" s="428">
        <v>38</v>
      </c>
      <c r="H260" s="428">
        <v>9</v>
      </c>
      <c r="I260" s="428">
        <v>5</v>
      </c>
      <c r="J260" s="428">
        <v>3</v>
      </c>
      <c r="K260" s="428">
        <v>0</v>
      </c>
      <c r="L260" s="428">
        <v>0</v>
      </c>
      <c r="M260" s="428">
        <v>0</v>
      </c>
      <c r="N260" s="428">
        <v>0</v>
      </c>
      <c r="O260" s="428">
        <v>0</v>
      </c>
      <c r="P260" s="428">
        <v>0</v>
      </c>
      <c r="Q260" s="428">
        <v>0</v>
      </c>
      <c r="R260" s="428">
        <v>0</v>
      </c>
      <c r="S260" s="428">
        <v>0</v>
      </c>
      <c r="T260" s="428">
        <v>0</v>
      </c>
      <c r="U260" s="428">
        <v>0</v>
      </c>
      <c r="V260" s="428">
        <v>0</v>
      </c>
      <c r="W260" s="428">
        <v>0</v>
      </c>
      <c r="X260" s="428">
        <v>0</v>
      </c>
      <c r="Y260" s="438">
        <v>0</v>
      </c>
    </row>
    <row r="261" spans="1:25" ht="13.5" thickBot="1" x14ac:dyDescent="0.25">
      <c r="A261" s="435" t="s">
        <v>117</v>
      </c>
      <c r="B261" s="429">
        <f t="shared" ref="B261:V261" si="88">(C260+B260)*(C259-B259)/2</f>
        <v>1.7000000000000002</v>
      </c>
      <c r="C261" s="430">
        <f t="shared" si="88"/>
        <v>3.25</v>
      </c>
      <c r="D261" s="430">
        <f t="shared" si="88"/>
        <v>9.15</v>
      </c>
      <c r="E261" s="430">
        <f t="shared" si="88"/>
        <v>2.4749999999999996</v>
      </c>
      <c r="F261" s="430">
        <f t="shared" si="88"/>
        <v>1.9249999999999996</v>
      </c>
      <c r="G261" s="430">
        <f t="shared" si="88"/>
        <v>2.350000000000001</v>
      </c>
      <c r="H261" s="430">
        <f t="shared" si="88"/>
        <v>0.70000000000000018</v>
      </c>
      <c r="I261" s="430">
        <f t="shared" si="88"/>
        <v>11.8</v>
      </c>
      <c r="J261" s="430">
        <f t="shared" si="88"/>
        <v>0.15000000000000013</v>
      </c>
      <c r="K261" s="430">
        <f t="shared" si="88"/>
        <v>0</v>
      </c>
      <c r="L261" s="430">
        <f t="shared" si="88"/>
        <v>0</v>
      </c>
      <c r="M261" s="430">
        <f t="shared" si="88"/>
        <v>0</v>
      </c>
      <c r="N261" s="430">
        <f t="shared" si="88"/>
        <v>0</v>
      </c>
      <c r="O261" s="430">
        <f t="shared" si="88"/>
        <v>0</v>
      </c>
      <c r="P261" s="430">
        <f t="shared" si="88"/>
        <v>0</v>
      </c>
      <c r="Q261" s="430">
        <f t="shared" si="88"/>
        <v>0</v>
      </c>
      <c r="R261" s="430">
        <f t="shared" si="88"/>
        <v>0</v>
      </c>
      <c r="S261" s="430">
        <f t="shared" si="88"/>
        <v>0</v>
      </c>
      <c r="T261" s="430">
        <f t="shared" si="88"/>
        <v>0</v>
      </c>
      <c r="U261" s="430">
        <f t="shared" si="88"/>
        <v>0</v>
      </c>
      <c r="V261" s="430">
        <f t="shared" si="88"/>
        <v>0</v>
      </c>
      <c r="W261" s="430">
        <f>(X260+W260)*(X259-W259)/2</f>
        <v>0</v>
      </c>
      <c r="X261" s="430">
        <f>(Y260+X260)*(Y259-X259)/2</f>
        <v>0</v>
      </c>
      <c r="Y261" s="424"/>
    </row>
    <row r="262" spans="1:25" ht="13.5" thickBot="1" x14ac:dyDescent="0.25">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row>
    <row r="263" spans="1:25" ht="13.5" thickBot="1" x14ac:dyDescent="0.25">
      <c r="A263" s="416" t="s">
        <v>276</v>
      </c>
      <c r="B263" s="414">
        <f>ROW(A263)</f>
        <v>263</v>
      </c>
      <c r="C263" s="418" t="s">
        <v>116</v>
      </c>
      <c r="D263" s="408">
        <f>SUM(B266:Y266)</f>
        <v>145.46</v>
      </c>
      <c r="E263" s="418" t="s">
        <v>115</v>
      </c>
      <c r="F263" s="409">
        <f>D263/g/J263</f>
        <v>211.82466870540264</v>
      </c>
      <c r="G263" s="418" t="s">
        <v>57</v>
      </c>
      <c r="H263" s="86">
        <v>0.22</v>
      </c>
      <c r="I263" s="418" t="s">
        <v>272</v>
      </c>
      <c r="J263" s="410">
        <f>H263-L263</f>
        <v>7.0000000000000007E-2</v>
      </c>
      <c r="K263" s="418" t="s">
        <v>273</v>
      </c>
      <c r="L263" s="86">
        <v>0.15</v>
      </c>
      <c r="M263" s="418" t="s">
        <v>58</v>
      </c>
      <c r="N263" s="87">
        <v>50</v>
      </c>
      <c r="O263" s="418" t="s">
        <v>60</v>
      </c>
      <c r="P263" s="87">
        <v>55</v>
      </c>
      <c r="Q263" s="418" t="s">
        <v>61</v>
      </c>
      <c r="R263" s="87">
        <v>76</v>
      </c>
      <c r="S263" s="418" t="s">
        <v>62</v>
      </c>
      <c r="T263" s="87">
        <v>40</v>
      </c>
      <c r="U263" s="418" t="s">
        <v>55</v>
      </c>
      <c r="V263" s="88" t="s">
        <v>403</v>
      </c>
      <c r="W263" s="17"/>
      <c r="X263" s="17"/>
      <c r="Y263" s="17"/>
    </row>
    <row r="264" spans="1:25" x14ac:dyDescent="0.2">
      <c r="A264" s="417" t="s">
        <v>33</v>
      </c>
      <c r="B264" s="425">
        <v>0</v>
      </c>
      <c r="C264" s="426">
        <v>0.02</v>
      </c>
      <c r="D264" s="426">
        <v>0.04</v>
      </c>
      <c r="E264" s="426">
        <v>0.05</v>
      </c>
      <c r="F264" s="426">
        <v>0.06</v>
      </c>
      <c r="G264" s="426">
        <v>0.94</v>
      </c>
      <c r="H264" s="432">
        <v>0.94200000000000006</v>
      </c>
      <c r="I264" s="426">
        <v>0.95</v>
      </c>
      <c r="J264" s="426">
        <v>0.95</v>
      </c>
      <c r="K264" s="426">
        <v>0.95</v>
      </c>
      <c r="L264" s="426">
        <v>0.95</v>
      </c>
      <c r="M264" s="426">
        <v>0.95</v>
      </c>
      <c r="N264" s="426">
        <v>0.95</v>
      </c>
      <c r="O264" s="426">
        <v>0.95</v>
      </c>
      <c r="P264" s="426">
        <v>0.95</v>
      </c>
      <c r="Q264" s="426">
        <v>0.95</v>
      </c>
      <c r="R264" s="426">
        <v>0.95</v>
      </c>
      <c r="S264" s="426">
        <v>0.95</v>
      </c>
      <c r="T264" s="426">
        <v>0.95</v>
      </c>
      <c r="U264" s="426">
        <v>0.95</v>
      </c>
      <c r="V264" s="426">
        <v>0.95</v>
      </c>
      <c r="W264" s="426">
        <v>0.95</v>
      </c>
      <c r="X264" s="426">
        <v>2</v>
      </c>
      <c r="Y264" s="437">
        <v>1000</v>
      </c>
    </row>
    <row r="265" spans="1:25" x14ac:dyDescent="0.2">
      <c r="A265" s="434" t="s">
        <v>34</v>
      </c>
      <c r="B265" s="427">
        <v>0</v>
      </c>
      <c r="C265" s="428">
        <v>320</v>
      </c>
      <c r="D265" s="428">
        <v>170</v>
      </c>
      <c r="E265" s="428">
        <v>205</v>
      </c>
      <c r="F265" s="428">
        <v>217</v>
      </c>
      <c r="G265" s="428">
        <v>85</v>
      </c>
      <c r="H265" s="428">
        <v>82</v>
      </c>
      <c r="I265" s="428">
        <v>0</v>
      </c>
      <c r="J265" s="428">
        <v>0</v>
      </c>
      <c r="K265" s="428">
        <v>0</v>
      </c>
      <c r="L265" s="428">
        <v>0</v>
      </c>
      <c r="M265" s="428">
        <v>0</v>
      </c>
      <c r="N265" s="428">
        <v>0</v>
      </c>
      <c r="O265" s="428">
        <v>0</v>
      </c>
      <c r="P265" s="428">
        <v>0</v>
      </c>
      <c r="Q265" s="428">
        <v>0</v>
      </c>
      <c r="R265" s="428">
        <v>0</v>
      </c>
      <c r="S265" s="428">
        <v>0</v>
      </c>
      <c r="T265" s="428">
        <v>0</v>
      </c>
      <c r="U265" s="428">
        <v>0</v>
      </c>
      <c r="V265" s="428">
        <v>0</v>
      </c>
      <c r="W265" s="428">
        <v>0</v>
      </c>
      <c r="X265" s="428">
        <v>0</v>
      </c>
      <c r="Y265" s="438">
        <v>0</v>
      </c>
    </row>
    <row r="266" spans="1:25" ht="13.5" thickBot="1" x14ac:dyDescent="0.25">
      <c r="A266" s="435" t="s">
        <v>117</v>
      </c>
      <c r="B266" s="429">
        <f t="shared" ref="B266:H266" si="89">(C265+B265)*(C264-B264)/2</f>
        <v>3.2</v>
      </c>
      <c r="C266" s="430">
        <f t="shared" si="89"/>
        <v>4.9000000000000004</v>
      </c>
      <c r="D266" s="430">
        <f t="shared" si="89"/>
        <v>1.8750000000000004</v>
      </c>
      <c r="E266" s="430">
        <f t="shared" si="89"/>
        <v>2.109999999999999</v>
      </c>
      <c r="F266" s="430">
        <f t="shared" si="89"/>
        <v>132.88</v>
      </c>
      <c r="G266" s="430">
        <f t="shared" si="89"/>
        <v>0.16700000000000942</v>
      </c>
      <c r="H266" s="430">
        <f t="shared" si="89"/>
        <v>0.32799999999999574</v>
      </c>
      <c r="I266" s="430">
        <f t="shared" ref="I266:V266" si="90">(J265+I265)*(J264-I264)/2</f>
        <v>0</v>
      </c>
      <c r="J266" s="430">
        <f>(K265+J265)*(K264-J264)/2</f>
        <v>0</v>
      </c>
      <c r="K266" s="430">
        <f t="shared" si="90"/>
        <v>0</v>
      </c>
      <c r="L266" s="430">
        <f t="shared" si="90"/>
        <v>0</v>
      </c>
      <c r="M266" s="430">
        <f t="shared" si="90"/>
        <v>0</v>
      </c>
      <c r="N266" s="430">
        <f t="shared" si="90"/>
        <v>0</v>
      </c>
      <c r="O266" s="430">
        <f t="shared" si="90"/>
        <v>0</v>
      </c>
      <c r="P266" s="430">
        <f t="shared" si="90"/>
        <v>0</v>
      </c>
      <c r="Q266" s="430">
        <f t="shared" si="90"/>
        <v>0</v>
      </c>
      <c r="R266" s="430">
        <f t="shared" si="90"/>
        <v>0</v>
      </c>
      <c r="S266" s="430">
        <f>(T265+S265)*(T264-S264)/2</f>
        <v>0</v>
      </c>
      <c r="T266" s="430">
        <f t="shared" si="90"/>
        <v>0</v>
      </c>
      <c r="U266" s="430">
        <f t="shared" si="90"/>
        <v>0</v>
      </c>
      <c r="V266" s="430">
        <f t="shared" si="90"/>
        <v>0</v>
      </c>
      <c r="W266" s="430">
        <f>(X265+W265)*(X264-W264)/2</f>
        <v>0</v>
      </c>
      <c r="X266" s="430">
        <f>(Y265+X265)*(Y264-X264)/2</f>
        <v>0</v>
      </c>
      <c r="Y266" s="424"/>
    </row>
    <row r="267" spans="1:25" x14ac:dyDescent="0.2">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row>
    <row r="268" spans="1:25" ht="13.5" thickBot="1" x14ac:dyDescent="0.25">
      <c r="A268" s="492" t="s">
        <v>314</v>
      </c>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row>
    <row r="269" spans="1:25" ht="13.5" thickBot="1" x14ac:dyDescent="0.25">
      <c r="A269" s="416" t="s">
        <v>35</v>
      </c>
      <c r="B269" s="414">
        <f>ROW(A269)</f>
        <v>269</v>
      </c>
      <c r="C269" s="418" t="s">
        <v>116</v>
      </c>
      <c r="D269" s="408">
        <f>SUM(B272:Y272)</f>
        <v>1071.5999999999999</v>
      </c>
      <c r="E269" s="418" t="s">
        <v>115</v>
      </c>
      <c r="F269" s="409">
        <f>D269/g/J269</f>
        <v>163.03802090465106</v>
      </c>
      <c r="G269" s="418" t="s">
        <v>57</v>
      </c>
      <c r="H269" s="86">
        <v>2.02</v>
      </c>
      <c r="I269" s="418" t="s">
        <v>272</v>
      </c>
      <c r="J269" s="410">
        <f>H269-L269</f>
        <v>0.66999999999999993</v>
      </c>
      <c r="K269" s="418" t="s">
        <v>273</v>
      </c>
      <c r="L269" s="86">
        <v>1.35</v>
      </c>
      <c r="M269" s="418" t="s">
        <v>58</v>
      </c>
      <c r="N269" s="87">
        <v>154</v>
      </c>
      <c r="O269" s="418" t="s">
        <v>60</v>
      </c>
      <c r="P269" s="87">
        <v>168</v>
      </c>
      <c r="Q269" s="418" t="s">
        <v>61</v>
      </c>
      <c r="R269" s="87">
        <v>230</v>
      </c>
      <c r="S269" s="418" t="s">
        <v>62</v>
      </c>
      <c r="T269" s="87">
        <v>67</v>
      </c>
      <c r="U269" s="418" t="s">
        <v>55</v>
      </c>
      <c r="V269" s="88" t="s">
        <v>119</v>
      </c>
      <c r="W269" s="17"/>
      <c r="X269" s="17"/>
      <c r="Y269" s="17"/>
    </row>
    <row r="270" spans="1:25" x14ac:dyDescent="0.2">
      <c r="A270" s="417" t="s">
        <v>33</v>
      </c>
      <c r="B270" s="425">
        <v>0</v>
      </c>
      <c r="C270" s="426">
        <v>0.02</v>
      </c>
      <c r="D270" s="426">
        <v>0.05</v>
      </c>
      <c r="E270" s="426">
        <v>0.06</v>
      </c>
      <c r="F270" s="426">
        <v>0.09</v>
      </c>
      <c r="G270" s="426">
        <v>0.17</v>
      </c>
      <c r="H270" s="426">
        <v>0.2</v>
      </c>
      <c r="I270" s="426">
        <v>0.38</v>
      </c>
      <c r="J270" s="426">
        <v>0.75</v>
      </c>
      <c r="K270" s="426">
        <v>0.79</v>
      </c>
      <c r="L270" s="426">
        <v>1.1299999999999999</v>
      </c>
      <c r="M270" s="426">
        <v>1.2</v>
      </c>
      <c r="N270" s="426">
        <v>1.5</v>
      </c>
      <c r="O270" s="426">
        <v>1.54</v>
      </c>
      <c r="P270" s="426">
        <v>1.65</v>
      </c>
      <c r="Q270" s="426">
        <v>1.7</v>
      </c>
      <c r="R270" s="426">
        <v>1.79</v>
      </c>
      <c r="S270" s="426">
        <v>1.79</v>
      </c>
      <c r="T270" s="426">
        <v>1.79</v>
      </c>
      <c r="U270" s="426">
        <v>1.79</v>
      </c>
      <c r="V270" s="426">
        <v>1.79</v>
      </c>
      <c r="W270" s="426">
        <v>1.79</v>
      </c>
      <c r="X270" s="426">
        <v>1.79</v>
      </c>
      <c r="Y270" s="437">
        <v>1000</v>
      </c>
    </row>
    <row r="271" spans="1:25" x14ac:dyDescent="0.2">
      <c r="A271" s="434" t="s">
        <v>34</v>
      </c>
      <c r="B271" s="427">
        <v>0</v>
      </c>
      <c r="C271" s="428">
        <v>20</v>
      </c>
      <c r="D271" s="428">
        <v>870</v>
      </c>
      <c r="E271" s="428">
        <v>530</v>
      </c>
      <c r="F271" s="428">
        <v>790</v>
      </c>
      <c r="G271" s="428">
        <v>700</v>
      </c>
      <c r="H271" s="428">
        <v>710</v>
      </c>
      <c r="I271" s="428">
        <v>670</v>
      </c>
      <c r="J271" s="428">
        <v>630</v>
      </c>
      <c r="K271" s="428">
        <v>630</v>
      </c>
      <c r="L271" s="433">
        <v>710</v>
      </c>
      <c r="M271" s="433">
        <v>690</v>
      </c>
      <c r="N271" s="433">
        <v>690</v>
      </c>
      <c r="O271" s="433">
        <v>660</v>
      </c>
      <c r="P271" s="433">
        <v>160</v>
      </c>
      <c r="Q271" s="433">
        <v>10</v>
      </c>
      <c r="R271" s="433">
        <v>0</v>
      </c>
      <c r="S271" s="433">
        <v>0</v>
      </c>
      <c r="T271" s="433">
        <v>0</v>
      </c>
      <c r="U271" s="433">
        <v>0</v>
      </c>
      <c r="V271" s="433">
        <v>0</v>
      </c>
      <c r="W271" s="433">
        <v>0</v>
      </c>
      <c r="X271" s="433">
        <v>0</v>
      </c>
      <c r="Y271" s="439">
        <v>0</v>
      </c>
    </row>
    <row r="272" spans="1:25" ht="13.5" thickBot="1" x14ac:dyDescent="0.25">
      <c r="A272" s="435" t="s">
        <v>117</v>
      </c>
      <c r="B272" s="429">
        <f t="shared" ref="B272:Q272" si="91">(C271+B271)*(C270-B270)/2</f>
        <v>0.2</v>
      </c>
      <c r="C272" s="430">
        <f t="shared" si="91"/>
        <v>13.350000000000001</v>
      </c>
      <c r="D272" s="430">
        <f t="shared" si="91"/>
        <v>6.9999999999999964</v>
      </c>
      <c r="E272" s="430">
        <f t="shared" si="91"/>
        <v>19.8</v>
      </c>
      <c r="F272" s="430">
        <f t="shared" si="91"/>
        <v>59.600000000000009</v>
      </c>
      <c r="G272" s="430">
        <f t="shared" si="91"/>
        <v>21.15</v>
      </c>
      <c r="H272" s="430">
        <f t="shared" si="91"/>
        <v>124.19999999999999</v>
      </c>
      <c r="I272" s="430">
        <f t="shared" si="91"/>
        <v>240.5</v>
      </c>
      <c r="J272" s="430">
        <f>(K271+J271)*(K270-J270)/2</f>
        <v>25.200000000000024</v>
      </c>
      <c r="K272" s="430">
        <f t="shared" si="91"/>
        <v>227.7999999999999</v>
      </c>
      <c r="L272" s="430">
        <f t="shared" si="91"/>
        <v>49.000000000000043</v>
      </c>
      <c r="M272" s="430">
        <f t="shared" si="91"/>
        <v>207.00000000000003</v>
      </c>
      <c r="N272" s="430">
        <f t="shared" si="91"/>
        <v>27.000000000000025</v>
      </c>
      <c r="O272" s="430">
        <f t="shared" si="91"/>
        <v>45.099999999999952</v>
      </c>
      <c r="P272" s="430">
        <f t="shared" si="91"/>
        <v>4.2500000000000036</v>
      </c>
      <c r="Q272" s="430">
        <f t="shared" si="91"/>
        <v>0.4500000000000004</v>
      </c>
      <c r="R272" s="430">
        <f t="shared" ref="R272:X272" si="92">(S271+R271)*(S270-R270)/2</f>
        <v>0</v>
      </c>
      <c r="S272" s="430">
        <f t="shared" si="92"/>
        <v>0</v>
      </c>
      <c r="T272" s="430">
        <f t="shared" si="92"/>
        <v>0</v>
      </c>
      <c r="U272" s="430">
        <f t="shared" si="92"/>
        <v>0</v>
      </c>
      <c r="V272" s="430">
        <f t="shared" si="92"/>
        <v>0</v>
      </c>
      <c r="W272" s="430">
        <f t="shared" si="92"/>
        <v>0</v>
      </c>
      <c r="X272" s="430">
        <f t="shared" si="92"/>
        <v>0</v>
      </c>
      <c r="Y272" s="440"/>
    </row>
    <row r="273" spans="1:25" ht="13.5" thickBot="1" x14ac:dyDescent="0.25">
      <c r="S273" s="17"/>
      <c r="T273" s="17"/>
      <c r="U273" s="17"/>
      <c r="V273" s="17"/>
      <c r="W273" s="112"/>
      <c r="X273" s="112"/>
      <c r="Y273" s="17"/>
    </row>
    <row r="274" spans="1:25" ht="13.5" thickBot="1" x14ac:dyDescent="0.25">
      <c r="A274" s="416" t="s">
        <v>36</v>
      </c>
      <c r="B274" s="414">
        <f>ROW(A274)</f>
        <v>274</v>
      </c>
      <c r="C274" s="418" t="s">
        <v>116</v>
      </c>
      <c r="D274" s="408">
        <f>SUM(B277:Y277)</f>
        <v>2102.35</v>
      </c>
      <c r="E274" s="418" t="s">
        <v>115</v>
      </c>
      <c r="F274" s="409">
        <f>D274/g/J274</f>
        <v>174.23319493133766</v>
      </c>
      <c r="G274" s="418" t="s">
        <v>57</v>
      </c>
      <c r="H274" s="86">
        <v>3.7</v>
      </c>
      <c r="I274" s="418" t="s">
        <v>272</v>
      </c>
      <c r="J274" s="410">
        <f>H274-L274</f>
        <v>1.23</v>
      </c>
      <c r="K274" s="418" t="s">
        <v>273</v>
      </c>
      <c r="L274" s="86">
        <v>2.4700000000000002</v>
      </c>
      <c r="M274" s="418" t="s">
        <v>58</v>
      </c>
      <c r="N274" s="87">
        <v>151</v>
      </c>
      <c r="O274" s="418" t="s">
        <v>60</v>
      </c>
      <c r="P274" s="87">
        <v>171</v>
      </c>
      <c r="Q274" s="418" t="s">
        <v>61</v>
      </c>
      <c r="R274" s="87">
        <v>247</v>
      </c>
      <c r="S274" s="418" t="s">
        <v>62</v>
      </c>
      <c r="T274" s="87">
        <v>90</v>
      </c>
      <c r="U274" s="418" t="s">
        <v>55</v>
      </c>
      <c r="V274" s="88" t="s">
        <v>119</v>
      </c>
      <c r="W274" s="17"/>
      <c r="X274" s="17"/>
      <c r="Y274" s="17"/>
    </row>
    <row r="275" spans="1:25" x14ac:dyDescent="0.2">
      <c r="A275" s="417" t="s">
        <v>33</v>
      </c>
      <c r="B275" s="425">
        <v>0</v>
      </c>
      <c r="C275" s="426">
        <v>0.05</v>
      </c>
      <c r="D275" s="426">
        <v>0.1</v>
      </c>
      <c r="E275" s="426">
        <v>1</v>
      </c>
      <c r="F275" s="426">
        <v>1.35</v>
      </c>
      <c r="G275" s="426">
        <v>1.75</v>
      </c>
      <c r="H275" s="426">
        <v>2.15</v>
      </c>
      <c r="I275" s="426">
        <v>2.25</v>
      </c>
      <c r="J275" s="426">
        <v>2.48</v>
      </c>
      <c r="K275" s="426">
        <v>2.6</v>
      </c>
      <c r="L275" s="426">
        <v>2.8</v>
      </c>
      <c r="M275" s="426">
        <v>2.8</v>
      </c>
      <c r="N275" s="426">
        <v>2.8</v>
      </c>
      <c r="O275" s="426">
        <v>2.8</v>
      </c>
      <c r="P275" s="426">
        <v>2.8</v>
      </c>
      <c r="Q275" s="426">
        <v>2.8</v>
      </c>
      <c r="R275" s="426">
        <v>2.8</v>
      </c>
      <c r="S275" s="426">
        <v>2.8</v>
      </c>
      <c r="T275" s="426">
        <v>2.8</v>
      </c>
      <c r="U275" s="426">
        <v>2.8</v>
      </c>
      <c r="V275" s="426">
        <v>2.8</v>
      </c>
      <c r="W275" s="426">
        <v>2.8</v>
      </c>
      <c r="X275" s="426">
        <v>2.8</v>
      </c>
      <c r="Y275" s="437">
        <v>1000</v>
      </c>
    </row>
    <row r="276" spans="1:25" x14ac:dyDescent="0.2">
      <c r="A276" s="434" t="s">
        <v>34</v>
      </c>
      <c r="B276" s="427">
        <v>0</v>
      </c>
      <c r="C276" s="428">
        <v>860</v>
      </c>
      <c r="D276" s="428">
        <v>840</v>
      </c>
      <c r="E276" s="428">
        <v>840</v>
      </c>
      <c r="F276" s="428">
        <v>850</v>
      </c>
      <c r="G276" s="428">
        <v>900</v>
      </c>
      <c r="H276" s="428">
        <v>1050</v>
      </c>
      <c r="I276" s="428">
        <v>1020</v>
      </c>
      <c r="J276" s="428">
        <v>120</v>
      </c>
      <c r="K276" s="428">
        <v>30</v>
      </c>
      <c r="L276" s="428">
        <v>0</v>
      </c>
      <c r="M276" s="428">
        <v>0</v>
      </c>
      <c r="N276" s="428">
        <v>0</v>
      </c>
      <c r="O276" s="428">
        <v>0</v>
      </c>
      <c r="P276" s="428">
        <v>0</v>
      </c>
      <c r="Q276" s="428">
        <v>0</v>
      </c>
      <c r="R276" s="428">
        <v>0</v>
      </c>
      <c r="S276" s="428">
        <v>0</v>
      </c>
      <c r="T276" s="428">
        <v>0</v>
      </c>
      <c r="U276" s="428">
        <v>0</v>
      </c>
      <c r="V276" s="428">
        <v>0</v>
      </c>
      <c r="W276" s="428">
        <v>0</v>
      </c>
      <c r="X276" s="428">
        <v>0</v>
      </c>
      <c r="Y276" s="438">
        <v>0</v>
      </c>
    </row>
    <row r="277" spans="1:25" ht="13.5" thickBot="1" x14ac:dyDescent="0.25">
      <c r="A277" s="435" t="s">
        <v>117</v>
      </c>
      <c r="B277" s="429">
        <f t="shared" ref="B277:K277" si="93">(C276+B276)*(C275-B275)/2</f>
        <v>21.5</v>
      </c>
      <c r="C277" s="430">
        <f t="shared" si="93"/>
        <v>42.5</v>
      </c>
      <c r="D277" s="430">
        <f t="shared" si="93"/>
        <v>756</v>
      </c>
      <c r="E277" s="430">
        <f t="shared" si="93"/>
        <v>295.75000000000006</v>
      </c>
      <c r="F277" s="430">
        <f t="shared" si="93"/>
        <v>349.99999999999994</v>
      </c>
      <c r="G277" s="430">
        <f t="shared" si="93"/>
        <v>389.99999999999989</v>
      </c>
      <c r="H277" s="430">
        <f t="shared" si="93"/>
        <v>103.50000000000009</v>
      </c>
      <c r="I277" s="430">
        <f t="shared" si="93"/>
        <v>131.1</v>
      </c>
      <c r="J277" s="430">
        <f>(K276+J276)*(K275-J275)/2</f>
        <v>9.0000000000000071</v>
      </c>
      <c r="K277" s="430">
        <f t="shared" si="93"/>
        <v>2.999999999999996</v>
      </c>
      <c r="L277" s="430">
        <f t="shared" ref="L277:V277" si="94">(M276+L276)*(M275-L275)/2</f>
        <v>0</v>
      </c>
      <c r="M277" s="430">
        <f t="shared" si="94"/>
        <v>0</v>
      </c>
      <c r="N277" s="430">
        <f t="shared" si="94"/>
        <v>0</v>
      </c>
      <c r="O277" s="430">
        <f t="shared" si="94"/>
        <v>0</v>
      </c>
      <c r="P277" s="430">
        <f t="shared" si="94"/>
        <v>0</v>
      </c>
      <c r="Q277" s="430">
        <f t="shared" si="94"/>
        <v>0</v>
      </c>
      <c r="R277" s="430">
        <f t="shared" si="94"/>
        <v>0</v>
      </c>
      <c r="S277" s="430">
        <f>(T276+S276)*(T275-S275)/2</f>
        <v>0</v>
      </c>
      <c r="T277" s="430">
        <f t="shared" si="94"/>
        <v>0</v>
      </c>
      <c r="U277" s="430">
        <f t="shared" si="94"/>
        <v>0</v>
      </c>
      <c r="V277" s="430">
        <f t="shared" si="94"/>
        <v>0</v>
      </c>
      <c r="W277" s="430">
        <f>(X276+W276)*(X275-W275)/2</f>
        <v>0</v>
      </c>
      <c r="X277" s="430">
        <f>(Y276+X276)*(Y275-X275)/2</f>
        <v>0</v>
      </c>
      <c r="Y277" s="424"/>
    </row>
    <row r="278" spans="1:25" ht="13.5" thickBot="1" x14ac:dyDescent="0.25"/>
    <row r="279" spans="1:25" ht="13.5" thickBot="1" x14ac:dyDescent="0.25">
      <c r="A279" s="416" t="s">
        <v>552</v>
      </c>
      <c r="B279" s="414">
        <f>ROW(A279)</f>
        <v>279</v>
      </c>
      <c r="C279" s="418" t="s">
        <v>116</v>
      </c>
      <c r="D279" s="408">
        <f>SUM(B282:Y282)</f>
        <v>2058.37</v>
      </c>
      <c r="E279" s="418" t="s">
        <v>115</v>
      </c>
      <c r="F279" s="409">
        <f>D279/g/J279</f>
        <v>203.12066731598335</v>
      </c>
      <c r="G279" s="418" t="s">
        <v>57</v>
      </c>
      <c r="H279" s="86">
        <v>1.6850000000000001</v>
      </c>
      <c r="I279" s="418" t="s">
        <v>272</v>
      </c>
      <c r="J279" s="410">
        <f>H279-L279</f>
        <v>1.0329999999999999</v>
      </c>
      <c r="K279" s="418" t="s">
        <v>273</v>
      </c>
      <c r="L279" s="86">
        <v>0.65200000000000002</v>
      </c>
      <c r="M279" s="418" t="s">
        <v>58</v>
      </c>
      <c r="N279" s="87">
        <v>250</v>
      </c>
      <c r="O279" s="418" t="s">
        <v>60</v>
      </c>
      <c r="P279" s="87">
        <v>240</v>
      </c>
      <c r="Q279" s="418" t="s">
        <v>61</v>
      </c>
      <c r="R279" s="87">
        <v>488</v>
      </c>
      <c r="S279" s="418" t="s">
        <v>62</v>
      </c>
      <c r="T279" s="87">
        <v>54</v>
      </c>
      <c r="U279" s="418" t="s">
        <v>55</v>
      </c>
      <c r="V279" s="88" t="s">
        <v>119</v>
      </c>
      <c r="W279" s="17"/>
      <c r="X279" s="17"/>
      <c r="Y279" s="17"/>
    </row>
    <row r="280" spans="1:25" x14ac:dyDescent="0.2">
      <c r="A280" s="417" t="s">
        <v>33</v>
      </c>
      <c r="B280" s="425">
        <v>0</v>
      </c>
      <c r="C280" s="426">
        <v>0.05</v>
      </c>
      <c r="D280" s="426">
        <v>0.5</v>
      </c>
      <c r="E280" s="426">
        <v>1</v>
      </c>
      <c r="F280" s="426">
        <v>1.5</v>
      </c>
      <c r="G280" s="426">
        <v>2</v>
      </c>
      <c r="H280" s="426">
        <v>2.5</v>
      </c>
      <c r="I280" s="426">
        <v>2.97</v>
      </c>
      <c r="J280" s="426">
        <v>3.2</v>
      </c>
      <c r="K280" s="426">
        <v>3.47</v>
      </c>
      <c r="L280" s="426">
        <v>3.59</v>
      </c>
      <c r="M280" s="426">
        <v>3.59</v>
      </c>
      <c r="N280" s="426">
        <v>3.59</v>
      </c>
      <c r="O280" s="426">
        <v>3.59</v>
      </c>
      <c r="P280" s="426">
        <v>3.59</v>
      </c>
      <c r="Q280" s="426">
        <v>3.59</v>
      </c>
      <c r="R280" s="426">
        <v>3.59</v>
      </c>
      <c r="S280" s="426">
        <v>3.59</v>
      </c>
      <c r="T280" s="426">
        <v>3.59</v>
      </c>
      <c r="U280" s="426">
        <v>3.59</v>
      </c>
      <c r="V280" s="426">
        <v>3.59</v>
      </c>
      <c r="W280" s="426">
        <v>3.59</v>
      </c>
      <c r="X280" s="426">
        <v>3.59</v>
      </c>
      <c r="Y280" s="437">
        <v>1000</v>
      </c>
    </row>
    <row r="281" spans="1:25" x14ac:dyDescent="0.2">
      <c r="A281" s="434" t="s">
        <v>34</v>
      </c>
      <c r="B281" s="427">
        <v>0</v>
      </c>
      <c r="C281" s="428">
        <v>893</v>
      </c>
      <c r="D281" s="428">
        <v>798</v>
      </c>
      <c r="E281" s="428">
        <v>739</v>
      </c>
      <c r="F281" s="428">
        <v>659</v>
      </c>
      <c r="G281" s="428">
        <v>586</v>
      </c>
      <c r="H281" s="428">
        <v>513</v>
      </c>
      <c r="I281" s="428">
        <v>417</v>
      </c>
      <c r="J281" s="428">
        <v>225</v>
      </c>
      <c r="K281" s="428">
        <v>67</v>
      </c>
      <c r="L281" s="428">
        <v>0</v>
      </c>
      <c r="M281" s="428">
        <v>0</v>
      </c>
      <c r="N281" s="428">
        <v>0</v>
      </c>
      <c r="O281" s="428">
        <v>0</v>
      </c>
      <c r="P281" s="428">
        <v>0</v>
      </c>
      <c r="Q281" s="428">
        <v>0</v>
      </c>
      <c r="R281" s="428">
        <v>0</v>
      </c>
      <c r="S281" s="428">
        <v>0</v>
      </c>
      <c r="T281" s="428">
        <v>0</v>
      </c>
      <c r="U281" s="428">
        <v>0</v>
      </c>
      <c r="V281" s="428">
        <v>0</v>
      </c>
      <c r="W281" s="428">
        <v>0</v>
      </c>
      <c r="X281" s="428">
        <v>0</v>
      </c>
      <c r="Y281" s="438">
        <v>0</v>
      </c>
    </row>
    <row r="282" spans="1:25" ht="13.5" thickBot="1" x14ac:dyDescent="0.25">
      <c r="A282" s="436" t="s">
        <v>117</v>
      </c>
      <c r="B282" s="429">
        <f t="shared" ref="B282:V282" si="95">(C281+B281)*(C280-B280)/2</f>
        <v>22.325000000000003</v>
      </c>
      <c r="C282" s="430">
        <f t="shared" si="95"/>
        <v>380.47500000000002</v>
      </c>
      <c r="D282" s="430">
        <f t="shared" si="95"/>
        <v>384.25</v>
      </c>
      <c r="E282" s="430">
        <f t="shared" si="95"/>
        <v>349.5</v>
      </c>
      <c r="F282" s="430">
        <f t="shared" si="95"/>
        <v>311.25</v>
      </c>
      <c r="G282" s="430">
        <f t="shared" si="95"/>
        <v>274.75</v>
      </c>
      <c r="H282" s="430">
        <f t="shared" si="95"/>
        <v>218.5500000000001</v>
      </c>
      <c r="I282" s="430">
        <f t="shared" si="95"/>
        <v>73.83</v>
      </c>
      <c r="J282" s="430">
        <f>(K281+J281)*(K280-J280)/2</f>
        <v>39.42</v>
      </c>
      <c r="K282" s="430">
        <f t="shared" si="95"/>
        <v>4.0199999999999889</v>
      </c>
      <c r="L282" s="430">
        <f t="shared" si="95"/>
        <v>0</v>
      </c>
      <c r="M282" s="430">
        <f t="shared" si="95"/>
        <v>0</v>
      </c>
      <c r="N282" s="430">
        <f t="shared" si="95"/>
        <v>0</v>
      </c>
      <c r="O282" s="430">
        <f t="shared" si="95"/>
        <v>0</v>
      </c>
      <c r="P282" s="430">
        <f t="shared" si="95"/>
        <v>0</v>
      </c>
      <c r="Q282" s="430">
        <f t="shared" si="95"/>
        <v>0</v>
      </c>
      <c r="R282" s="430">
        <f t="shared" si="95"/>
        <v>0</v>
      </c>
      <c r="S282" s="430">
        <f>(T281+S281)*(T280-S280)/2</f>
        <v>0</v>
      </c>
      <c r="T282" s="430">
        <f t="shared" si="95"/>
        <v>0</v>
      </c>
      <c r="U282" s="430">
        <f t="shared" si="95"/>
        <v>0</v>
      </c>
      <c r="V282" s="430">
        <f t="shared" si="95"/>
        <v>0</v>
      </c>
      <c r="W282" s="430">
        <f>(X281+W281)*(X280-W280)/2</f>
        <v>0</v>
      </c>
      <c r="X282" s="430">
        <f>(Y281+X281)*(Y280-X280)/2</f>
        <v>0</v>
      </c>
      <c r="Y282" s="424"/>
    </row>
    <row r="283" spans="1:25" ht="13.5" thickBot="1" x14ac:dyDescent="0.25">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row>
    <row r="284" spans="1:25" ht="13.5" thickBot="1" x14ac:dyDescent="0.25">
      <c r="A284" s="416" t="s">
        <v>37</v>
      </c>
      <c r="B284" s="414">
        <f>ROW(A284)</f>
        <v>284</v>
      </c>
      <c r="C284" s="418" t="s">
        <v>116</v>
      </c>
      <c r="D284" s="408">
        <f>SUM(B287:Y287)</f>
        <v>2486.041999999999</v>
      </c>
      <c r="E284" s="418" t="s">
        <v>115</v>
      </c>
      <c r="F284" s="409">
        <f>D284/g/J284</f>
        <v>199.54264891200521</v>
      </c>
      <c r="G284" s="418" t="s">
        <v>57</v>
      </c>
      <c r="H284" s="86">
        <v>2.59</v>
      </c>
      <c r="I284" s="418" t="s">
        <v>272</v>
      </c>
      <c r="J284" s="410">
        <f>H284-L284</f>
        <v>1.2699999999999998</v>
      </c>
      <c r="K284" s="418" t="s">
        <v>273</v>
      </c>
      <c r="L284" s="86">
        <v>1.32</v>
      </c>
      <c r="M284" s="418" t="s">
        <v>58</v>
      </c>
      <c r="N284" s="87">
        <v>175</v>
      </c>
      <c r="O284" s="418" t="s">
        <v>60</v>
      </c>
      <c r="P284" s="87">
        <v>175</v>
      </c>
      <c r="Q284" s="418" t="s">
        <v>61</v>
      </c>
      <c r="R284" s="87">
        <v>350</v>
      </c>
      <c r="S284" s="418" t="s">
        <v>62</v>
      </c>
      <c r="T284" s="87">
        <v>75</v>
      </c>
      <c r="U284" s="418" t="s">
        <v>55</v>
      </c>
      <c r="V284" s="88" t="s">
        <v>119</v>
      </c>
      <c r="W284" s="17"/>
      <c r="X284" s="17"/>
      <c r="Y284" s="17"/>
    </row>
    <row r="285" spans="1:25" x14ac:dyDescent="0.2">
      <c r="A285" s="417" t="s">
        <v>33</v>
      </c>
      <c r="B285" s="425">
        <v>0</v>
      </c>
      <c r="C285" s="426">
        <v>0.04</v>
      </c>
      <c r="D285" s="426">
        <v>7.0000000000000007E-2</v>
      </c>
      <c r="E285" s="426">
        <v>0.1</v>
      </c>
      <c r="F285" s="426">
        <v>0.21</v>
      </c>
      <c r="G285" s="426">
        <v>0.35</v>
      </c>
      <c r="H285" s="426">
        <v>0.53</v>
      </c>
      <c r="I285" s="426">
        <v>0.82</v>
      </c>
      <c r="J285" s="426">
        <v>1.18</v>
      </c>
      <c r="K285" s="426">
        <v>1.72</v>
      </c>
      <c r="L285" s="426">
        <v>2.15</v>
      </c>
      <c r="M285" s="426">
        <v>2.39</v>
      </c>
      <c r="N285" s="426">
        <v>2.9</v>
      </c>
      <c r="O285" s="426">
        <v>3.07</v>
      </c>
      <c r="P285" s="426">
        <v>3.56</v>
      </c>
      <c r="Q285" s="426">
        <v>3.98</v>
      </c>
      <c r="R285" s="426">
        <v>4.32</v>
      </c>
      <c r="S285" s="426">
        <v>4.4800000000000004</v>
      </c>
      <c r="T285" s="426">
        <v>4.5999999999999996</v>
      </c>
      <c r="U285" s="426">
        <v>4.6500000000000004</v>
      </c>
      <c r="V285" s="426">
        <v>4.8</v>
      </c>
      <c r="W285" s="426">
        <v>4.83</v>
      </c>
      <c r="X285" s="426">
        <v>4.84</v>
      </c>
      <c r="Y285" s="437">
        <v>1000</v>
      </c>
    </row>
    <row r="286" spans="1:25" x14ac:dyDescent="0.2">
      <c r="A286" s="434" t="s">
        <v>34</v>
      </c>
      <c r="B286" s="427">
        <v>0</v>
      </c>
      <c r="C286" s="428">
        <v>394.4</v>
      </c>
      <c r="D286" s="428">
        <v>617.70000000000005</v>
      </c>
      <c r="E286" s="428">
        <v>645.1</v>
      </c>
      <c r="F286" s="428">
        <v>658.2</v>
      </c>
      <c r="G286" s="428">
        <v>669.2</v>
      </c>
      <c r="H286" s="428">
        <v>667.7</v>
      </c>
      <c r="I286" s="428">
        <v>661.6</v>
      </c>
      <c r="J286" s="428">
        <v>626.9</v>
      </c>
      <c r="K286" s="428">
        <v>588.5</v>
      </c>
      <c r="L286" s="428">
        <v>557.70000000000005</v>
      </c>
      <c r="M286" s="428">
        <v>542.29999999999995</v>
      </c>
      <c r="N286" s="428">
        <v>492.9</v>
      </c>
      <c r="O286" s="428">
        <v>470.3</v>
      </c>
      <c r="P286" s="428">
        <v>426.8</v>
      </c>
      <c r="Q286" s="428">
        <v>399</v>
      </c>
      <c r="R286" s="428">
        <v>394</v>
      </c>
      <c r="S286" s="428">
        <v>380.6</v>
      </c>
      <c r="T286" s="428">
        <v>364.2</v>
      </c>
      <c r="U286" s="428">
        <v>290.89999999999998</v>
      </c>
      <c r="V286" s="428">
        <v>91.2</v>
      </c>
      <c r="W286" s="428">
        <v>45.8</v>
      </c>
      <c r="X286" s="428">
        <v>0</v>
      </c>
      <c r="Y286" s="438">
        <v>0</v>
      </c>
    </row>
    <row r="287" spans="1:25" ht="13.5" thickBot="1" x14ac:dyDescent="0.25">
      <c r="A287" s="435" t="s">
        <v>117</v>
      </c>
      <c r="B287" s="429">
        <f t="shared" ref="B287:V287" si="96">(C286+B286)*(C285-B285)/2</f>
        <v>7.8879999999999999</v>
      </c>
      <c r="C287" s="430">
        <f t="shared" si="96"/>
        <v>15.181500000000003</v>
      </c>
      <c r="D287" s="430">
        <f t="shared" si="96"/>
        <v>18.942000000000004</v>
      </c>
      <c r="E287" s="430">
        <f t="shared" si="96"/>
        <v>71.6815</v>
      </c>
      <c r="F287" s="430">
        <f t="shared" si="96"/>
        <v>92.917999999999992</v>
      </c>
      <c r="G287" s="430">
        <f t="shared" si="96"/>
        <v>120.32100000000004</v>
      </c>
      <c r="H287" s="430">
        <f t="shared" si="96"/>
        <v>192.74849999999998</v>
      </c>
      <c r="I287" s="430">
        <f t="shared" si="96"/>
        <v>231.92999999999998</v>
      </c>
      <c r="J287" s="430">
        <f>(K286+J286)*(K285-J285)/2</f>
        <v>328.15800000000007</v>
      </c>
      <c r="K287" s="430">
        <f t="shared" si="96"/>
        <v>246.43299999999996</v>
      </c>
      <c r="L287" s="430">
        <f t="shared" si="96"/>
        <v>132.00000000000011</v>
      </c>
      <c r="M287" s="430">
        <f t="shared" si="96"/>
        <v>263.97599999999983</v>
      </c>
      <c r="N287" s="430">
        <f t="shared" si="96"/>
        <v>81.871999999999971</v>
      </c>
      <c r="O287" s="430">
        <f t="shared" si="96"/>
        <v>219.78950000000009</v>
      </c>
      <c r="P287" s="430">
        <f t="shared" si="96"/>
        <v>173.41799999999995</v>
      </c>
      <c r="Q287" s="430">
        <f t="shared" si="96"/>
        <v>134.81000000000012</v>
      </c>
      <c r="R287" s="430">
        <f t="shared" si="96"/>
        <v>61.96800000000006</v>
      </c>
      <c r="S287" s="430">
        <f>(T286+S286)*(T285-S285)/2</f>
        <v>44.687999999999704</v>
      </c>
      <c r="T287" s="430">
        <f t="shared" si="96"/>
        <v>16.377500000000232</v>
      </c>
      <c r="U287" s="430">
        <f t="shared" si="96"/>
        <v>28.657499999999896</v>
      </c>
      <c r="V287" s="430">
        <f t="shared" si="96"/>
        <v>2.055000000000017</v>
      </c>
      <c r="W287" s="430">
        <f>(X286+W286)*(X285-W285)/2</f>
        <v>0.2289999999999951</v>
      </c>
      <c r="X287" s="430">
        <f>(Y286+X286)*(Y285-X285)/2</f>
        <v>0</v>
      </c>
      <c r="Y287" s="424"/>
    </row>
    <row r="288" spans="1:25" ht="13.5" thickBot="1" x14ac:dyDescent="0.25">
      <c r="A288" s="17"/>
      <c r="L288" s="17"/>
      <c r="M288" s="17"/>
      <c r="N288" s="17"/>
      <c r="O288" s="17"/>
      <c r="P288" s="17"/>
      <c r="Q288" s="17"/>
      <c r="R288" s="17"/>
      <c r="S288" s="17"/>
      <c r="T288" s="17"/>
      <c r="U288" s="17"/>
      <c r="V288" s="17"/>
      <c r="W288" s="17"/>
      <c r="X288" s="17"/>
      <c r="Y288" s="17"/>
    </row>
    <row r="289" spans="1:25" ht="13.5" thickBot="1" x14ac:dyDescent="0.25">
      <c r="A289" s="416" t="s">
        <v>553</v>
      </c>
      <c r="B289" s="414">
        <f>ROW(A289)</f>
        <v>289</v>
      </c>
      <c r="C289" s="418" t="s">
        <v>116</v>
      </c>
      <c r="D289" s="408">
        <f>SUM(B292:Y292)</f>
        <v>3739.0284999999994</v>
      </c>
      <c r="E289" s="418" t="s">
        <v>115</v>
      </c>
      <c r="F289" s="409">
        <f>D289/g/J289</f>
        <v>203.4941790441234</v>
      </c>
      <c r="G289" s="418" t="s">
        <v>57</v>
      </c>
      <c r="H289" s="86">
        <v>3.5110000000000001</v>
      </c>
      <c r="I289" s="418" t="s">
        <v>272</v>
      </c>
      <c r="J289" s="410">
        <f>H289-L289</f>
        <v>1.8730000000000002</v>
      </c>
      <c r="K289" s="418" t="s">
        <v>273</v>
      </c>
      <c r="L289" s="86">
        <v>1.6379999999999999</v>
      </c>
      <c r="M289" s="418" t="s">
        <v>58</v>
      </c>
      <c r="N289" s="87">
        <v>243</v>
      </c>
      <c r="O289" s="418" t="s">
        <v>60</v>
      </c>
      <c r="P289" s="87">
        <v>243</v>
      </c>
      <c r="Q289" s="418" t="s">
        <v>61</v>
      </c>
      <c r="R289" s="87">
        <v>486</v>
      </c>
      <c r="S289" s="418" t="s">
        <v>62</v>
      </c>
      <c r="T289" s="87">
        <v>75</v>
      </c>
      <c r="U289" s="418" t="s">
        <v>55</v>
      </c>
      <c r="V289" s="88" t="s">
        <v>119</v>
      </c>
      <c r="W289" s="17"/>
      <c r="X289" s="17"/>
      <c r="Y289" s="17"/>
    </row>
    <row r="290" spans="1:25" x14ac:dyDescent="0.2">
      <c r="A290" s="417" t="s">
        <v>33</v>
      </c>
      <c r="B290" s="425">
        <v>0</v>
      </c>
      <c r="C290" s="426">
        <v>0.01</v>
      </c>
      <c r="D290" s="426">
        <v>0.1</v>
      </c>
      <c r="E290" s="426">
        <v>0.12</v>
      </c>
      <c r="F290" s="426">
        <v>0.26</v>
      </c>
      <c r="G290" s="426">
        <v>0.71</v>
      </c>
      <c r="H290" s="426">
        <v>1.28</v>
      </c>
      <c r="I290" s="426">
        <v>2.0499999999999998</v>
      </c>
      <c r="J290" s="426">
        <v>2.41</v>
      </c>
      <c r="K290" s="426">
        <v>2.83</v>
      </c>
      <c r="L290" s="426">
        <v>3.25</v>
      </c>
      <c r="M290" s="426">
        <v>3.65</v>
      </c>
      <c r="N290" s="426">
        <v>3.8</v>
      </c>
      <c r="O290" s="426">
        <v>4</v>
      </c>
      <c r="P290" s="426">
        <v>4.0999999999999996</v>
      </c>
      <c r="Q290" s="426">
        <v>4.1900000000000004</v>
      </c>
      <c r="R290" s="426">
        <v>4.3099999999999996</v>
      </c>
      <c r="S290" s="426">
        <v>4.41</v>
      </c>
      <c r="T290" s="426">
        <v>4.5199999999999996</v>
      </c>
      <c r="U290" s="426">
        <v>4.5999999999999996</v>
      </c>
      <c r="V290" s="426">
        <v>4.6500000000000004</v>
      </c>
      <c r="W290" s="426">
        <v>4.67</v>
      </c>
      <c r="X290" s="426">
        <v>4.68</v>
      </c>
      <c r="Y290" s="437">
        <v>1000</v>
      </c>
    </row>
    <row r="291" spans="1:25" x14ac:dyDescent="0.2">
      <c r="A291" s="434" t="s">
        <v>34</v>
      </c>
      <c r="B291" s="427">
        <v>27</v>
      </c>
      <c r="C291" s="428">
        <v>402.4</v>
      </c>
      <c r="D291" s="428">
        <v>1286</v>
      </c>
      <c r="E291" s="428">
        <v>1257</v>
      </c>
      <c r="F291" s="428">
        <v>1042</v>
      </c>
      <c r="G291" s="428">
        <v>1027</v>
      </c>
      <c r="H291" s="428">
        <v>998.4</v>
      </c>
      <c r="I291" s="428">
        <v>901.4</v>
      </c>
      <c r="J291" s="428">
        <v>849.6</v>
      </c>
      <c r="K291" s="428">
        <v>763.5</v>
      </c>
      <c r="L291" s="428">
        <v>707.1</v>
      </c>
      <c r="M291" s="428">
        <v>655.1</v>
      </c>
      <c r="N291" s="428">
        <v>651.70000000000005</v>
      </c>
      <c r="O291" s="428">
        <v>624.1</v>
      </c>
      <c r="P291" s="428">
        <v>601.29999999999995</v>
      </c>
      <c r="Q291" s="428">
        <v>536.20000000000005</v>
      </c>
      <c r="R291" s="428">
        <v>415.7</v>
      </c>
      <c r="S291" s="428">
        <v>270.2</v>
      </c>
      <c r="T291" s="428">
        <v>140.19999999999999</v>
      </c>
      <c r="U291" s="428">
        <v>76.900000000000006</v>
      </c>
      <c r="V291" s="428">
        <v>54.9</v>
      </c>
      <c r="W291" s="428">
        <v>40.200000000000003</v>
      </c>
      <c r="X291" s="428">
        <v>0</v>
      </c>
      <c r="Y291" s="438">
        <v>0</v>
      </c>
    </row>
    <row r="292" spans="1:25" ht="13.5" thickBot="1" x14ac:dyDescent="0.25">
      <c r="A292" s="435" t="s">
        <v>117</v>
      </c>
      <c r="B292" s="429">
        <f t="shared" ref="B292:V292" si="97">(C291+B291)*(C290-B290)/2</f>
        <v>2.1469999999999998</v>
      </c>
      <c r="C292" s="430">
        <f t="shared" si="97"/>
        <v>75.978000000000009</v>
      </c>
      <c r="D292" s="430">
        <f t="shared" si="97"/>
        <v>25.429999999999989</v>
      </c>
      <c r="E292" s="430">
        <f t="shared" si="97"/>
        <v>160.93</v>
      </c>
      <c r="F292" s="430">
        <f t="shared" si="97"/>
        <v>465.52499999999998</v>
      </c>
      <c r="G292" s="430">
        <f t="shared" si="97"/>
        <v>577.23900000000003</v>
      </c>
      <c r="H292" s="430">
        <f t="shared" si="97"/>
        <v>731.42299999999977</v>
      </c>
      <c r="I292" s="430">
        <f t="shared" si="97"/>
        <v>315.18000000000029</v>
      </c>
      <c r="J292" s="430">
        <f>(K291+J291)*(K290-J290)/2</f>
        <v>338.75099999999992</v>
      </c>
      <c r="K292" s="430">
        <f t="shared" si="97"/>
        <v>308.82599999999991</v>
      </c>
      <c r="L292" s="430">
        <f t="shared" si="97"/>
        <v>272.43999999999994</v>
      </c>
      <c r="M292" s="430">
        <f t="shared" si="97"/>
        <v>98.009999999999962</v>
      </c>
      <c r="N292" s="430">
        <f t="shared" si="97"/>
        <v>127.58000000000013</v>
      </c>
      <c r="O292" s="430">
        <f t="shared" si="97"/>
        <v>61.26999999999979</v>
      </c>
      <c r="P292" s="430">
        <f t="shared" si="97"/>
        <v>51.187500000000426</v>
      </c>
      <c r="Q292" s="430">
        <f t="shared" si="97"/>
        <v>57.113999999999635</v>
      </c>
      <c r="R292" s="430">
        <f t="shared" si="97"/>
        <v>34.295000000000179</v>
      </c>
      <c r="S292" s="430">
        <f>(T291+S291)*(T290-S290)/2</f>
        <v>22.571999999999882</v>
      </c>
      <c r="T292" s="430">
        <f t="shared" si="97"/>
        <v>8.6840000000000082</v>
      </c>
      <c r="U292" s="430">
        <f t="shared" si="97"/>
        <v>3.295000000000047</v>
      </c>
      <c r="V292" s="430">
        <f t="shared" si="97"/>
        <v>0.95099999999997964</v>
      </c>
      <c r="W292" s="430">
        <f>(X291+W291)*(X290-W290)/2</f>
        <v>0.20099999999999574</v>
      </c>
      <c r="X292" s="430">
        <f>(Y291+X291)*(Y290-X290)/2</f>
        <v>0</v>
      </c>
      <c r="Y292" s="424"/>
    </row>
    <row r="293" spans="1:25" ht="13.5" thickBot="1" x14ac:dyDescent="0.25">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row>
    <row r="294" spans="1:25" ht="13.5" thickBot="1" x14ac:dyDescent="0.25">
      <c r="A294" s="416" t="s">
        <v>319</v>
      </c>
      <c r="B294" s="414">
        <f>ROW(A294)</f>
        <v>294</v>
      </c>
      <c r="C294" s="418" t="s">
        <v>116</v>
      </c>
      <c r="D294" s="408">
        <f>SUM(B297:Y297)</f>
        <v>5322.2813159999996</v>
      </c>
      <c r="E294" s="418" t="s">
        <v>115</v>
      </c>
      <c r="F294" s="409">
        <f>D294/g/J294</f>
        <v>210.04116210318938</v>
      </c>
      <c r="G294" s="418" t="s">
        <v>57</v>
      </c>
      <c r="H294" s="86">
        <v>4.9770000000000003</v>
      </c>
      <c r="I294" s="418" t="s">
        <v>272</v>
      </c>
      <c r="J294" s="410">
        <f>H294-L294</f>
        <v>2.5830000000000002</v>
      </c>
      <c r="K294" s="418" t="s">
        <v>273</v>
      </c>
      <c r="L294" s="86">
        <v>2.3940000000000001</v>
      </c>
      <c r="M294" s="418" t="s">
        <v>58</v>
      </c>
      <c r="N294" s="87">
        <v>197</v>
      </c>
      <c r="O294" s="418" t="s">
        <v>60</v>
      </c>
      <c r="P294" s="87">
        <v>197</v>
      </c>
      <c r="Q294" s="418" t="s">
        <v>61</v>
      </c>
      <c r="R294" s="87">
        <v>394</v>
      </c>
      <c r="S294" s="418" t="s">
        <v>62</v>
      </c>
      <c r="T294" s="87">
        <v>98</v>
      </c>
      <c r="U294" s="418" t="s">
        <v>55</v>
      </c>
      <c r="V294" s="88" t="s">
        <v>119</v>
      </c>
      <c r="W294" s="17"/>
      <c r="X294" s="17"/>
      <c r="Y294" s="17"/>
    </row>
    <row r="295" spans="1:25" x14ac:dyDescent="0.2">
      <c r="A295" s="417" t="s">
        <v>33</v>
      </c>
      <c r="B295" s="425">
        <v>0</v>
      </c>
      <c r="C295" s="426">
        <v>3.6999999999999998E-2</v>
      </c>
      <c r="D295" s="426">
        <v>0.121</v>
      </c>
      <c r="E295" s="426">
        <v>0.32800000000000001</v>
      </c>
      <c r="F295" s="426">
        <v>1.2989999999999999</v>
      </c>
      <c r="G295" s="426">
        <v>1.5449999999999999</v>
      </c>
      <c r="H295" s="426">
        <v>1.7969999999999999</v>
      </c>
      <c r="I295" s="426">
        <v>1.998</v>
      </c>
      <c r="J295" s="426">
        <v>2.2080000000000002</v>
      </c>
      <c r="K295" s="426">
        <v>2.4620000000000002</v>
      </c>
      <c r="L295" s="426">
        <v>2.782</v>
      </c>
      <c r="M295" s="426">
        <v>3.0859999999999999</v>
      </c>
      <c r="N295" s="426">
        <v>3.2130000000000001</v>
      </c>
      <c r="O295" s="426">
        <v>3.258</v>
      </c>
      <c r="P295" s="426">
        <v>3.3279999999999998</v>
      </c>
      <c r="Q295" s="426">
        <v>3.383</v>
      </c>
      <c r="R295" s="426">
        <v>3.4279999999999999</v>
      </c>
      <c r="S295" s="426">
        <v>3.5</v>
      </c>
      <c r="T295" s="426">
        <v>3.5</v>
      </c>
      <c r="U295" s="426">
        <v>3.5</v>
      </c>
      <c r="V295" s="426">
        <v>3.5</v>
      </c>
      <c r="W295" s="426">
        <v>3.5</v>
      </c>
      <c r="X295" s="426">
        <v>3.5</v>
      </c>
      <c r="Y295" s="437">
        <v>1000</v>
      </c>
    </row>
    <row r="296" spans="1:25" x14ac:dyDescent="0.2">
      <c r="A296" s="434" t="s">
        <v>34</v>
      </c>
      <c r="B296" s="427">
        <v>0</v>
      </c>
      <c r="C296" s="428">
        <v>1474.12</v>
      </c>
      <c r="D296" s="428">
        <v>1436.5</v>
      </c>
      <c r="E296" s="428">
        <v>1523.49</v>
      </c>
      <c r="F296" s="428">
        <v>1775.06</v>
      </c>
      <c r="G296" s="428">
        <v>1807.97</v>
      </c>
      <c r="H296" s="428">
        <v>1807.97</v>
      </c>
      <c r="I296" s="428">
        <v>1786.81</v>
      </c>
      <c r="J296" s="428">
        <v>1737.44</v>
      </c>
      <c r="K296" s="428">
        <v>1572.86</v>
      </c>
      <c r="L296" s="428">
        <v>1415.34</v>
      </c>
      <c r="M296" s="428">
        <v>1309.55</v>
      </c>
      <c r="N296" s="428">
        <v>1290.74</v>
      </c>
      <c r="O296" s="428">
        <v>1309.55</v>
      </c>
      <c r="P296" s="428">
        <v>679.45899999999995</v>
      </c>
      <c r="Q296" s="428">
        <v>173.97900000000001</v>
      </c>
      <c r="R296" s="428">
        <v>68.180999999999997</v>
      </c>
      <c r="S296" s="428">
        <v>0</v>
      </c>
      <c r="T296" s="428">
        <v>0</v>
      </c>
      <c r="U296" s="428">
        <v>0</v>
      </c>
      <c r="V296" s="428">
        <v>0</v>
      </c>
      <c r="W296" s="428">
        <v>0</v>
      </c>
      <c r="X296" s="428">
        <v>0</v>
      </c>
      <c r="Y296" s="438">
        <v>0</v>
      </c>
    </row>
    <row r="297" spans="1:25" ht="13.5" thickBot="1" x14ac:dyDescent="0.25">
      <c r="A297" s="435" t="s">
        <v>117</v>
      </c>
      <c r="B297" s="429">
        <f t="shared" ref="B297:X297" si="98">(C296+B296)*(C295-B295)/2</f>
        <v>27.271219999999996</v>
      </c>
      <c r="C297" s="430">
        <f t="shared" si="98"/>
        <v>122.24603999999998</v>
      </c>
      <c r="D297" s="430">
        <f t="shared" si="98"/>
        <v>306.35896500000001</v>
      </c>
      <c r="E297" s="430">
        <f t="shared" si="98"/>
        <v>1601.446025</v>
      </c>
      <c r="F297" s="430">
        <f t="shared" si="98"/>
        <v>440.71268999999995</v>
      </c>
      <c r="G297" s="430">
        <f t="shared" si="98"/>
        <v>455.60844000000003</v>
      </c>
      <c r="H297" s="430">
        <f t="shared" si="98"/>
        <v>361.27539000000007</v>
      </c>
      <c r="I297" s="430">
        <f t="shared" si="98"/>
        <v>370.04625000000033</v>
      </c>
      <c r="J297" s="430">
        <f t="shared" si="98"/>
        <v>420.40810000000005</v>
      </c>
      <c r="K297" s="430">
        <f t="shared" si="98"/>
        <v>478.11199999999974</v>
      </c>
      <c r="L297" s="430">
        <f t="shared" si="98"/>
        <v>414.18327999999974</v>
      </c>
      <c r="M297" s="430">
        <f t="shared" si="98"/>
        <v>165.11841500000028</v>
      </c>
      <c r="N297" s="430">
        <f t="shared" si="98"/>
        <v>58.506524999999904</v>
      </c>
      <c r="O297" s="430">
        <f t="shared" si="98"/>
        <v>69.615314999999839</v>
      </c>
      <c r="P297" s="430">
        <f t="shared" si="98"/>
        <v>23.469545000000068</v>
      </c>
      <c r="Q297" s="430">
        <f t="shared" si="98"/>
        <v>5.4485999999999919</v>
      </c>
      <c r="R297" s="430">
        <f t="shared" si="98"/>
        <v>2.4545160000000021</v>
      </c>
      <c r="S297" s="430">
        <f t="shared" si="98"/>
        <v>0</v>
      </c>
      <c r="T297" s="430">
        <f t="shared" si="98"/>
        <v>0</v>
      </c>
      <c r="U297" s="430">
        <f t="shared" si="98"/>
        <v>0</v>
      </c>
      <c r="V297" s="430">
        <f t="shared" si="98"/>
        <v>0</v>
      </c>
      <c r="W297" s="430">
        <f t="shared" si="98"/>
        <v>0</v>
      </c>
      <c r="X297" s="430">
        <f t="shared" si="98"/>
        <v>0</v>
      </c>
      <c r="Y297" s="424"/>
    </row>
    <row r="298" spans="1:25" ht="13.5" thickBot="1" x14ac:dyDescent="0.25">
      <c r="A298" s="17"/>
      <c r="L298" s="17"/>
      <c r="M298" s="17"/>
      <c r="N298" s="17"/>
      <c r="O298" s="17"/>
      <c r="P298" s="17"/>
      <c r="Q298" s="17"/>
      <c r="R298" s="17"/>
      <c r="S298" s="17"/>
      <c r="T298" s="17"/>
      <c r="U298" s="17"/>
      <c r="V298" s="17"/>
      <c r="W298" s="17"/>
      <c r="X298" s="17"/>
      <c r="Y298" s="17"/>
    </row>
    <row r="299" spans="1:25" ht="13.5" thickBot="1" x14ac:dyDescent="0.25">
      <c r="A299" s="416" t="s">
        <v>320</v>
      </c>
      <c r="B299" s="414">
        <f>ROW(A299)</f>
        <v>299</v>
      </c>
      <c r="C299" s="418" t="s">
        <v>116</v>
      </c>
      <c r="D299" s="408">
        <f>SUM(B302:Y302)</f>
        <v>7412.4371409999985</v>
      </c>
      <c r="E299" s="418" t="s">
        <v>115</v>
      </c>
      <c r="F299" s="409">
        <f>D299/g/J299</f>
        <v>223.28608637999045</v>
      </c>
      <c r="G299" s="418" t="s">
        <v>57</v>
      </c>
      <c r="H299" s="86">
        <v>6.25</v>
      </c>
      <c r="I299" s="418" t="s">
        <v>272</v>
      </c>
      <c r="J299" s="410">
        <f>H299-L299</f>
        <v>3.3839999999999999</v>
      </c>
      <c r="K299" s="418" t="s">
        <v>273</v>
      </c>
      <c r="L299" s="86">
        <v>2.8660000000000001</v>
      </c>
      <c r="M299" s="418" t="s">
        <v>58</v>
      </c>
      <c r="N299" s="87">
        <v>290</v>
      </c>
      <c r="O299" s="418" t="s">
        <v>60</v>
      </c>
      <c r="P299" s="87">
        <v>290</v>
      </c>
      <c r="Q299" s="418" t="s">
        <v>61</v>
      </c>
      <c r="R299" s="87">
        <v>579</v>
      </c>
      <c r="S299" s="418" t="s">
        <v>62</v>
      </c>
      <c r="T299" s="87">
        <v>98</v>
      </c>
      <c r="U299" s="418" t="s">
        <v>55</v>
      </c>
      <c r="V299" s="88" t="s">
        <v>119</v>
      </c>
      <c r="W299" s="17"/>
      <c r="X299" s="17"/>
      <c r="Y299" s="17"/>
    </row>
    <row r="300" spans="1:25" x14ac:dyDescent="0.2">
      <c r="A300" s="417" t="s">
        <v>33</v>
      </c>
      <c r="B300" s="425">
        <v>0</v>
      </c>
      <c r="C300" s="426">
        <v>1.7000000000000001E-2</v>
      </c>
      <c r="D300" s="426">
        <v>5.1999999999999998E-2</v>
      </c>
      <c r="E300" s="426">
        <v>8.7999999999999995E-2</v>
      </c>
      <c r="F300" s="426">
        <v>0.108</v>
      </c>
      <c r="G300" s="426">
        <v>0.127</v>
      </c>
      <c r="H300" s="426">
        <v>0.17399999999999999</v>
      </c>
      <c r="I300" s="426">
        <v>0.25700000000000001</v>
      </c>
      <c r="J300" s="426">
        <v>0.40300000000000002</v>
      </c>
      <c r="K300" s="426">
        <v>0.76200000000000001</v>
      </c>
      <c r="L300" s="426">
        <v>0.97699999999999998</v>
      </c>
      <c r="M300" s="426">
        <v>1.341</v>
      </c>
      <c r="N300" s="426">
        <v>1.5009999999999999</v>
      </c>
      <c r="O300" s="426">
        <v>1.661</v>
      </c>
      <c r="P300" s="426">
        <v>1.96</v>
      </c>
      <c r="Q300" s="426">
        <v>2.4039999999999999</v>
      </c>
      <c r="R300" s="426">
        <v>2.641</v>
      </c>
      <c r="S300" s="426">
        <v>2.7160000000000002</v>
      </c>
      <c r="T300" s="426">
        <v>2.8210000000000002</v>
      </c>
      <c r="U300" s="426">
        <v>2.8919999999999999</v>
      </c>
      <c r="V300" s="426">
        <v>2.92</v>
      </c>
      <c r="W300" s="426">
        <v>2.97</v>
      </c>
      <c r="X300" s="426">
        <v>3</v>
      </c>
      <c r="Y300" s="437">
        <v>1000</v>
      </c>
    </row>
    <row r="301" spans="1:25" x14ac:dyDescent="0.2">
      <c r="A301" s="434" t="s">
        <v>34</v>
      </c>
      <c r="B301" s="427">
        <v>0</v>
      </c>
      <c r="C301" s="428">
        <v>329.84699999999998</v>
      </c>
      <c r="D301" s="428">
        <v>1003.68</v>
      </c>
      <c r="E301" s="428">
        <v>2346.62</v>
      </c>
      <c r="F301" s="428">
        <v>2549.2399999999998</v>
      </c>
      <c r="G301" s="428">
        <v>2605.79</v>
      </c>
      <c r="H301" s="428">
        <v>2520.9699999999998</v>
      </c>
      <c r="I301" s="428">
        <v>2516.2600000000002</v>
      </c>
      <c r="J301" s="428">
        <v>2596.37</v>
      </c>
      <c r="K301" s="428">
        <v>2808.41</v>
      </c>
      <c r="L301" s="428">
        <v>2954.49</v>
      </c>
      <c r="M301" s="428">
        <v>2959.2</v>
      </c>
      <c r="N301" s="428">
        <v>2907.36</v>
      </c>
      <c r="O301" s="428">
        <v>2869.67</v>
      </c>
      <c r="P301" s="428">
        <v>2695.32</v>
      </c>
      <c r="Q301" s="428">
        <v>2351.34</v>
      </c>
      <c r="R301" s="428">
        <v>2228.8200000000002</v>
      </c>
      <c r="S301" s="428">
        <v>2007.35</v>
      </c>
      <c r="T301" s="428">
        <v>1427.77</v>
      </c>
      <c r="U301" s="428">
        <v>504.19400000000002</v>
      </c>
      <c r="V301" s="428">
        <v>334.55900000000003</v>
      </c>
      <c r="W301" s="428">
        <v>122.515</v>
      </c>
      <c r="X301" s="428">
        <v>0</v>
      </c>
      <c r="Y301" s="438">
        <v>0</v>
      </c>
    </row>
    <row r="302" spans="1:25" ht="13.5" thickBot="1" x14ac:dyDescent="0.25">
      <c r="A302" s="435" t="s">
        <v>117</v>
      </c>
      <c r="B302" s="429">
        <f t="shared" ref="B302:X302" si="99">(C301+B301)*(C300-B300)/2</f>
        <v>2.8036995</v>
      </c>
      <c r="C302" s="430">
        <f t="shared" si="99"/>
        <v>23.336722499999997</v>
      </c>
      <c r="D302" s="430">
        <f t="shared" si="99"/>
        <v>60.305399999999992</v>
      </c>
      <c r="E302" s="430">
        <f t="shared" si="99"/>
        <v>48.958600000000004</v>
      </c>
      <c r="F302" s="430">
        <f t="shared" si="99"/>
        <v>48.972785000000002</v>
      </c>
      <c r="G302" s="430">
        <f t="shared" si="99"/>
        <v>120.47885999999997</v>
      </c>
      <c r="H302" s="430">
        <f t="shared" si="99"/>
        <v>209.04504500000002</v>
      </c>
      <c r="I302" s="430">
        <f t="shared" si="99"/>
        <v>373.22199000000006</v>
      </c>
      <c r="J302" s="430">
        <f t="shared" si="99"/>
        <v>970.15800999999988</v>
      </c>
      <c r="K302" s="430">
        <f t="shared" si="99"/>
        <v>619.51174999999989</v>
      </c>
      <c r="L302" s="430">
        <f t="shared" si="99"/>
        <v>1076.2915799999998</v>
      </c>
      <c r="M302" s="430">
        <f t="shared" si="99"/>
        <v>469.3247999999997</v>
      </c>
      <c r="N302" s="430">
        <f t="shared" si="99"/>
        <v>462.16240000000045</v>
      </c>
      <c r="O302" s="430">
        <f t="shared" si="99"/>
        <v>831.96600499999977</v>
      </c>
      <c r="P302" s="430">
        <f t="shared" si="99"/>
        <v>1120.3585199999998</v>
      </c>
      <c r="Q302" s="430">
        <f t="shared" si="99"/>
        <v>542.74896000000024</v>
      </c>
      <c r="R302" s="430">
        <f t="shared" si="99"/>
        <v>158.85637500000038</v>
      </c>
      <c r="S302" s="430">
        <f t="shared" si="99"/>
        <v>180.34379999999996</v>
      </c>
      <c r="T302" s="430">
        <f t="shared" si="99"/>
        <v>68.584721999999744</v>
      </c>
      <c r="U302" s="430">
        <f t="shared" si="99"/>
        <v>11.742542000000011</v>
      </c>
      <c r="V302" s="430">
        <f t="shared" si="99"/>
        <v>11.42685000000006</v>
      </c>
      <c r="W302" s="430">
        <f t="shared" si="99"/>
        <v>1.8377249999999881</v>
      </c>
      <c r="X302" s="430">
        <f t="shared" si="99"/>
        <v>0</v>
      </c>
      <c r="Y302" s="424"/>
    </row>
    <row r="303" spans="1:25" ht="13.5" thickBot="1" x14ac:dyDescent="0.25">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row>
    <row r="304" spans="1:25" ht="13.5" thickBot="1" x14ac:dyDescent="0.25">
      <c r="A304" s="416" t="s">
        <v>554</v>
      </c>
      <c r="B304" s="414">
        <f>ROW(A304)</f>
        <v>304</v>
      </c>
      <c r="C304" s="418" t="s">
        <v>116</v>
      </c>
      <c r="D304" s="408">
        <f>SUM(B307:Y307)</f>
        <v>17734.977350500001</v>
      </c>
      <c r="E304" s="418" t="s">
        <v>115</v>
      </c>
      <c r="F304" s="409">
        <f>D304/g/J304</f>
        <v>192.73420306179892</v>
      </c>
      <c r="G304" s="418" t="s">
        <v>57</v>
      </c>
      <c r="H304" s="86">
        <v>14.747999999999999</v>
      </c>
      <c r="I304" s="418" t="s">
        <v>272</v>
      </c>
      <c r="J304" s="410">
        <f>H304-L304</f>
        <v>9.379999999999999</v>
      </c>
      <c r="K304" s="418" t="s">
        <v>273</v>
      </c>
      <c r="L304" s="86">
        <v>5.3680000000000003</v>
      </c>
      <c r="M304" s="418" t="s">
        <v>58</v>
      </c>
      <c r="N304" s="87">
        <v>500</v>
      </c>
      <c r="O304" s="418" t="s">
        <v>60</v>
      </c>
      <c r="P304" s="87">
        <v>500</v>
      </c>
      <c r="Q304" s="418" t="s">
        <v>61</v>
      </c>
      <c r="R304" s="87">
        <v>1046</v>
      </c>
      <c r="S304" s="418" t="s">
        <v>62</v>
      </c>
      <c r="T304" s="87">
        <v>98</v>
      </c>
      <c r="U304" s="418" t="s">
        <v>55</v>
      </c>
      <c r="V304" s="88" t="s">
        <v>119</v>
      </c>
      <c r="W304" s="17"/>
      <c r="X304" s="17"/>
      <c r="Y304" s="17"/>
    </row>
    <row r="305" spans="1:25" x14ac:dyDescent="0.2">
      <c r="A305" s="417" t="s">
        <v>33</v>
      </c>
      <c r="B305" s="425">
        <v>0</v>
      </c>
      <c r="C305" s="426">
        <v>3.0000000000000001E-3</v>
      </c>
      <c r="D305" s="426">
        <v>0.05</v>
      </c>
      <c r="E305" s="426">
        <v>7.8E-2</v>
      </c>
      <c r="F305" s="426">
        <v>0.121</v>
      </c>
      <c r="G305" s="426">
        <v>0.65200000000000002</v>
      </c>
      <c r="H305" s="426">
        <v>1.123</v>
      </c>
      <c r="I305" s="426">
        <v>1.655</v>
      </c>
      <c r="J305" s="426">
        <v>2.3530000000000002</v>
      </c>
      <c r="K305" s="426">
        <v>3.0350000000000001</v>
      </c>
      <c r="L305" s="426">
        <v>3.7</v>
      </c>
      <c r="M305" s="426">
        <v>3.7330000000000001</v>
      </c>
      <c r="N305" s="426">
        <v>3.887</v>
      </c>
      <c r="O305" s="426">
        <v>4.0359999999999996</v>
      </c>
      <c r="P305" s="426">
        <v>4.1970000000000001</v>
      </c>
      <c r="Q305" s="426">
        <v>4.2619999999999996</v>
      </c>
      <c r="R305" s="426">
        <v>4.3</v>
      </c>
      <c r="S305" s="426">
        <v>5</v>
      </c>
      <c r="T305" s="426">
        <v>5</v>
      </c>
      <c r="U305" s="426">
        <v>5</v>
      </c>
      <c r="V305" s="426">
        <v>5</v>
      </c>
      <c r="W305" s="426">
        <v>5</v>
      </c>
      <c r="X305" s="426">
        <v>5</v>
      </c>
      <c r="Y305" s="437">
        <v>1000</v>
      </c>
    </row>
    <row r="306" spans="1:25" x14ac:dyDescent="0.2">
      <c r="A306" s="434" t="s">
        <v>34</v>
      </c>
      <c r="B306" s="427">
        <v>0</v>
      </c>
      <c r="C306" s="428">
        <v>203.87700000000001</v>
      </c>
      <c r="D306" s="428">
        <v>2362.8789999999999</v>
      </c>
      <c r="E306" s="428">
        <v>3946.8449999999998</v>
      </c>
      <c r="F306" s="428">
        <v>4281.4120000000003</v>
      </c>
      <c r="G306" s="428">
        <v>4370.2809999999999</v>
      </c>
      <c r="H306" s="428">
        <v>4453.9229999999998</v>
      </c>
      <c r="I306" s="428">
        <v>4772.8069999999998</v>
      </c>
      <c r="J306" s="428">
        <v>4621.2060000000001</v>
      </c>
      <c r="K306" s="428">
        <v>4511.4269999999997</v>
      </c>
      <c r="L306" s="428">
        <v>4375.509</v>
      </c>
      <c r="M306" s="428">
        <v>4182.0870000000004</v>
      </c>
      <c r="N306" s="428">
        <v>2969.2820000000002</v>
      </c>
      <c r="O306" s="428">
        <v>1589.193</v>
      </c>
      <c r="P306" s="428">
        <v>533.21600000000001</v>
      </c>
      <c r="Q306" s="428">
        <v>240.47</v>
      </c>
      <c r="R306" s="428">
        <v>0</v>
      </c>
      <c r="S306" s="428">
        <v>0</v>
      </c>
      <c r="T306" s="428">
        <v>0</v>
      </c>
      <c r="U306" s="428">
        <v>0</v>
      </c>
      <c r="V306" s="428">
        <v>0</v>
      </c>
      <c r="W306" s="428">
        <v>0</v>
      </c>
      <c r="X306" s="428">
        <v>0</v>
      </c>
      <c r="Y306" s="438">
        <v>0</v>
      </c>
    </row>
    <row r="307" spans="1:25" ht="13.5" thickBot="1" x14ac:dyDescent="0.25">
      <c r="A307" s="435" t="s">
        <v>117</v>
      </c>
      <c r="B307" s="429">
        <f t="shared" ref="B307" si="100">(C306+B306)*(C305-B305)/2</f>
        <v>0.30581550000000002</v>
      </c>
      <c r="C307" s="430">
        <f t="shared" ref="C307" si="101">(D306+C306)*(D305-C305)/2</f>
        <v>60.318765999999997</v>
      </c>
      <c r="D307" s="430">
        <f t="shared" ref="D307" si="102">(E306+D306)*(E305-D305)/2</f>
        <v>88.336135999999996</v>
      </c>
      <c r="E307" s="430">
        <f t="shared" ref="E307" si="103">(F306+E306)*(F305-E305)/2</f>
        <v>176.90752549999999</v>
      </c>
      <c r="F307" s="430">
        <f t="shared" ref="F307" si="104">(G306+F306)*(G305-F305)/2</f>
        <v>2297.0244914999998</v>
      </c>
      <c r="G307" s="430">
        <f t="shared" ref="G307" si="105">(H306+G306)*(H305-G305)/2</f>
        <v>2078.100042</v>
      </c>
      <c r="H307" s="430">
        <f t="shared" ref="H307" si="106">(I306+H306)*(I305-H305)/2</f>
        <v>2454.3101799999999</v>
      </c>
      <c r="I307" s="430">
        <f t="shared" ref="I307" si="107">(J306+I306)*(J305-I305)/2</f>
        <v>3278.5105370000006</v>
      </c>
      <c r="J307" s="430">
        <f t="shared" ref="J307" si="108">(K306+J306)*(K305-J305)/2</f>
        <v>3114.2278529999999</v>
      </c>
      <c r="K307" s="430">
        <f t="shared" ref="K307" si="109">(L306+K306)*(L305-K305)/2</f>
        <v>2954.9062199999998</v>
      </c>
      <c r="L307" s="430">
        <f t="shared" ref="L307" si="110">(M306+L306)*(M305-L305)/2</f>
        <v>141.20033399999969</v>
      </c>
      <c r="M307" s="430">
        <f t="shared" ref="M307" si="111">(N306+M306)*(N305-M305)/2</f>
        <v>550.65541299999973</v>
      </c>
      <c r="N307" s="430">
        <f t="shared" ref="N307" si="112">(O306+N306)*(O305-N305)/2</f>
        <v>339.60638749999907</v>
      </c>
      <c r="O307" s="430">
        <f t="shared" ref="O307" si="113">(P306+O306)*(P305-O305)/2</f>
        <v>170.85392450000052</v>
      </c>
      <c r="P307" s="430">
        <f t="shared" ref="P307" si="114">(Q306+P306)*(Q305-P305)/2</f>
        <v>25.14479499999981</v>
      </c>
      <c r="Q307" s="430">
        <f t="shared" ref="Q307" si="115">(R306+Q306)*(R305-Q305)/2</f>
        <v>4.568930000000031</v>
      </c>
      <c r="R307" s="430">
        <f t="shared" ref="R307" si="116">(S306+R306)*(S305-R305)/2</f>
        <v>0</v>
      </c>
      <c r="S307" s="430">
        <f t="shared" ref="S307" si="117">(T306+S306)*(T305-S305)/2</f>
        <v>0</v>
      </c>
      <c r="T307" s="430">
        <f t="shared" ref="T307" si="118">(U306+T306)*(U305-T305)/2</f>
        <v>0</v>
      </c>
      <c r="U307" s="430">
        <f t="shared" ref="U307" si="119">(V306+U306)*(V305-U305)/2</f>
        <v>0</v>
      </c>
      <c r="V307" s="430">
        <f t="shared" ref="V307" si="120">(W306+V306)*(W305-V305)/2</f>
        <v>0</v>
      </c>
      <c r="W307" s="430">
        <f t="shared" ref="W307" si="121">(X306+W306)*(X305-W305)/2</f>
        <v>0</v>
      </c>
      <c r="X307" s="430">
        <f t="shared" ref="X307" si="122">(Y306+X306)*(Y305-X305)/2</f>
        <v>0</v>
      </c>
      <c r="Y307" s="424"/>
    </row>
    <row r="308" spans="1:25" ht="13.5" thickBot="1" x14ac:dyDescent="0.25">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row>
    <row r="309" spans="1:25" ht="13.5" thickBot="1" x14ac:dyDescent="0.25">
      <c r="A309" s="416" t="s">
        <v>45</v>
      </c>
      <c r="B309" s="414">
        <f>ROW(A309)</f>
        <v>309</v>
      </c>
      <c r="C309" s="418" t="s">
        <v>116</v>
      </c>
      <c r="D309" s="408">
        <f>SUM(B312:Y312)</f>
        <v>1E-3</v>
      </c>
      <c r="E309" s="418" t="s">
        <v>115</v>
      </c>
      <c r="F309" s="409">
        <f>D309/g/J309</f>
        <v>1.019367991845056</v>
      </c>
      <c r="G309" s="418" t="s">
        <v>57</v>
      </c>
      <c r="H309" s="86">
        <v>1E-4</v>
      </c>
      <c r="I309" s="418" t="s">
        <v>272</v>
      </c>
      <c r="J309" s="410">
        <f>H309-L309</f>
        <v>1E-4</v>
      </c>
      <c r="K309" s="418" t="s">
        <v>273</v>
      </c>
      <c r="L309" s="86">
        <v>0</v>
      </c>
      <c r="M309" s="418" t="s">
        <v>58</v>
      </c>
      <c r="N309" s="87">
        <v>0</v>
      </c>
      <c r="O309" s="418" t="s">
        <v>60</v>
      </c>
      <c r="P309" s="87">
        <v>0</v>
      </c>
      <c r="Q309" s="418" t="s">
        <v>61</v>
      </c>
      <c r="R309" s="87">
        <v>0</v>
      </c>
      <c r="S309" s="418" t="s">
        <v>62</v>
      </c>
      <c r="T309" s="87">
        <v>0</v>
      </c>
      <c r="U309" s="418" t="s">
        <v>55</v>
      </c>
      <c r="V309" s="88" t="s">
        <v>119</v>
      </c>
      <c r="W309" s="17"/>
      <c r="X309" s="17"/>
      <c r="Y309" s="17"/>
    </row>
    <row r="310" spans="1:25" x14ac:dyDescent="0.2">
      <c r="A310" s="417" t="s">
        <v>33</v>
      </c>
      <c r="B310" s="425">
        <v>0</v>
      </c>
      <c r="C310" s="426">
        <v>0.1</v>
      </c>
      <c r="D310" s="426">
        <v>0.2</v>
      </c>
      <c r="E310" s="426">
        <v>1</v>
      </c>
      <c r="F310" s="426">
        <v>1</v>
      </c>
      <c r="G310" s="426">
        <v>1</v>
      </c>
      <c r="H310" s="426">
        <v>1</v>
      </c>
      <c r="I310" s="426">
        <v>1</v>
      </c>
      <c r="J310" s="426">
        <v>1</v>
      </c>
      <c r="K310" s="426">
        <v>1</v>
      </c>
      <c r="L310" s="426">
        <v>1</v>
      </c>
      <c r="M310" s="426">
        <v>1</v>
      </c>
      <c r="N310" s="426">
        <v>1</v>
      </c>
      <c r="O310" s="426">
        <v>1</v>
      </c>
      <c r="P310" s="426">
        <v>1</v>
      </c>
      <c r="Q310" s="426">
        <v>1</v>
      </c>
      <c r="R310" s="426">
        <v>1</v>
      </c>
      <c r="S310" s="426">
        <v>1</v>
      </c>
      <c r="T310" s="426">
        <v>1</v>
      </c>
      <c r="U310" s="426">
        <v>1</v>
      </c>
      <c r="V310" s="426">
        <v>1</v>
      </c>
      <c r="W310" s="426">
        <v>1</v>
      </c>
      <c r="X310" s="426">
        <v>1</v>
      </c>
      <c r="Y310" s="437">
        <v>1000</v>
      </c>
    </row>
    <row r="311" spans="1:25" x14ac:dyDescent="0.2">
      <c r="A311" s="434" t="s">
        <v>34</v>
      </c>
      <c r="B311" s="427">
        <v>0</v>
      </c>
      <c r="C311" s="428">
        <v>0.01</v>
      </c>
      <c r="D311" s="428">
        <v>0</v>
      </c>
      <c r="E311" s="428">
        <v>0</v>
      </c>
      <c r="F311" s="428">
        <v>0</v>
      </c>
      <c r="G311" s="428">
        <v>0</v>
      </c>
      <c r="H311" s="428">
        <v>0</v>
      </c>
      <c r="I311" s="428">
        <v>0</v>
      </c>
      <c r="J311" s="428">
        <v>0</v>
      </c>
      <c r="K311" s="428">
        <v>0</v>
      </c>
      <c r="L311" s="428">
        <v>0</v>
      </c>
      <c r="M311" s="428">
        <v>0</v>
      </c>
      <c r="N311" s="428">
        <v>0</v>
      </c>
      <c r="O311" s="428">
        <v>0</v>
      </c>
      <c r="P311" s="428">
        <v>0</v>
      </c>
      <c r="Q311" s="428">
        <v>0</v>
      </c>
      <c r="R311" s="428">
        <v>0</v>
      </c>
      <c r="S311" s="428">
        <v>0</v>
      </c>
      <c r="T311" s="428">
        <v>0</v>
      </c>
      <c r="U311" s="428">
        <v>0</v>
      </c>
      <c r="V311" s="428">
        <v>0</v>
      </c>
      <c r="W311" s="428">
        <v>0</v>
      </c>
      <c r="X311" s="428">
        <v>0</v>
      </c>
      <c r="Y311" s="438">
        <v>0</v>
      </c>
    </row>
    <row r="312" spans="1:25" ht="13.5" thickBot="1" x14ac:dyDescent="0.25">
      <c r="A312" s="435" t="s">
        <v>117</v>
      </c>
      <c r="B312" s="429">
        <f t="shared" ref="B312:G312" si="123">(C311+B311)*(C310-B310)/2</f>
        <v>5.0000000000000001E-4</v>
      </c>
      <c r="C312" s="430">
        <f t="shared" si="123"/>
        <v>5.0000000000000001E-4</v>
      </c>
      <c r="D312" s="430">
        <f t="shared" si="123"/>
        <v>0</v>
      </c>
      <c r="E312" s="430">
        <f t="shared" si="123"/>
        <v>0</v>
      </c>
      <c r="F312" s="430">
        <f t="shared" si="123"/>
        <v>0</v>
      </c>
      <c r="G312" s="430">
        <f t="shared" si="123"/>
        <v>0</v>
      </c>
      <c r="H312" s="430">
        <f t="shared" ref="H312:V312" si="124">(I311+H311)*(I310-H310)/2</f>
        <v>0</v>
      </c>
      <c r="I312" s="430">
        <f t="shared" si="124"/>
        <v>0</v>
      </c>
      <c r="J312" s="430">
        <f>(K311+J311)*(K310-J310)/2</f>
        <v>0</v>
      </c>
      <c r="K312" s="430">
        <f t="shared" si="124"/>
        <v>0</v>
      </c>
      <c r="L312" s="430">
        <f t="shared" si="124"/>
        <v>0</v>
      </c>
      <c r="M312" s="430">
        <f t="shared" si="124"/>
        <v>0</v>
      </c>
      <c r="N312" s="430">
        <f t="shared" si="124"/>
        <v>0</v>
      </c>
      <c r="O312" s="430">
        <f t="shared" si="124"/>
        <v>0</v>
      </c>
      <c r="P312" s="430">
        <f t="shared" si="124"/>
        <v>0</v>
      </c>
      <c r="Q312" s="430">
        <f t="shared" si="124"/>
        <v>0</v>
      </c>
      <c r="R312" s="430">
        <f t="shared" si="124"/>
        <v>0</v>
      </c>
      <c r="S312" s="430">
        <f>(T311+S311)*(T310-S310)/2</f>
        <v>0</v>
      </c>
      <c r="T312" s="430">
        <f t="shared" si="124"/>
        <v>0</v>
      </c>
      <c r="U312" s="430">
        <f t="shared" si="124"/>
        <v>0</v>
      </c>
      <c r="V312" s="430">
        <f t="shared" si="124"/>
        <v>0</v>
      </c>
      <c r="W312" s="430">
        <f>(X311+W311)*(X310-W310)/2</f>
        <v>0</v>
      </c>
      <c r="X312" s="430">
        <f>(Y311+X311)*(Y310-X310)/2</f>
        <v>0</v>
      </c>
      <c r="Y312" s="424"/>
    </row>
    <row r="314" spans="1:25" x14ac:dyDescent="0.2">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row>
    <row r="316" spans="1:25" x14ac:dyDescent="0.2">
      <c r="A316" s="458" t="str">
        <f>IF(Lang="Français","Liste des propu affichés :","Motor list (shown):")</f>
        <v>Liste des propu affichés :</v>
      </c>
      <c r="C316" s="851" t="s">
        <v>277</v>
      </c>
      <c r="D316" s="852"/>
      <c r="F316" s="851" t="s">
        <v>182</v>
      </c>
      <c r="G316" s="852"/>
      <c r="H316" s="554"/>
      <c r="I316" s="859" t="s">
        <v>399</v>
      </c>
      <c r="J316" s="852"/>
      <c r="K316" s="554"/>
      <c r="L316" s="851" t="s">
        <v>183</v>
      </c>
      <c r="M316" s="852"/>
      <c r="O316" s="859" t="s">
        <v>398</v>
      </c>
      <c r="P316" s="852"/>
      <c r="R316" s="851" t="s">
        <v>119</v>
      </c>
      <c r="S316" s="852"/>
    </row>
    <row r="317" spans="1:25" x14ac:dyDescent="0.2">
      <c r="A317" s="459" t="str">
        <f t="array" ref="A317:A346">IF(RIGHT(Type_fusee,1)=".",Liste_fusex, IF(LEFT(Type_fusee,4)="Mini",Liste_minif, IF(LEFT(Type_fusee,5)="Micro",Liste_µfu, IF(RIGHT(Type_fusee,1)=" ",Liste_H2O, IF(LEFT(Type_fusee,1)="R",Liste_RC, IF(LEFT(Type_fusee,1)=",",Liste_minifT))))))</f>
        <v>Barasinga (Pro54-5G C)</v>
      </c>
      <c r="C317" s="853" t="str">
        <f>A26</f>
        <v>H2O 1.5L 300g 6bar</v>
      </c>
      <c r="D317" s="854"/>
      <c r="F317" s="853" t="str">
        <f>A67</f>
        <v>µ-propu A8-3</v>
      </c>
      <c r="G317" s="854"/>
      <c r="H317" s="557"/>
      <c r="I317" s="855" t="str">
        <f>A148</f>
        <v>p29-1G 56F31</v>
      </c>
      <c r="J317" s="856"/>
      <c r="K317" s="557"/>
      <c r="L317" s="855" t="str">
        <f>A148</f>
        <v>p29-1G 56F31</v>
      </c>
      <c r="M317" s="856"/>
      <c r="O317" s="853" t="str">
        <f>A108</f>
        <v>p24-1G 24E22</v>
      </c>
      <c r="P317" s="854"/>
      <c r="R317" s="853" t="str">
        <f>A279</f>
        <v>Barasinga (Pro54-5G C)</v>
      </c>
      <c r="S317" s="854"/>
    </row>
    <row r="318" spans="1:25" x14ac:dyDescent="0.2">
      <c r="A318" s="459" t="str">
        <v>Orignal (Pro75-3G C)</v>
      </c>
      <c r="C318" s="853" t="str">
        <f>A31</f>
        <v>H2O 1.5L 450g 6bar</v>
      </c>
      <c r="D318" s="854"/>
      <c r="F318" s="853" t="str">
        <f>A72</f>
        <v>µ-propu B4-4</v>
      </c>
      <c r="G318" s="854"/>
      <c r="H318" s="557"/>
      <c r="I318" s="855" t="str">
        <f>A153</f>
        <v>p29-1G 56F120</v>
      </c>
      <c r="J318" s="856"/>
      <c r="K318" s="557"/>
      <c r="L318" s="855" t="str">
        <f>A153</f>
        <v>p29-1G 56F120</v>
      </c>
      <c r="M318" s="856"/>
      <c r="O318" s="853" t="str">
        <f>A113</f>
        <v>p24-1G 25E75 (Rufina)</v>
      </c>
      <c r="P318" s="854"/>
      <c r="R318" s="853" t="str">
        <f>A289</f>
        <v>Orignal (Pro75-3G C)</v>
      </c>
      <c r="S318" s="854"/>
    </row>
    <row r="319" spans="1:25" x14ac:dyDescent="0.2">
      <c r="A319" s="459" t="str">
        <v xml:space="preserve"> </v>
      </c>
      <c r="C319" s="853" t="str">
        <f>A36</f>
        <v>H2O 1.5L 600g 6bar</v>
      </c>
      <c r="D319" s="854"/>
      <c r="F319" s="853" t="str">
        <f>A77</f>
        <v>µ-propu C6-3</v>
      </c>
      <c r="G319" s="854"/>
      <c r="H319" s="557"/>
      <c r="I319" s="855" t="str">
        <f>A158</f>
        <v>p29-1G 57F59</v>
      </c>
      <c r="J319" s="856"/>
      <c r="K319" s="557"/>
      <c r="L319" s="855" t="str">
        <f>A158</f>
        <v>p29-1G 57F59</v>
      </c>
      <c r="M319" s="856"/>
      <c r="O319" s="853" t="str">
        <f>A118</f>
        <v>p24-1G 26E31</v>
      </c>
      <c r="P319" s="854"/>
      <c r="R319" s="853" t="s">
        <v>184</v>
      </c>
      <c r="S319" s="854"/>
    </row>
    <row r="320" spans="1:25" x14ac:dyDescent="0.2">
      <c r="A320" s="459" t="str">
        <v xml:space="preserve"> </v>
      </c>
      <c r="C320" s="853" t="str">
        <f>A41</f>
        <v>H2O 1.5L 750g 6bar</v>
      </c>
      <c r="D320" s="854"/>
      <c r="F320" s="853" t="str">
        <f>A82</f>
        <v>µ-propu C6-3 x2</v>
      </c>
      <c r="G320" s="854"/>
      <c r="H320" s="557"/>
      <c r="I320" s="855" t="str">
        <f>A183</f>
        <v>p24-3G 74F85</v>
      </c>
      <c r="J320" s="856"/>
      <c r="K320" s="557"/>
      <c r="L320" s="855" t="str">
        <f>A228</f>
        <v>p29-2G 116G126</v>
      </c>
      <c r="M320" s="856"/>
      <c r="O320" s="853" t="str">
        <f>A123</f>
        <v>p24-2G 50E51</v>
      </c>
      <c r="P320" s="854"/>
      <c r="R320" s="853" t="s">
        <v>184</v>
      </c>
      <c r="S320" s="854"/>
    </row>
    <row r="321" spans="1:19" x14ac:dyDescent="0.2">
      <c r="A321" s="459" t="str">
        <v xml:space="preserve"> </v>
      </c>
      <c r="C321" s="853" t="str">
        <f>A46</f>
        <v>H2O 2.0L 400g 6bar</v>
      </c>
      <c r="D321" s="854"/>
      <c r="F321" s="853" t="str">
        <f>A87</f>
        <v>µ-propu C6-3 x3</v>
      </c>
      <c r="G321" s="854"/>
      <c r="H321" s="557"/>
      <c r="I321" s="855" t="str">
        <f>A188</f>
        <v>p24-3G 75F51</v>
      </c>
      <c r="J321" s="856"/>
      <c r="K321" s="557"/>
      <c r="L321" s="855" t="s">
        <v>184</v>
      </c>
      <c r="M321" s="856"/>
      <c r="O321" s="853" t="str">
        <f>A128</f>
        <v>p24-1G 53E70</v>
      </c>
      <c r="P321" s="854"/>
      <c r="R321" s="853" t="s">
        <v>184</v>
      </c>
      <c r="S321" s="854"/>
    </row>
    <row r="322" spans="1:19" x14ac:dyDescent="0.2">
      <c r="A322" s="459" t="str">
        <v xml:space="preserve"> </v>
      </c>
      <c r="C322" s="853" t="str">
        <f>A51</f>
        <v>H2O 2.0L 600g 6bar</v>
      </c>
      <c r="D322" s="854"/>
      <c r="F322" s="853" t="s">
        <v>184</v>
      </c>
      <c r="G322" s="854"/>
      <c r="H322" s="557"/>
      <c r="I322" s="855" t="s">
        <v>184</v>
      </c>
      <c r="J322" s="856"/>
      <c r="K322" s="557"/>
      <c r="L322" s="853" t="str">
        <f>A198</f>
        <v>Pandora (Pro24-6G BS)</v>
      </c>
      <c r="M322" s="854"/>
      <c r="O322" s="853" t="str">
        <f>A133</f>
        <v>p29-1G 41F36</v>
      </c>
      <c r="P322" s="854"/>
      <c r="R322" s="853" t="s">
        <v>184</v>
      </c>
      <c r="S322" s="854"/>
    </row>
    <row r="323" spans="1:19" x14ac:dyDescent="0.2">
      <c r="A323" s="459" t="str">
        <v xml:space="preserve"> </v>
      </c>
      <c r="C323" s="853" t="str">
        <f>A56</f>
        <v>H2O 2.0L 800g 6bar</v>
      </c>
      <c r="D323" s="854"/>
      <c r="F323" s="853" t="s">
        <v>184</v>
      </c>
      <c r="G323" s="854"/>
      <c r="H323" s="557"/>
      <c r="I323" s="855" t="s">
        <v>184</v>
      </c>
      <c r="J323" s="856"/>
      <c r="K323" s="557"/>
      <c r="L323" s="853" t="s">
        <v>184</v>
      </c>
      <c r="M323" s="854"/>
      <c r="O323" s="853" t="str">
        <f>A138</f>
        <v>p29-1G 51F36</v>
      </c>
      <c r="P323" s="854"/>
      <c r="R323" s="853" t="s">
        <v>184</v>
      </c>
      <c r="S323" s="854"/>
    </row>
    <row r="324" spans="1:19" x14ac:dyDescent="0.2">
      <c r="A324" s="459" t="str">
        <v xml:space="preserve"> </v>
      </c>
      <c r="C324" s="853" t="str">
        <f>A61</f>
        <v>H2O 2.0L 1000g 6bar</v>
      </c>
      <c r="D324" s="854"/>
      <c r="F324" s="853" t="s">
        <v>184</v>
      </c>
      <c r="G324" s="854"/>
      <c r="H324" s="557"/>
      <c r="I324" s="855" t="s">
        <v>184</v>
      </c>
      <c r="J324" s="856"/>
      <c r="K324" s="557"/>
      <c r="L324" s="853" t="str">
        <f>A92</f>
        <v>Klima D9-7</v>
      </c>
      <c r="M324" s="854"/>
      <c r="O324" s="853" t="str">
        <f>A143</f>
        <v>p29-1G 55F29</v>
      </c>
      <c r="P324" s="854"/>
      <c r="R324" s="853" t="s">
        <v>184</v>
      </c>
      <c r="S324" s="854"/>
    </row>
    <row r="325" spans="1:19" x14ac:dyDescent="0.2">
      <c r="A325" s="459" t="str">
        <v xml:space="preserve"> </v>
      </c>
      <c r="C325" s="853" t="s">
        <v>184</v>
      </c>
      <c r="D325" s="854"/>
      <c r="F325" s="853" t="s">
        <v>184</v>
      </c>
      <c r="G325" s="854"/>
      <c r="H325" s="557"/>
      <c r="I325" s="855" t="s">
        <v>184</v>
      </c>
      <c r="J325" s="856"/>
      <c r="K325" s="557"/>
      <c r="L325" s="853" t="str">
        <f>A97</f>
        <v>Klima D9-7 x2</v>
      </c>
      <c r="M325" s="854"/>
      <c r="O325" s="853" t="str">
        <f>A153</f>
        <v>p29-1G 56F120</v>
      </c>
      <c r="P325" s="854"/>
      <c r="R325" s="853" t="s">
        <v>184</v>
      </c>
      <c r="S325" s="854"/>
    </row>
    <row r="326" spans="1:19" x14ac:dyDescent="0.2">
      <c r="A326" s="459" t="str">
        <v xml:space="preserve"> </v>
      </c>
      <c r="C326" s="853" t="s">
        <v>184</v>
      </c>
      <c r="D326" s="854"/>
      <c r="F326" s="853" t="s">
        <v>184</v>
      </c>
      <c r="G326" s="854"/>
      <c r="H326" s="557"/>
      <c r="I326" s="855" t="s">
        <v>184</v>
      </c>
      <c r="J326" s="856"/>
      <c r="K326" s="557"/>
      <c r="L326" s="853" t="str">
        <f>A102</f>
        <v>Klima D9-7 x3</v>
      </c>
      <c r="M326" s="854"/>
      <c r="O326" s="853" t="str">
        <f>A158</f>
        <v>p29-1G 57F59</v>
      </c>
      <c r="P326" s="854"/>
      <c r="R326" s="853" t="s">
        <v>184</v>
      </c>
      <c r="S326" s="854"/>
    </row>
    <row r="327" spans="1:19" x14ac:dyDescent="0.2">
      <c r="A327" s="459" t="str">
        <v xml:space="preserve"> </v>
      </c>
      <c r="C327" s="853" t="s">
        <v>184</v>
      </c>
      <c r="D327" s="854"/>
      <c r="F327" s="853" t="s">
        <v>184</v>
      </c>
      <c r="G327" s="854"/>
      <c r="H327" s="557"/>
      <c r="I327" s="855" t="s">
        <v>184</v>
      </c>
      <c r="J327" s="856"/>
      <c r="K327" s="557"/>
      <c r="L327" s="853" t="s">
        <v>184</v>
      </c>
      <c r="M327" s="854"/>
      <c r="O327" s="853" t="str">
        <f>A163</f>
        <v>p24-3G 60F50</v>
      </c>
      <c r="P327" s="854"/>
      <c r="R327" s="853" t="s">
        <v>184</v>
      </c>
      <c r="S327" s="854"/>
    </row>
    <row r="328" spans="1:19" x14ac:dyDescent="0.2">
      <c r="A328" s="459" t="str">
        <v xml:space="preserve"> </v>
      </c>
      <c r="C328" s="853" t="s">
        <v>184</v>
      </c>
      <c r="D328" s="854"/>
      <c r="F328" s="853" t="s">
        <v>184</v>
      </c>
      <c r="G328" s="854"/>
      <c r="H328" s="557"/>
      <c r="I328" s="855" t="s">
        <v>184</v>
      </c>
      <c r="J328" s="856"/>
      <c r="K328" s="557"/>
      <c r="L328" s="853" t="s">
        <v>184</v>
      </c>
      <c r="M328" s="854"/>
      <c r="O328" s="853" t="str">
        <f>A168</f>
        <v>p24-3G 68F79</v>
      </c>
      <c r="P328" s="854"/>
      <c r="R328" s="853" t="s">
        <v>184</v>
      </c>
      <c r="S328" s="854"/>
    </row>
    <row r="329" spans="1:19" x14ac:dyDescent="0.2">
      <c r="A329" s="459" t="str">
        <v xml:space="preserve"> </v>
      </c>
      <c r="C329" s="853" t="s">
        <v>184</v>
      </c>
      <c r="D329" s="854"/>
      <c r="F329" s="853" t="s">
        <v>184</v>
      </c>
      <c r="G329" s="854"/>
      <c r="H329" s="557"/>
      <c r="I329" s="855" t="s">
        <v>184</v>
      </c>
      <c r="J329" s="856"/>
      <c r="K329" s="557"/>
      <c r="L329" s="853" t="s">
        <v>184</v>
      </c>
      <c r="M329" s="854"/>
      <c r="O329" s="853" t="str">
        <f>A173</f>
        <v>p24-3G 68F240</v>
      </c>
      <c r="P329" s="854"/>
      <c r="R329" s="853" t="s">
        <v>184</v>
      </c>
      <c r="S329" s="854"/>
    </row>
    <row r="330" spans="1:19" x14ac:dyDescent="0.2">
      <c r="A330" s="459" t="str">
        <v xml:space="preserve"> </v>
      </c>
      <c r="C330" s="853" t="s">
        <v>184</v>
      </c>
      <c r="D330" s="854"/>
      <c r="F330" s="853" t="s">
        <v>184</v>
      </c>
      <c r="G330" s="854"/>
      <c r="H330" s="557"/>
      <c r="I330" s="855" t="s">
        <v>184</v>
      </c>
      <c r="J330" s="856"/>
      <c r="K330" s="557"/>
      <c r="L330" s="853" t="s">
        <v>184</v>
      </c>
      <c r="M330" s="854"/>
      <c r="O330" s="853" t="str">
        <f>A178</f>
        <v>p24-3G 73F30</v>
      </c>
      <c r="P330" s="854"/>
      <c r="R330" s="853" t="s">
        <v>184</v>
      </c>
      <c r="S330" s="854"/>
    </row>
    <row r="331" spans="1:19" x14ac:dyDescent="0.2">
      <c r="A331" s="459" t="str">
        <v xml:space="preserve"> </v>
      </c>
      <c r="C331" s="853" t="s">
        <v>184</v>
      </c>
      <c r="D331" s="854"/>
      <c r="F331" s="853" t="s">
        <v>184</v>
      </c>
      <c r="G331" s="854"/>
      <c r="H331" s="557"/>
      <c r="I331" s="860" t="s">
        <v>184</v>
      </c>
      <c r="J331" s="861"/>
      <c r="K331" s="557"/>
      <c r="L331" s="853" t="s">
        <v>184</v>
      </c>
      <c r="M331" s="854"/>
      <c r="O331" s="853" t="str">
        <f>A183</f>
        <v>p24-3G 74F85</v>
      </c>
      <c r="P331" s="854"/>
      <c r="R331" s="853" t="s">
        <v>184</v>
      </c>
      <c r="S331" s="854"/>
    </row>
    <row r="332" spans="1:19" x14ac:dyDescent="0.2">
      <c r="A332" s="544" t="str">
        <v xml:space="preserve"> </v>
      </c>
      <c r="C332" s="857" t="s">
        <v>184</v>
      </c>
      <c r="D332" s="858"/>
      <c r="F332" s="857" t="s">
        <v>184</v>
      </c>
      <c r="G332" s="858"/>
      <c r="H332" s="557"/>
      <c r="I332" s="857" t="s">
        <v>184</v>
      </c>
      <c r="J332" s="858"/>
      <c r="K332" s="557"/>
      <c r="L332" s="857" t="s">
        <v>184</v>
      </c>
      <c r="M332" s="858"/>
      <c r="O332" s="853" t="str">
        <f>A188</f>
        <v>p24-3G 75F51</v>
      </c>
      <c r="P332" s="854"/>
      <c r="R332" s="857" t="s">
        <v>184</v>
      </c>
      <c r="S332" s="858"/>
    </row>
    <row r="333" spans="1:19" x14ac:dyDescent="0.2">
      <c r="A333" s="459" t="str">
        <v xml:space="preserve"> </v>
      </c>
      <c r="C333" s="847" t="s">
        <v>184</v>
      </c>
      <c r="D333" s="847"/>
      <c r="F333" s="847" t="s">
        <v>184</v>
      </c>
      <c r="G333" s="847"/>
      <c r="I333" s="850" t="s">
        <v>184</v>
      </c>
      <c r="J333" s="850"/>
      <c r="L333" s="850" t="s">
        <v>184</v>
      </c>
      <c r="M333" s="850"/>
      <c r="O333" s="853" t="str">
        <f>A213</f>
        <v>p29-2G 84G88</v>
      </c>
      <c r="P333" s="854"/>
      <c r="R333" s="864" t="s">
        <v>184</v>
      </c>
      <c r="S333" s="864"/>
    </row>
    <row r="334" spans="1:19" x14ac:dyDescent="0.2">
      <c r="A334" s="545" t="str">
        <v>Isard</v>
      </c>
      <c r="C334" s="849" t="s">
        <v>184</v>
      </c>
      <c r="D334" s="849"/>
      <c r="F334" s="849" t="s">
        <v>184</v>
      </c>
      <c r="G334" s="849"/>
      <c r="I334" s="850" t="s">
        <v>184</v>
      </c>
      <c r="J334" s="850"/>
      <c r="L334" s="850" t="s">
        <v>184</v>
      </c>
      <c r="M334" s="850"/>
      <c r="O334" s="853" t="str">
        <f>A218</f>
        <v>p29-2G 93G80</v>
      </c>
      <c r="P334" s="854"/>
      <c r="R334" s="863" t="str">
        <f>A269</f>
        <v>Isard</v>
      </c>
      <c r="S334" s="863"/>
    </row>
    <row r="335" spans="1:19" x14ac:dyDescent="0.2">
      <c r="A335" s="545" t="str">
        <v>Chamois</v>
      </c>
      <c r="C335" s="849" t="s">
        <v>184</v>
      </c>
      <c r="D335" s="849"/>
      <c r="F335" s="849" t="s">
        <v>184</v>
      </c>
      <c r="G335" s="849"/>
      <c r="I335" s="850" t="s">
        <v>184</v>
      </c>
      <c r="J335" s="850"/>
      <c r="L335" s="850" t="s">
        <v>184</v>
      </c>
      <c r="M335" s="850"/>
      <c r="O335" s="853" t="str">
        <f>A223</f>
        <v>p29-2G 110G250</v>
      </c>
      <c r="P335" s="854"/>
      <c r="R335" s="863" t="str">
        <f>A274</f>
        <v>Chamois</v>
      </c>
      <c r="S335" s="863"/>
    </row>
    <row r="336" spans="1:19" x14ac:dyDescent="0.2">
      <c r="A336" s="545" t="str">
        <v>Pro75-2G</v>
      </c>
      <c r="C336" s="849" t="s">
        <v>184</v>
      </c>
      <c r="D336" s="849"/>
      <c r="F336" s="849" t="s">
        <v>184</v>
      </c>
      <c r="G336" s="849"/>
      <c r="I336" s="850" t="s">
        <v>184</v>
      </c>
      <c r="J336" s="850"/>
      <c r="L336" s="850" t="s">
        <v>184</v>
      </c>
      <c r="M336" s="850"/>
      <c r="O336" s="853" t="str">
        <f>A228</f>
        <v>p29-2G 116G126</v>
      </c>
      <c r="P336" s="854"/>
      <c r="R336" s="863" t="str">
        <f>A284</f>
        <v>Pro75-2G</v>
      </c>
      <c r="S336" s="863"/>
    </row>
    <row r="337" spans="1:19" x14ac:dyDescent="0.2">
      <c r="A337" s="545" t="str">
        <v>Pro98-2G WT</v>
      </c>
      <c r="C337" s="849" t="s">
        <v>184</v>
      </c>
      <c r="D337" s="849"/>
      <c r="F337" s="849" t="s">
        <v>184</v>
      </c>
      <c r="G337" s="849"/>
      <c r="I337" s="850" t="s">
        <v>184</v>
      </c>
      <c r="J337" s="850"/>
      <c r="L337" s="850" t="s">
        <v>184</v>
      </c>
      <c r="M337" s="850"/>
      <c r="O337" s="853" t="str">
        <f>A233</f>
        <v>p29-3G 125G131</v>
      </c>
      <c r="P337" s="854"/>
      <c r="R337" s="863" t="str">
        <f>A294</f>
        <v>Pro98-2G WT</v>
      </c>
      <c r="S337" s="863"/>
    </row>
    <row r="338" spans="1:19" x14ac:dyDescent="0.2">
      <c r="A338" s="545" t="str">
        <v>Pro98-3G WT</v>
      </c>
      <c r="C338" s="849" t="s">
        <v>184</v>
      </c>
      <c r="D338" s="849"/>
      <c r="F338" s="849" t="s">
        <v>184</v>
      </c>
      <c r="G338" s="849"/>
      <c r="I338" s="850" t="s">
        <v>184</v>
      </c>
      <c r="J338" s="850"/>
      <c r="L338" s="850" t="s">
        <v>184</v>
      </c>
      <c r="M338" s="850"/>
      <c r="O338" s="853" t="str">
        <f>A248</f>
        <v>p38-1G 128G185</v>
      </c>
      <c r="P338" s="854"/>
      <c r="R338" s="863" t="str">
        <f>A299</f>
        <v>Pro98-3G WT</v>
      </c>
      <c r="S338" s="863"/>
    </row>
    <row r="339" spans="1:19" x14ac:dyDescent="0.2">
      <c r="A339" s="545" t="str">
        <v>Aucun (2e ét. inerte)</v>
      </c>
      <c r="C339" s="849" t="s">
        <v>184</v>
      </c>
      <c r="D339" s="849"/>
      <c r="F339" s="849" t="s">
        <v>184</v>
      </c>
      <c r="G339" s="849"/>
      <c r="I339" s="850" t="s">
        <v>184</v>
      </c>
      <c r="J339" s="850"/>
      <c r="L339" s="850" t="s">
        <v>184</v>
      </c>
      <c r="M339" s="850"/>
      <c r="O339" s="853" t="str">
        <f>A243</f>
        <v>p38-1G 137G58</v>
      </c>
      <c r="P339" s="854"/>
      <c r="R339" s="863" t="str">
        <f>A309</f>
        <v>Aucun (2e ét. inerte)</v>
      </c>
      <c r="S339" s="863"/>
    </row>
    <row r="340" spans="1:19" x14ac:dyDescent="0.2">
      <c r="A340" s="545" t="str">
        <v xml:space="preserve"> </v>
      </c>
      <c r="C340" s="849" t="s">
        <v>184</v>
      </c>
      <c r="D340" s="849"/>
      <c r="F340" s="849" t="s">
        <v>184</v>
      </c>
      <c r="G340" s="849"/>
      <c r="I340" s="850" t="s">
        <v>184</v>
      </c>
      <c r="J340" s="850"/>
      <c r="L340" s="850" t="s">
        <v>184</v>
      </c>
      <c r="M340" s="850"/>
      <c r="O340" s="853" t="str">
        <f>A253</f>
        <v>p38-1G 141G78</v>
      </c>
      <c r="P340" s="854"/>
      <c r="R340" s="862" t="s">
        <v>184</v>
      </c>
      <c r="S340" s="862"/>
    </row>
    <row r="341" spans="1:19" x14ac:dyDescent="0.2">
      <c r="A341" s="545" t="str">
        <v xml:space="preserve"> </v>
      </c>
      <c r="C341" s="849" t="s">
        <v>184</v>
      </c>
      <c r="D341" s="849"/>
      <c r="F341" s="849" t="s">
        <v>184</v>
      </c>
      <c r="G341" s="849"/>
      <c r="I341" s="848" t="s">
        <v>184</v>
      </c>
      <c r="J341" s="848"/>
      <c r="L341" s="850" t="s">
        <v>184</v>
      </c>
      <c r="M341" s="850"/>
      <c r="O341" s="853" t="str">
        <f>A193</f>
        <v>p24-6G 140G145 PK</v>
      </c>
      <c r="P341" s="854"/>
      <c r="R341" s="849" t="s">
        <v>184</v>
      </c>
      <c r="S341" s="849"/>
    </row>
    <row r="342" spans="1:19" x14ac:dyDescent="0.2">
      <c r="A342" s="545" t="str">
        <v xml:space="preserve"> </v>
      </c>
      <c r="C342" s="849" t="s">
        <v>184</v>
      </c>
      <c r="D342" s="849"/>
      <c r="F342" s="849" t="s">
        <v>184</v>
      </c>
      <c r="G342" s="849"/>
      <c r="I342" s="848" t="s">
        <v>184</v>
      </c>
      <c r="J342" s="848"/>
      <c r="L342" s="850" t="s">
        <v>184</v>
      </c>
      <c r="M342" s="850"/>
      <c r="O342" s="853" t="str">
        <f>A198</f>
        <v>Pandora (Pro24-6G BS)</v>
      </c>
      <c r="P342" s="854"/>
      <c r="R342" s="849" t="s">
        <v>184</v>
      </c>
      <c r="S342" s="849"/>
    </row>
    <row r="343" spans="1:19" x14ac:dyDescent="0.2">
      <c r="A343" s="545" t="str">
        <v xml:space="preserve"> </v>
      </c>
      <c r="C343" s="849" t="s">
        <v>184</v>
      </c>
      <c r="D343" s="849"/>
      <c r="F343" s="849" t="s">
        <v>184</v>
      </c>
      <c r="G343" s="849"/>
      <c r="I343" s="848" t="s">
        <v>184</v>
      </c>
      <c r="J343" s="848"/>
      <c r="L343" s="848" t="s">
        <v>184</v>
      </c>
      <c r="M343" s="848"/>
      <c r="O343" s="855" t="str">
        <f>A203</f>
        <v>p24-6G 142G117 WT</v>
      </c>
      <c r="P343" s="856"/>
      <c r="R343" s="849" t="s">
        <v>184</v>
      </c>
      <c r="S343" s="849"/>
    </row>
    <row r="344" spans="1:19" x14ac:dyDescent="0.2">
      <c r="A344" s="545" t="str">
        <v xml:space="preserve"> </v>
      </c>
      <c r="C344" s="849" t="s">
        <v>184</v>
      </c>
      <c r="D344" s="849"/>
      <c r="F344" s="849" t="s">
        <v>184</v>
      </c>
      <c r="G344" s="849"/>
      <c r="I344" s="867" t="s">
        <v>184</v>
      </c>
      <c r="J344" s="867"/>
      <c r="L344" s="848" t="s">
        <v>184</v>
      </c>
      <c r="M344" s="848"/>
      <c r="O344" s="855" t="str">
        <f>A208</f>
        <v>p24-6G 139G107 DT</v>
      </c>
      <c r="P344" s="856"/>
      <c r="R344" s="849" t="s">
        <v>184</v>
      </c>
      <c r="S344" s="849"/>
    </row>
    <row r="345" spans="1:19" x14ac:dyDescent="0.2">
      <c r="A345" s="545" t="str">
        <v xml:space="preserve"> </v>
      </c>
      <c r="C345" s="849" t="s">
        <v>184</v>
      </c>
      <c r="D345" s="849"/>
      <c r="F345" s="849" t="s">
        <v>184</v>
      </c>
      <c r="G345" s="849"/>
      <c r="I345" s="849" t="s">
        <v>184</v>
      </c>
      <c r="J345" s="849"/>
      <c r="L345" s="848" t="s">
        <v>184</v>
      </c>
      <c r="M345" s="848"/>
      <c r="O345" s="855" t="str">
        <f>A263</f>
        <v>Cariacou</v>
      </c>
      <c r="P345" s="856"/>
      <c r="R345" s="849" t="s">
        <v>184</v>
      </c>
      <c r="S345" s="849"/>
    </row>
    <row r="346" spans="1:19" x14ac:dyDescent="0.2">
      <c r="A346" s="558" t="str">
        <v xml:space="preserve"> </v>
      </c>
      <c r="C346" s="849" t="s">
        <v>184</v>
      </c>
      <c r="D346" s="849"/>
      <c r="F346" s="849" t="s">
        <v>184</v>
      </c>
      <c r="G346" s="849"/>
      <c r="I346" s="849" t="s">
        <v>184</v>
      </c>
      <c r="J346" s="849"/>
      <c r="L346" s="867" t="s">
        <v>184</v>
      </c>
      <c r="M346" s="867"/>
      <c r="O346" s="865" t="str">
        <f>A258</f>
        <v>Wapiti</v>
      </c>
      <c r="P346" s="866"/>
      <c r="R346" s="849" t="s">
        <v>184</v>
      </c>
      <c r="S346" s="849"/>
    </row>
  </sheetData>
  <sheetProtection password="C6AC" sheet="1" objects="1" scenarios="1"/>
  <dataConsolidate/>
  <mergeCells count="186">
    <mergeCell ref="R346:S346"/>
    <mergeCell ref="R342:S342"/>
    <mergeCell ref="F342:G342"/>
    <mergeCell ref="F343:G343"/>
    <mergeCell ref="F344:G344"/>
    <mergeCell ref="F345:G345"/>
    <mergeCell ref="F346:G346"/>
    <mergeCell ref="O346:P346"/>
    <mergeCell ref="L345:M345"/>
    <mergeCell ref="L346:M346"/>
    <mergeCell ref="I344:J344"/>
    <mergeCell ref="I346:J346"/>
    <mergeCell ref="I345:J345"/>
    <mergeCell ref="R340:S340"/>
    <mergeCell ref="R341:S341"/>
    <mergeCell ref="R343:S343"/>
    <mergeCell ref="R344:S344"/>
    <mergeCell ref="R345:S345"/>
    <mergeCell ref="O345:P345"/>
    <mergeCell ref="O340:P340"/>
    <mergeCell ref="R339:S339"/>
    <mergeCell ref="F332:G332"/>
    <mergeCell ref="O343:P343"/>
    <mergeCell ref="R338:S338"/>
    <mergeCell ref="R336:S336"/>
    <mergeCell ref="R337:S337"/>
    <mergeCell ref="R334:S334"/>
    <mergeCell ref="F341:G341"/>
    <mergeCell ref="O342:P342"/>
    <mergeCell ref="O335:P335"/>
    <mergeCell ref="O334:P334"/>
    <mergeCell ref="O339:P339"/>
    <mergeCell ref="O344:P344"/>
    <mergeCell ref="R335:S335"/>
    <mergeCell ref="R333:S333"/>
    <mergeCell ref="I337:J337"/>
    <mergeCell ref="I338:J338"/>
    <mergeCell ref="F336:G336"/>
    <mergeCell ref="F337:G337"/>
    <mergeCell ref="O327:P327"/>
    <mergeCell ref="O333:P333"/>
    <mergeCell ref="L328:M328"/>
    <mergeCell ref="I336:J336"/>
    <mergeCell ref="O332:P332"/>
    <mergeCell ref="L333:M333"/>
    <mergeCell ref="I341:J341"/>
    <mergeCell ref="O337:P337"/>
    <mergeCell ref="F339:G339"/>
    <mergeCell ref="F340:G340"/>
    <mergeCell ref="O338:P338"/>
    <mergeCell ref="O336:P336"/>
    <mergeCell ref="I328:J328"/>
    <mergeCell ref="I329:J329"/>
    <mergeCell ref="I330:J330"/>
    <mergeCell ref="I331:J331"/>
    <mergeCell ref="I335:J335"/>
    <mergeCell ref="L337:M337"/>
    <mergeCell ref="O341:P341"/>
    <mergeCell ref="L334:M334"/>
    <mergeCell ref="F329:G329"/>
    <mergeCell ref="F330:G330"/>
    <mergeCell ref="F331:G331"/>
    <mergeCell ref="F324:G324"/>
    <mergeCell ref="F321:G321"/>
    <mergeCell ref="F320:G320"/>
    <mergeCell ref="O323:P323"/>
    <mergeCell ref="O320:P320"/>
    <mergeCell ref="O319:P319"/>
    <mergeCell ref="O324:P324"/>
    <mergeCell ref="F319:G319"/>
    <mergeCell ref="O322:P322"/>
    <mergeCell ref="I320:J320"/>
    <mergeCell ref="L319:M319"/>
    <mergeCell ref="L326:M326"/>
    <mergeCell ref="L327:M327"/>
    <mergeCell ref="L321:M321"/>
    <mergeCell ref="L322:M322"/>
    <mergeCell ref="O325:P325"/>
    <mergeCell ref="O330:P330"/>
    <mergeCell ref="F327:G327"/>
    <mergeCell ref="F326:G326"/>
    <mergeCell ref="L316:M316"/>
    <mergeCell ref="C327:D327"/>
    <mergeCell ref="C326:D326"/>
    <mergeCell ref="C325:D325"/>
    <mergeCell ref="C324:D324"/>
    <mergeCell ref="C323:D323"/>
    <mergeCell ref="C322:D322"/>
    <mergeCell ref="O316:P316"/>
    <mergeCell ref="F318:G318"/>
    <mergeCell ref="F317:G317"/>
    <mergeCell ref="O318:P318"/>
    <mergeCell ref="O317:P317"/>
    <mergeCell ref="L318:M318"/>
    <mergeCell ref="C316:D316"/>
    <mergeCell ref="C317:D317"/>
    <mergeCell ref="C318:D318"/>
    <mergeCell ref="C319:D319"/>
    <mergeCell ref="C320:D320"/>
    <mergeCell ref="F316:G316"/>
    <mergeCell ref="L320:M320"/>
    <mergeCell ref="I316:J316"/>
    <mergeCell ref="I317:J317"/>
    <mergeCell ref="I318:J318"/>
    <mergeCell ref="I319:J319"/>
    <mergeCell ref="L317:M317"/>
    <mergeCell ref="C332:D332"/>
    <mergeCell ref="R322:S322"/>
    <mergeCell ref="R328:S328"/>
    <mergeCell ref="R332:S332"/>
    <mergeCell ref="F328:G328"/>
    <mergeCell ref="F322:G322"/>
    <mergeCell ref="O326:P326"/>
    <mergeCell ref="F323:G323"/>
    <mergeCell ref="O331:P331"/>
    <mergeCell ref="R330:S330"/>
    <mergeCell ref="R329:S329"/>
    <mergeCell ref="O329:P329"/>
    <mergeCell ref="R331:S331"/>
    <mergeCell ref="L331:M331"/>
    <mergeCell ref="L332:M332"/>
    <mergeCell ref="L329:M329"/>
    <mergeCell ref="L330:M330"/>
    <mergeCell ref="L325:M325"/>
    <mergeCell ref="C329:D329"/>
    <mergeCell ref="C330:D330"/>
    <mergeCell ref="I332:J332"/>
    <mergeCell ref="C331:D331"/>
    <mergeCell ref="F325:G325"/>
    <mergeCell ref="R316:S316"/>
    <mergeCell ref="R317:S317"/>
    <mergeCell ref="R318:S318"/>
    <mergeCell ref="R319:S319"/>
    <mergeCell ref="R320:S320"/>
    <mergeCell ref="C328:D328"/>
    <mergeCell ref="O328:P328"/>
    <mergeCell ref="R327:S327"/>
    <mergeCell ref="R326:S326"/>
    <mergeCell ref="C321:D321"/>
    <mergeCell ref="O321:P321"/>
    <mergeCell ref="R321:S321"/>
    <mergeCell ref="R325:S325"/>
    <mergeCell ref="R324:S324"/>
    <mergeCell ref="R323:S323"/>
    <mergeCell ref="I321:J321"/>
    <mergeCell ref="I322:J322"/>
    <mergeCell ref="I323:J323"/>
    <mergeCell ref="I324:J324"/>
    <mergeCell ref="I325:J325"/>
    <mergeCell ref="I326:J326"/>
    <mergeCell ref="I327:J327"/>
    <mergeCell ref="L323:M323"/>
    <mergeCell ref="L324:M324"/>
    <mergeCell ref="C345:D345"/>
    <mergeCell ref="C346:D346"/>
    <mergeCell ref="C335:D335"/>
    <mergeCell ref="C336:D336"/>
    <mergeCell ref="C337:D337"/>
    <mergeCell ref="C338:D338"/>
    <mergeCell ref="C339:D339"/>
    <mergeCell ref="C340:D340"/>
    <mergeCell ref="C334:D334"/>
    <mergeCell ref="C333:D333"/>
    <mergeCell ref="L343:M343"/>
    <mergeCell ref="L344:M344"/>
    <mergeCell ref="F338:G338"/>
    <mergeCell ref="C341:D341"/>
    <mergeCell ref="C342:D342"/>
    <mergeCell ref="C343:D343"/>
    <mergeCell ref="I342:J342"/>
    <mergeCell ref="I343:J343"/>
    <mergeCell ref="L341:M341"/>
    <mergeCell ref="L342:M342"/>
    <mergeCell ref="C344:D344"/>
    <mergeCell ref="L338:M338"/>
    <mergeCell ref="F333:G333"/>
    <mergeCell ref="L335:M335"/>
    <mergeCell ref="L336:M336"/>
    <mergeCell ref="I333:J333"/>
    <mergeCell ref="I334:J334"/>
    <mergeCell ref="L339:M339"/>
    <mergeCell ref="L340:M340"/>
    <mergeCell ref="I340:J340"/>
    <mergeCell ref="I339:J339"/>
    <mergeCell ref="F334:G334"/>
    <mergeCell ref="F335:G335"/>
  </mergeCells>
  <phoneticPr fontId="8" type="noConversion"/>
  <pageMargins left="0.39370078740157483" right="0.39370078740157483" top="0.39370078740157483" bottom="0.39370078740157483" header="0" footer="0"/>
  <pageSetup scale="44" firstPageNumber="0" fitToHeight="3" orientation="landscape" horizontalDpi="300" verticalDpi="300" r:id="rId1"/>
  <headerFooter alignWithMargins="0"/>
  <ignoredErrors>
    <ignoredError sqref="R317:S318 C317:D324 F317:G321 O322:P339 O342:P342 R334:S339 O340:O341 O317:P319 O320:P321 P341 M324"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IN1075"/>
  <sheetViews>
    <sheetView showGridLines="0" workbookViewId="0">
      <pane xSplit="3" ySplit="7" topLeftCell="D8" activePane="bottomRight" state="frozen"/>
      <selection pane="topRight" activeCell="D1" sqref="D1"/>
      <selection pane="bottomLeft" activeCell="A8" sqref="A8"/>
      <selection pane="bottomRight" activeCell="B219" sqref="B219"/>
    </sheetView>
  </sheetViews>
  <sheetFormatPr baseColWidth="10" defaultColWidth="11.5703125" defaultRowHeight="12.75" x14ac:dyDescent="0.2"/>
  <cols>
    <col min="1" max="1" width="4.5703125" style="11" bestFit="1" customWidth="1"/>
    <col min="2" max="2" width="6" style="11" bestFit="1" customWidth="1"/>
    <col min="3" max="3" width="1.42578125" style="12" customWidth="1"/>
    <col min="4" max="4" width="7.140625" style="13" customWidth="1"/>
    <col min="5" max="6" width="7.42578125" style="13" customWidth="1"/>
    <col min="7" max="7" width="7.140625" style="13" customWidth="1"/>
    <col min="8" max="8" width="7.42578125" style="13" customWidth="1"/>
    <col min="9" max="9" width="7.140625" style="13" customWidth="1"/>
    <col min="10" max="12" width="7.5703125" style="13" bestFit="1" customWidth="1"/>
    <col min="13" max="13" width="5.7109375" style="13" customWidth="1"/>
    <col min="14" max="14" width="6.42578125" style="13" customWidth="1"/>
    <col min="15" max="15" width="1.42578125" style="12" customWidth="1"/>
    <col min="16" max="16" width="4" style="13" customWidth="1"/>
    <col min="17" max="17" width="8.5703125" style="13" customWidth="1"/>
    <col min="18" max="18" width="5.7109375" style="13" customWidth="1"/>
    <col min="19" max="19" width="5.28515625" style="13" customWidth="1"/>
    <col min="20" max="20" width="6" style="13" customWidth="1"/>
    <col min="21" max="21" width="8.7109375" style="13" customWidth="1"/>
    <col min="22" max="22" width="6.7109375" style="13" customWidth="1"/>
    <col min="23" max="23" width="7.140625" style="13" customWidth="1"/>
    <col min="24" max="24" width="1.42578125" style="12" customWidth="1"/>
    <col min="25" max="25" width="15.7109375" style="13" customWidth="1"/>
    <col min="26" max="26" width="5.7109375" style="13" customWidth="1"/>
    <col min="27" max="27" width="7.7109375" style="13" customWidth="1"/>
    <col min="28" max="28" width="1.5703125" style="13" customWidth="1"/>
    <col min="29" max="29" width="7.28515625" style="13" bestFit="1" customWidth="1"/>
    <col min="30" max="31" width="6.7109375" style="13" bestFit="1" customWidth="1"/>
    <col min="32" max="32" width="1.85546875" style="13" customWidth="1"/>
    <col min="33" max="238" width="11.42578125" style="13" customWidth="1"/>
    <col min="239" max="239" width="11" style="13" customWidth="1"/>
  </cols>
  <sheetData>
    <row r="1" spans="1:248" ht="13.5" thickBot="1" x14ac:dyDescent="0.25">
      <c r="D1" s="868" t="s">
        <v>266</v>
      </c>
      <c r="E1" s="869"/>
      <c r="F1" s="869"/>
      <c r="G1" s="869"/>
      <c r="H1" s="869"/>
      <c r="I1" s="869"/>
      <c r="J1" s="869"/>
      <c r="K1" s="869"/>
      <c r="L1" s="869"/>
      <c r="M1" s="869"/>
      <c r="N1" s="870"/>
      <c r="P1" s="868" t="s">
        <v>17</v>
      </c>
      <c r="Q1" s="869"/>
      <c r="R1" s="869"/>
      <c r="S1" s="869"/>
      <c r="T1" s="869"/>
      <c r="U1" s="869"/>
      <c r="V1" s="869"/>
      <c r="W1" s="870"/>
      <c r="Y1" s="14"/>
      <c r="Z1" s="14"/>
      <c r="AA1" s="14"/>
      <c r="AC1" s="875" t="s">
        <v>186</v>
      </c>
      <c r="AD1" s="876"/>
      <c r="AE1" s="876"/>
      <c r="AG1" s="871" t="s">
        <v>18</v>
      </c>
      <c r="AH1" s="871"/>
    </row>
    <row r="2" spans="1:248" s="17" customFormat="1" x14ac:dyDescent="0.2">
      <c r="A2" s="383" t="s">
        <v>19</v>
      </c>
      <c r="B2" s="384" t="s">
        <v>2</v>
      </c>
      <c r="C2" s="15"/>
      <c r="D2" s="387" t="s">
        <v>193</v>
      </c>
      <c r="E2" s="388" t="s">
        <v>194</v>
      </c>
      <c r="F2" s="384" t="s">
        <v>195</v>
      </c>
      <c r="G2" s="387" t="s">
        <v>190</v>
      </c>
      <c r="H2" s="388" t="s">
        <v>191</v>
      </c>
      <c r="I2" s="384" t="s">
        <v>192</v>
      </c>
      <c r="J2" s="387" t="s">
        <v>187</v>
      </c>
      <c r="K2" s="388" t="s">
        <v>188</v>
      </c>
      <c r="L2" s="384" t="s">
        <v>189</v>
      </c>
      <c r="M2" s="389" t="s">
        <v>20</v>
      </c>
      <c r="N2" s="384" t="s">
        <v>21</v>
      </c>
      <c r="O2" s="15"/>
      <c r="P2" s="389" t="s">
        <v>26</v>
      </c>
      <c r="Q2" s="384" t="s">
        <v>25</v>
      </c>
      <c r="R2" s="389" t="s">
        <v>22</v>
      </c>
      <c r="S2" s="392" t="s">
        <v>39</v>
      </c>
      <c r="T2" s="384" t="s">
        <v>27</v>
      </c>
      <c r="U2" s="393" t="s">
        <v>28</v>
      </c>
      <c r="V2" s="389" t="s">
        <v>24</v>
      </c>
      <c r="W2" s="384" t="s">
        <v>23</v>
      </c>
      <c r="X2" s="16"/>
      <c r="Y2" s="872" t="s">
        <v>185</v>
      </c>
      <c r="Z2" s="873"/>
      <c r="AA2" s="874"/>
      <c r="AC2" s="389" t="s">
        <v>11</v>
      </c>
      <c r="AD2" s="388" t="s">
        <v>3</v>
      </c>
      <c r="AE2" s="384" t="s">
        <v>29</v>
      </c>
      <c r="AG2" s="400" t="s">
        <v>31</v>
      </c>
      <c r="AH2" s="401" t="s">
        <v>30</v>
      </c>
      <c r="IF2"/>
      <c r="IG2"/>
      <c r="IH2"/>
      <c r="II2"/>
      <c r="IJ2"/>
      <c r="IK2"/>
      <c r="IL2"/>
      <c r="IM2"/>
      <c r="IN2"/>
    </row>
    <row r="3" spans="1:248" s="17" customFormat="1" x14ac:dyDescent="0.2">
      <c r="A3" s="385" t="s">
        <v>154</v>
      </c>
      <c r="B3" s="386" t="s">
        <v>154</v>
      </c>
      <c r="C3" s="15"/>
      <c r="D3" s="390" t="s">
        <v>7</v>
      </c>
      <c r="E3" s="391" t="s">
        <v>7</v>
      </c>
      <c r="F3" s="386" t="s">
        <v>7</v>
      </c>
      <c r="G3" s="390" t="s">
        <v>155</v>
      </c>
      <c r="H3" s="391" t="s">
        <v>155</v>
      </c>
      <c r="I3" s="386" t="s">
        <v>155</v>
      </c>
      <c r="J3" s="390" t="s">
        <v>39</v>
      </c>
      <c r="K3" s="391" t="s">
        <v>39</v>
      </c>
      <c r="L3" s="386" t="s">
        <v>39</v>
      </c>
      <c r="M3" s="385" t="s">
        <v>244</v>
      </c>
      <c r="N3" s="386" t="s">
        <v>156</v>
      </c>
      <c r="O3" s="15"/>
      <c r="P3" s="390" t="s">
        <v>14</v>
      </c>
      <c r="Q3" s="394" t="s">
        <v>227</v>
      </c>
      <c r="R3" s="390" t="s">
        <v>245</v>
      </c>
      <c r="S3" s="395" t="s">
        <v>228</v>
      </c>
      <c r="T3" s="394" t="s">
        <v>227</v>
      </c>
      <c r="U3" s="396" t="s">
        <v>227</v>
      </c>
      <c r="V3" s="390" t="s">
        <v>8</v>
      </c>
      <c r="W3" s="394" t="s">
        <v>227</v>
      </c>
      <c r="X3" s="16"/>
      <c r="Y3" s="397"/>
      <c r="Z3" s="398"/>
      <c r="AA3" s="399"/>
      <c r="AC3" s="390" t="s">
        <v>154</v>
      </c>
      <c r="AD3" s="395" t="s">
        <v>39</v>
      </c>
      <c r="AE3" s="394" t="s">
        <v>39</v>
      </c>
      <c r="AG3" s="397" t="s">
        <v>7</v>
      </c>
      <c r="AH3" s="394" t="s">
        <v>7</v>
      </c>
      <c r="IF3"/>
      <c r="IG3"/>
      <c r="IH3"/>
      <c r="II3"/>
      <c r="IJ3"/>
      <c r="IK3"/>
      <c r="IL3"/>
      <c r="IM3"/>
      <c r="IN3"/>
    </row>
    <row r="4" spans="1:248" x14ac:dyDescent="0.2">
      <c r="A4" s="345" t="s">
        <v>14</v>
      </c>
      <c r="B4" s="404">
        <f>T_ini</f>
        <v>0</v>
      </c>
      <c r="C4" s="342"/>
      <c r="D4" s="345" t="s">
        <v>14</v>
      </c>
      <c r="E4" s="346" t="s">
        <v>14</v>
      </c>
      <c r="F4" s="347" t="s">
        <v>14</v>
      </c>
      <c r="G4" s="345">
        <f>vit_xz*COS(Beta)</f>
        <v>0</v>
      </c>
      <c r="H4" s="346">
        <f>vit_xz*SIN(Beta)</f>
        <v>0</v>
      </c>
      <c r="I4" s="404">
        <f>V_ini</f>
        <v>0</v>
      </c>
      <c r="J4" s="405">
        <f>X_ini</f>
        <v>0</v>
      </c>
      <c r="K4" s="406">
        <f>Z_ini</f>
        <v>0</v>
      </c>
      <c r="L4" s="380">
        <f t="shared" ref="L4:L67" si="0">SQRT(pos_x^2+pos_z^2)</f>
        <v>0</v>
      </c>
      <c r="M4" s="345">
        <f>RADIANS(N4)</f>
        <v>1.3962634015954636</v>
      </c>
      <c r="N4" s="404">
        <f>Beta_rampe</f>
        <v>80</v>
      </c>
      <c r="O4" s="343"/>
      <c r="P4" s="345" t="s">
        <v>14</v>
      </c>
      <c r="Q4" s="347" t="s">
        <v>14</v>
      </c>
      <c r="R4" s="345" t="s">
        <v>14</v>
      </c>
      <c r="S4" s="406">
        <f ca="1">m_tot</f>
        <v>9.4150000000000009</v>
      </c>
      <c r="T4" s="380">
        <f t="shared" ref="T4:T67" ca="1" si="1">m*g</f>
        <v>92.361150000000009</v>
      </c>
      <c r="U4" s="381">
        <f t="shared" ref="U4:U67" ca="1" si="2">IF(pos_xz&lt;L_rampe,Poids*COS(Beta),0)</f>
        <v>16.03834538472201</v>
      </c>
      <c r="V4" s="382">
        <f t="shared" ref="V4:V67" si="3">Rho_moyen*(20000-Alt_rampe-pos_z)/(20000+Alt_rampe+pos_z)</f>
        <v>1.2250000000000001</v>
      </c>
      <c r="W4" s="380">
        <f t="shared" ref="W4:W67" si="4">1/2*Rho*Sref*Cx*vit_xz^2</f>
        <v>0</v>
      </c>
      <c r="X4" s="343"/>
      <c r="Y4" s="348" t="s">
        <v>14</v>
      </c>
      <c r="Z4" s="349" t="s">
        <v>14</v>
      </c>
      <c r="AA4" s="350" t="s">
        <v>14</v>
      </c>
      <c r="AB4" s="344"/>
      <c r="AC4" s="373">
        <f>IF(ABS(t-ROUND(t,0))&lt;0.001,t,-1)</f>
        <v>0</v>
      </c>
      <c r="AD4" s="374">
        <f>IF(ABS(t-ROUND(t,0))&lt;0.001,pos_x,-1)</f>
        <v>0</v>
      </c>
      <c r="AE4" s="375">
        <f t="shared" ref="AE4:AE67" si="5">IF(t&lt;T_para, pos_z, NA())</f>
        <v>0</v>
      </c>
      <c r="AF4" s="344"/>
      <c r="AG4" s="345" t="s">
        <v>14</v>
      </c>
      <c r="AH4" s="347" t="s">
        <v>14</v>
      </c>
    </row>
    <row r="5" spans="1:248" x14ac:dyDescent="0.2">
      <c r="A5" s="402">
        <f t="shared" ref="A5:A68" ca="1" si="6">IF(B4+0.01&lt;=T_ini+ROUNDUP(Temps_fin_propu,0), 0.01, IF(K4&gt;0, 0.1, 0.0001))</f>
        <v>0.01</v>
      </c>
      <c r="B5" s="357">
        <f t="shared" ref="B5:B68" ca="1" si="7">B4+pas</f>
        <v>0.01</v>
      </c>
      <c r="C5" s="342"/>
      <c r="D5" s="359">
        <f t="shared" ref="D5:D68" ca="1" si="8">IF(AND(L4&lt;L_rampe,Poussee&lt;Poids*SIN(M4)),0,(-W4+Poussee)/m*COS(M4)-U4/m*SIN(M4))</f>
        <v>0</v>
      </c>
      <c r="E5" s="360">
        <f t="shared" ref="E5:E68" ca="1" si="9">IF(AND(L4&lt;L_rampe,Poussee&lt;Poids*SIN(M4)),0,(-W4+Poussee)/m*SIN(M4)+U4/m*COS(M4)-Poids/m)</f>
        <v>0</v>
      </c>
      <c r="F5" s="357">
        <f t="shared" ref="F5:F68" ca="1" si="10">SQRT(acc_x^2+acc_z^2)</f>
        <v>0</v>
      </c>
      <c r="G5" s="359">
        <f t="shared" ref="G5:G68" ca="1" si="11">G4+acc_x*pas</f>
        <v>0</v>
      </c>
      <c r="H5" s="360">
        <f t="shared" ref="H5:H68" ca="1" si="12">H4+acc_z*pas</f>
        <v>0</v>
      </c>
      <c r="I5" s="357">
        <f t="shared" ref="I5:I68" ca="1" si="13">SQRT(vit_x^2+vit_z^2)</f>
        <v>0</v>
      </c>
      <c r="J5" s="359">
        <f t="shared" ref="J5:J68" ca="1" si="14">J4+0.5*(vit_x+G4)*pas*(K4&gt;=0)</f>
        <v>0</v>
      </c>
      <c r="K5" s="360">
        <f t="shared" ref="K5:K68" ca="1" si="15">K4+0.5*(vit_z+H4)*pas</f>
        <v>0</v>
      </c>
      <c r="L5" s="357">
        <f t="shared" ca="1" si="0"/>
        <v>0</v>
      </c>
      <c r="M5" s="359">
        <f t="shared" ref="M5:M68" ca="1" si="16">IF(AND(L4&gt;L_rampe,G5&gt;0),ATAN2(G5,H5),$M$4)</f>
        <v>1.3962634015954636</v>
      </c>
      <c r="N5" s="357">
        <f t="shared" ref="N5:N68" ca="1" si="17">DEGREES(Beta)</f>
        <v>80</v>
      </c>
      <c r="O5" s="343"/>
      <c r="P5" s="363">
        <f t="shared" ref="P5:P68" ca="1" si="18">MATCH(t-pas/2-T_ini,CdP_t)</f>
        <v>1</v>
      </c>
      <c r="Q5" s="357">
        <f t="shared" ref="Q5:Q68" ca="1" si="19">(INDEX(CdP,2,i_P+1)-INDEX(CdP,2,i_P+0))/(INDEX(CdP,1,i_P+1)-INDEX(CdP,1,i_P+0))*(t-pas/2-T_ini-INDEX(CdP,1,i_P+0))+INDEX(CdP,2,i_P+0)</f>
        <v>89.3</v>
      </c>
      <c r="R5" s="359">
        <f t="shared" ref="R5:R68" ca="1" si="20">Poussee/(g*ISP)</f>
        <v>4.4815509359347437E-2</v>
      </c>
      <c r="S5" s="360">
        <f t="shared" ref="S5:S68" ca="1" si="21">S4-Débit*pas</f>
        <v>9.4145518449064074</v>
      </c>
      <c r="T5" s="357">
        <f t="shared" ca="1" si="1"/>
        <v>92.356753598531867</v>
      </c>
      <c r="U5" s="364">
        <f t="shared" ca="1" si="2"/>
        <v>16.037581957618777</v>
      </c>
      <c r="V5" s="359">
        <f t="shared" ca="1" si="3"/>
        <v>1.2250000000000001</v>
      </c>
      <c r="W5" s="357">
        <f t="shared" ca="1" si="4"/>
        <v>0</v>
      </c>
      <c r="X5" s="343"/>
      <c r="Y5" s="367" t="str">
        <f t="shared" ref="Y5:Y68" ca="1" si="22">IF(AND(pos_z&lt;=0,K4&gt;0),"Impact balistique","") &amp; IF(AND(H6&lt;0,vit_z&gt;=0),"Apogée","") &amp; IF(AND(Poussee=0,Q4&gt;0),"Fin de propulsion","") &amp; IF(AND(L6&gt;L_rampe,pos_xz&lt;=L_rampe),"Sortie de rampe","")</f>
        <v/>
      </c>
      <c r="Z5" s="368" t="str">
        <f t="shared" ref="Z5:Z68" ca="1" si="23">IF(ABS(t-T_para)&lt;pas/2,"Para","")</f>
        <v/>
      </c>
      <c r="AA5" s="369" t="str">
        <f t="shared" ref="AA5:AA68" ca="1" si="24">IF(ABS(t-T_satellite)&lt;pas/2,"Satellite","")</f>
        <v/>
      </c>
      <c r="AB5" s="344"/>
      <c r="AC5" s="363" t="e">
        <f t="shared" ref="AC5:AC68" ca="1" si="25">IF(ABS(t-ROUND(t,0))&lt;0.001,t,NA())</f>
        <v>#N/A</v>
      </c>
      <c r="AD5" s="376" t="e">
        <f t="shared" ref="AD5:AD68" ca="1" si="26">IF(ABS(t-ROUND(t,0))&lt;0.001,pos_x,NA())</f>
        <v>#N/A</v>
      </c>
      <c r="AE5" s="377">
        <f t="shared" ca="1" si="5"/>
        <v>0</v>
      </c>
      <c r="AF5" s="344"/>
      <c r="AG5" s="359">
        <f t="shared" ref="AG5:AG68" ca="1" si="27">IF(AND(L4&lt;L_rampe,Poussee&lt;Poids*SIN(M4)),0,(-W4+Poussee)/m-Poids*SIN(M4)/m)</f>
        <v>0</v>
      </c>
      <c r="AH5" s="357">
        <f t="shared" ref="AH5:AH68" ca="1" si="28">IF(AND(L4&lt;L_rampe,Poussee&lt;Poids*SIN(M4)), g*SIN(M4), (-W4+Poussee)/m)</f>
        <v>9.6609640570497604</v>
      </c>
    </row>
    <row r="6" spans="1:248" x14ac:dyDescent="0.2">
      <c r="A6" s="402">
        <f t="shared" ca="1" si="6"/>
        <v>0.01</v>
      </c>
      <c r="B6" s="357">
        <f t="shared" ca="1" si="7"/>
        <v>0.02</v>
      </c>
      <c r="C6" s="342"/>
      <c r="D6" s="359">
        <f t="shared" ca="1" si="8"/>
        <v>3.2641809009801075</v>
      </c>
      <c r="E6" s="360">
        <f t="shared" ca="1" si="9"/>
        <v>18.513490937867623</v>
      </c>
      <c r="F6" s="357">
        <f t="shared" ca="1" si="10"/>
        <v>18.799048477538161</v>
      </c>
      <c r="G6" s="359">
        <f t="shared" ca="1" si="11"/>
        <v>3.2641809009801077E-2</v>
      </c>
      <c r="H6" s="360">
        <f t="shared" ca="1" si="12"/>
        <v>0.18513490937867624</v>
      </c>
      <c r="I6" s="357">
        <f t="shared" ca="1" si="13"/>
        <v>0.18799048477538166</v>
      </c>
      <c r="J6" s="359">
        <f t="shared" ca="1" si="14"/>
        <v>1.6320904504900539E-4</v>
      </c>
      <c r="K6" s="360">
        <f t="shared" ca="1" si="15"/>
        <v>9.256745468933812E-4</v>
      </c>
      <c r="L6" s="357">
        <f t="shared" ca="1" si="0"/>
        <v>9.3995242387690816E-4</v>
      </c>
      <c r="M6" s="359">
        <f t="shared" ca="1" si="16"/>
        <v>1.3962634015954636</v>
      </c>
      <c r="N6" s="357">
        <f t="shared" ca="1" si="17"/>
        <v>80</v>
      </c>
      <c r="O6" s="343"/>
      <c r="P6" s="363">
        <f t="shared" ca="1" si="18"/>
        <v>1</v>
      </c>
      <c r="Q6" s="357">
        <f t="shared" ca="1" si="19"/>
        <v>267.89999999999998</v>
      </c>
      <c r="R6" s="359">
        <f t="shared" ca="1" si="20"/>
        <v>0.1344465280780423</v>
      </c>
      <c r="S6" s="360">
        <f t="shared" ca="1" si="21"/>
        <v>9.4132073796256268</v>
      </c>
      <c r="T6" s="357">
        <f t="shared" ca="1" si="1"/>
        <v>92.343564394127398</v>
      </c>
      <c r="U6" s="364">
        <f t="shared" ca="1" si="2"/>
        <v>16.035291676309065</v>
      </c>
      <c r="V6" s="359">
        <f t="shared" ca="1" si="3"/>
        <v>1.2249998866048732</v>
      </c>
      <c r="W6" s="357">
        <f t="shared" ca="1" si="4"/>
        <v>1.1499200743856056E-4</v>
      </c>
      <c r="X6" s="343"/>
      <c r="Y6" s="367" t="str">
        <f t="shared" ca="1" si="22"/>
        <v/>
      </c>
      <c r="Z6" s="368" t="str">
        <f t="shared" ca="1" si="23"/>
        <v/>
      </c>
      <c r="AA6" s="369" t="str">
        <f t="shared" ca="1" si="24"/>
        <v/>
      </c>
      <c r="AB6" s="344"/>
      <c r="AC6" s="363" t="e">
        <f t="shared" ca="1" si="25"/>
        <v>#N/A</v>
      </c>
      <c r="AD6" s="376" t="e">
        <f t="shared" ca="1" si="26"/>
        <v>#N/A</v>
      </c>
      <c r="AE6" s="377">
        <f t="shared" ca="1" si="5"/>
        <v>9.256745468933812E-4</v>
      </c>
      <c r="AF6" s="344"/>
      <c r="AG6" s="359">
        <f t="shared" ca="1" si="27"/>
        <v>18.799048475963684</v>
      </c>
      <c r="AH6" s="357">
        <f t="shared" ca="1" si="28"/>
        <v>28.460012533013444</v>
      </c>
    </row>
    <row r="7" spans="1:248" x14ac:dyDescent="0.2">
      <c r="A7" s="402">
        <f t="shared" ca="1" si="6"/>
        <v>0.01</v>
      </c>
      <c r="B7" s="357">
        <f t="shared" ca="1" si="7"/>
        <v>0.03</v>
      </c>
      <c r="C7" s="342"/>
      <c r="D7" s="359">
        <f t="shared" ca="1" si="8"/>
        <v>6.5606663366772109</v>
      </c>
      <c r="E7" s="360">
        <f t="shared" ca="1" si="9"/>
        <v>37.209723506126053</v>
      </c>
      <c r="F7" s="357">
        <f t="shared" ca="1" si="10"/>
        <v>37.783671952095382</v>
      </c>
      <c r="G7" s="359">
        <f t="shared" ca="1" si="11"/>
        <v>9.8248472376573193E-2</v>
      </c>
      <c r="H7" s="360">
        <f t="shared" ca="1" si="12"/>
        <v>0.55723214443993674</v>
      </c>
      <c r="I7" s="357">
        <f t="shared" ca="1" si="13"/>
        <v>0.56582720429602962</v>
      </c>
      <c r="J7" s="359">
        <f t="shared" ca="1" si="14"/>
        <v>8.1766045198087677E-4</v>
      </c>
      <c r="K7" s="360">
        <f t="shared" ca="1" si="15"/>
        <v>4.6375098159864465E-3</v>
      </c>
      <c r="L7" s="357">
        <f t="shared" ca="1" si="0"/>
        <v>4.7090408692327373E-3</v>
      </c>
      <c r="M7" s="359">
        <f t="shared" ca="1" si="16"/>
        <v>1.3962634015954636</v>
      </c>
      <c r="N7" s="357">
        <f t="shared" ca="1" si="17"/>
        <v>80</v>
      </c>
      <c r="O7" s="343"/>
      <c r="P7" s="363">
        <f t="shared" ca="1" si="18"/>
        <v>1</v>
      </c>
      <c r="Q7" s="357">
        <f t="shared" ca="1" si="19"/>
        <v>446.49999999999994</v>
      </c>
      <c r="R7" s="359">
        <f t="shared" ca="1" si="20"/>
        <v>0.22407754679673716</v>
      </c>
      <c r="S7" s="360">
        <f t="shared" ca="1" si="21"/>
        <v>9.4109666041576592</v>
      </c>
      <c r="T7" s="357">
        <f t="shared" ca="1" si="1"/>
        <v>92.321582386786645</v>
      </c>
      <c r="U7" s="364">
        <f t="shared" ca="1" si="2"/>
        <v>16.031474540792882</v>
      </c>
      <c r="V7" s="359">
        <f t="shared" ca="1" si="3"/>
        <v>1.2249994319051791</v>
      </c>
      <c r="W7" s="357">
        <f t="shared" ca="1" si="4"/>
        <v>1.0417497544393639E-3</v>
      </c>
      <c r="X7" s="343"/>
      <c r="Y7" s="367" t="str">
        <f t="shared" ca="1" si="22"/>
        <v/>
      </c>
      <c r="Z7" s="368" t="str">
        <f t="shared" ca="1" si="23"/>
        <v/>
      </c>
      <c r="AA7" s="369" t="str">
        <f t="shared" ca="1" si="24"/>
        <v/>
      </c>
      <c r="AB7" s="344"/>
      <c r="AC7" s="363" t="e">
        <f t="shared" ca="1" si="25"/>
        <v>#N/A</v>
      </c>
      <c r="AD7" s="376" t="e">
        <f t="shared" ca="1" si="26"/>
        <v>#N/A</v>
      </c>
      <c r="AE7" s="377">
        <f t="shared" ca="1" si="5"/>
        <v>4.6375098159864465E-3</v>
      </c>
      <c r="AF7" s="344"/>
      <c r="AG7" s="359">
        <f t="shared" ca="1" si="27"/>
        <v>37.783671949918315</v>
      </c>
      <c r="AH7" s="357">
        <f t="shared" ca="1" si="28"/>
        <v>47.444636006968075</v>
      </c>
    </row>
    <row r="8" spans="1:248" x14ac:dyDescent="0.2">
      <c r="A8" s="402">
        <f t="shared" ca="1" si="6"/>
        <v>0.01</v>
      </c>
      <c r="B8" s="357">
        <f t="shared" ca="1" si="7"/>
        <v>0.04</v>
      </c>
      <c r="C8" s="342"/>
      <c r="D8" s="359">
        <f t="shared" ca="1" si="8"/>
        <v>9.8598060646432852</v>
      </c>
      <c r="E8" s="360">
        <f t="shared" ca="1" si="9"/>
        <v>55.92101007068959</v>
      </c>
      <c r="F8" s="357">
        <f t="shared" ca="1" si="10"/>
        <v>56.783581632004712</v>
      </c>
      <c r="G8" s="359">
        <f t="shared" ca="1" si="11"/>
        <v>0.19684653302300603</v>
      </c>
      <c r="H8" s="360">
        <f t="shared" ca="1" si="12"/>
        <v>1.1164422451468328</v>
      </c>
      <c r="I8" s="357">
        <f t="shared" ca="1" si="13"/>
        <v>1.1336630206157727</v>
      </c>
      <c r="J8" s="359">
        <f t="shared" ca="1" si="14"/>
        <v>2.2931354789787728E-3</v>
      </c>
      <c r="K8" s="360">
        <f t="shared" ca="1" si="15"/>
        <v>1.3005881763920295E-2</v>
      </c>
      <c r="L8" s="357">
        <f t="shared" ca="1" si="0"/>
        <v>1.3206491993789482E-2</v>
      </c>
      <c r="M8" s="359">
        <f t="shared" ca="1" si="16"/>
        <v>1.3962634015954636</v>
      </c>
      <c r="N8" s="357">
        <f t="shared" ca="1" si="17"/>
        <v>80</v>
      </c>
      <c r="O8" s="343"/>
      <c r="P8" s="363">
        <f t="shared" ca="1" si="18"/>
        <v>1</v>
      </c>
      <c r="Q8" s="357">
        <f t="shared" ca="1" si="19"/>
        <v>625.1</v>
      </c>
      <c r="R8" s="359">
        <f t="shared" ca="1" si="20"/>
        <v>0.31370856551543208</v>
      </c>
      <c r="S8" s="360">
        <f t="shared" ca="1" si="21"/>
        <v>9.4078295185025045</v>
      </c>
      <c r="T8" s="357">
        <f t="shared" ca="1" si="1"/>
        <v>92.290807576509579</v>
      </c>
      <c r="U8" s="364">
        <f t="shared" ca="1" si="2"/>
        <v>16.026130551070224</v>
      </c>
      <c r="V8" s="359">
        <f t="shared" ca="1" si="3"/>
        <v>1.2249984067805202</v>
      </c>
      <c r="W8" s="357">
        <f t="shared" ca="1" si="4"/>
        <v>4.1818009434291007E-3</v>
      </c>
      <c r="X8" s="343"/>
      <c r="Y8" s="367" t="str">
        <f t="shared" ca="1" si="22"/>
        <v/>
      </c>
      <c r="Z8" s="368" t="str">
        <f t="shared" ca="1" si="23"/>
        <v/>
      </c>
      <c r="AA8" s="369" t="str">
        <f t="shared" ca="1" si="24"/>
        <v/>
      </c>
      <c r="AB8" s="344"/>
      <c r="AC8" s="363" t="e">
        <f t="shared" ca="1" si="25"/>
        <v>#N/A</v>
      </c>
      <c r="AD8" s="376" t="e">
        <f t="shared" ca="1" si="26"/>
        <v>#N/A</v>
      </c>
      <c r="AE8" s="377">
        <f t="shared" ca="1" si="5"/>
        <v>1.3005881763920295E-2</v>
      </c>
      <c r="AF8" s="344"/>
      <c r="AG8" s="359">
        <f t="shared" ca="1" si="27"/>
        <v>56.783581629163528</v>
      </c>
      <c r="AH8" s="357">
        <f t="shared" ca="1" si="28"/>
        <v>66.444545686213289</v>
      </c>
    </row>
    <row r="9" spans="1:248" x14ac:dyDescent="0.2">
      <c r="A9" s="402">
        <f t="shared" ca="1" si="6"/>
        <v>0.01</v>
      </c>
      <c r="B9" s="357">
        <f t="shared" ca="1" si="7"/>
        <v>0.05</v>
      </c>
      <c r="C9" s="342"/>
      <c r="D9" s="359">
        <f t="shared" ca="1" si="8"/>
        <v>13.162520220217683</v>
      </c>
      <c r="E9" s="360">
        <f t="shared" ca="1" si="9"/>
        <v>74.652569246607882</v>
      </c>
      <c r="F9" s="357">
        <f t="shared" ca="1" si="10"/>
        <v>75.8040766296063</v>
      </c>
      <c r="G9" s="359">
        <f t="shared" ca="1" si="11"/>
        <v>0.32847173522518286</v>
      </c>
      <c r="H9" s="360">
        <f t="shared" ca="1" si="12"/>
        <v>1.8629679376129116</v>
      </c>
      <c r="I9" s="357">
        <f t="shared" ca="1" si="13"/>
        <v>1.8917037869115629</v>
      </c>
      <c r="J9" s="359">
        <f t="shared" ca="1" si="14"/>
        <v>4.9197268202197178E-3</v>
      </c>
      <c r="K9" s="360">
        <f t="shared" ca="1" si="15"/>
        <v>2.7902932677719018E-2</v>
      </c>
      <c r="L9" s="357">
        <f t="shared" ca="1" si="0"/>
        <v>2.8333326031422943E-2</v>
      </c>
      <c r="M9" s="359">
        <f t="shared" ca="1" si="16"/>
        <v>1.3962634015954636</v>
      </c>
      <c r="N9" s="357">
        <f t="shared" ca="1" si="17"/>
        <v>80</v>
      </c>
      <c r="O9" s="343"/>
      <c r="P9" s="363">
        <f t="shared" ca="1" si="18"/>
        <v>1</v>
      </c>
      <c r="Q9" s="357">
        <f t="shared" ca="1" si="19"/>
        <v>803.7</v>
      </c>
      <c r="R9" s="359">
        <f t="shared" ca="1" si="20"/>
        <v>0.40333958423412697</v>
      </c>
      <c r="S9" s="360">
        <f t="shared" ca="1" si="21"/>
        <v>9.4037961226601627</v>
      </c>
      <c r="T9" s="357">
        <f t="shared" ca="1" si="1"/>
        <v>92.2512399632962</v>
      </c>
      <c r="U9" s="364">
        <f t="shared" ca="1" si="2"/>
        <v>16.019259707141089</v>
      </c>
      <c r="V9" s="359">
        <f t="shared" ca="1" si="3"/>
        <v>1.224996581895516</v>
      </c>
      <c r="W9" s="357">
        <f t="shared" ca="1" si="4"/>
        <v>1.1643968311710879E-2</v>
      </c>
      <c r="X9" s="343"/>
      <c r="Y9" s="367" t="str">
        <f t="shared" ca="1" si="22"/>
        <v/>
      </c>
      <c r="Z9" s="368" t="str">
        <f t="shared" ca="1" si="23"/>
        <v/>
      </c>
      <c r="AA9" s="369" t="str">
        <f t="shared" ca="1" si="24"/>
        <v/>
      </c>
      <c r="AB9" s="344"/>
      <c r="AC9" s="363" t="e">
        <f t="shared" ca="1" si="25"/>
        <v>#N/A</v>
      </c>
      <c r="AD9" s="376" t="e">
        <f t="shared" ca="1" si="26"/>
        <v>#N/A</v>
      </c>
      <c r="AE9" s="377">
        <f t="shared" ca="1" si="5"/>
        <v>2.7902932677719018E-2</v>
      </c>
      <c r="AF9" s="344"/>
      <c r="AG9" s="359">
        <f t="shared" ca="1" si="27"/>
        <v>75.804076626085106</v>
      </c>
      <c r="AH9" s="357">
        <f t="shared" ca="1" si="28"/>
        <v>85.465040683134859</v>
      </c>
    </row>
    <row r="10" spans="1:248" x14ac:dyDescent="0.2">
      <c r="A10" s="402">
        <f t="shared" ca="1" si="6"/>
        <v>0.01</v>
      </c>
      <c r="B10" s="357">
        <f t="shared" ca="1" si="7"/>
        <v>6.0000000000000005E-2</v>
      </c>
      <c r="C10" s="342"/>
      <c r="D10" s="359">
        <f t="shared" ca="1" si="8"/>
        <v>14.799646802610635</v>
      </c>
      <c r="E10" s="360">
        <f t="shared" ca="1" si="9"/>
        <v>83.937639680879116</v>
      </c>
      <c r="F10" s="357">
        <f t="shared" ca="1" si="10"/>
        <v>85.232370028523292</v>
      </c>
      <c r="G10" s="359">
        <f t="shared" ca="1" si="11"/>
        <v>0.47646820325128925</v>
      </c>
      <c r="H10" s="360">
        <f t="shared" ca="1" si="12"/>
        <v>2.7023443344217029</v>
      </c>
      <c r="I10" s="357">
        <f t="shared" ca="1" si="13"/>
        <v>2.7440274871966186</v>
      </c>
      <c r="J10" s="359">
        <f t="shared" ca="1" si="14"/>
        <v>8.944426512602079E-3</v>
      </c>
      <c r="K10" s="360">
        <f t="shared" ca="1" si="15"/>
        <v>5.0729494037892092E-2</v>
      </c>
      <c r="L10" s="357">
        <f t="shared" ca="1" si="0"/>
        <v>5.1511982401960303E-2</v>
      </c>
      <c r="M10" s="359">
        <f t="shared" ca="1" si="16"/>
        <v>1.3962634015954636</v>
      </c>
      <c r="N10" s="357">
        <f t="shared" ca="1" si="17"/>
        <v>80</v>
      </c>
      <c r="O10" s="343"/>
      <c r="P10" s="363">
        <f t="shared" ca="1" si="18"/>
        <v>2</v>
      </c>
      <c r="Q10" s="357">
        <f t="shared" ca="1" si="19"/>
        <v>891.94444444444446</v>
      </c>
      <c r="R10" s="359">
        <f t="shared" ca="1" si="20"/>
        <v>0.44762535944029064</v>
      </c>
      <c r="S10" s="360">
        <f t="shared" ca="1" si="21"/>
        <v>9.39931986906576</v>
      </c>
      <c r="T10" s="357">
        <f t="shared" ca="1" si="1"/>
        <v>92.207327915535117</v>
      </c>
      <c r="U10" s="364">
        <f t="shared" ca="1" si="2"/>
        <v>16.011634460069754</v>
      </c>
      <c r="V10" s="359">
        <f t="shared" ca="1" si="3"/>
        <v>1.2249937856527433</v>
      </c>
      <c r="W10" s="357">
        <f t="shared" ca="1" si="4"/>
        <v>2.4500258799416377E-2</v>
      </c>
      <c r="X10" s="343"/>
      <c r="Y10" s="367" t="str">
        <f t="shared" ca="1" si="22"/>
        <v/>
      </c>
      <c r="Z10" s="368" t="str">
        <f t="shared" ca="1" si="23"/>
        <v/>
      </c>
      <c r="AA10" s="369" t="str">
        <f t="shared" ca="1" si="24"/>
        <v/>
      </c>
      <c r="AB10" s="344"/>
      <c r="AC10" s="363" t="e">
        <f t="shared" ca="1" si="25"/>
        <v>#N/A</v>
      </c>
      <c r="AD10" s="376" t="e">
        <f t="shared" ca="1" si="26"/>
        <v>#N/A</v>
      </c>
      <c r="AE10" s="377">
        <f t="shared" ca="1" si="5"/>
        <v>5.0729494037892092E-2</v>
      </c>
      <c r="AF10" s="344"/>
      <c r="AG10" s="359">
        <f t="shared" ca="1" si="27"/>
        <v>85.232370024662458</v>
      </c>
      <c r="AH10" s="357">
        <f t="shared" ca="1" si="28"/>
        <v>94.893334081712226</v>
      </c>
    </row>
    <row r="11" spans="1:248" x14ac:dyDescent="0.2">
      <c r="A11" s="402">
        <f t="shared" ca="1" si="6"/>
        <v>0.01</v>
      </c>
      <c r="B11" s="357">
        <f t="shared" ca="1" si="7"/>
        <v>7.0000000000000007E-2</v>
      </c>
      <c r="C11" s="342"/>
      <c r="D11" s="359">
        <f t="shared" ca="1" si="8"/>
        <v>14.768222845937709</v>
      </c>
      <c r="E11" s="360">
        <f t="shared" ca="1" si="9"/>
        <v>83.759416724515376</v>
      </c>
      <c r="F11" s="357">
        <f t="shared" ca="1" si="10"/>
        <v>85.051397966513761</v>
      </c>
      <c r="G11" s="359">
        <f t="shared" ca="1" si="11"/>
        <v>0.62415043171066631</v>
      </c>
      <c r="H11" s="360">
        <f t="shared" ca="1" si="12"/>
        <v>3.5399385016668568</v>
      </c>
      <c r="I11" s="357">
        <f t="shared" ca="1" si="13"/>
        <v>3.594541466861664</v>
      </c>
      <c r="J11" s="359">
        <f t="shared" ca="1" si="14"/>
        <v>1.4447519687411856E-2</v>
      </c>
      <c r="K11" s="360">
        <f t="shared" ca="1" si="15"/>
        <v>8.1940908218334885E-2</v>
      </c>
      <c r="L11" s="357">
        <f t="shared" ca="1" si="0"/>
        <v>8.3204827172248461E-2</v>
      </c>
      <c r="M11" s="359">
        <f t="shared" ca="1" si="16"/>
        <v>1.3962634015954636</v>
      </c>
      <c r="N11" s="357">
        <f t="shared" ca="1" si="17"/>
        <v>80</v>
      </c>
      <c r="O11" s="343"/>
      <c r="P11" s="363">
        <f t="shared" ca="1" si="18"/>
        <v>2</v>
      </c>
      <c r="Q11" s="357">
        <f t="shared" ca="1" si="19"/>
        <v>889.83333333333337</v>
      </c>
      <c r="R11" s="359">
        <f t="shared" ca="1" si="20"/>
        <v>0.44656589113392309</v>
      </c>
      <c r="S11" s="360">
        <f t="shared" ca="1" si="21"/>
        <v>9.3948542101544206</v>
      </c>
      <c r="T11" s="357">
        <f t="shared" ca="1" si="1"/>
        <v>92.163519801614868</v>
      </c>
      <c r="U11" s="364">
        <f t="shared" ca="1" si="2"/>
        <v>16.004027260920477</v>
      </c>
      <c r="V11" s="359">
        <f t="shared" ca="1" si="3"/>
        <v>1.2249899622798683</v>
      </c>
      <c r="W11" s="357">
        <f t="shared" ca="1" si="4"/>
        <v>4.2041615657873406E-2</v>
      </c>
      <c r="X11" s="343"/>
      <c r="Y11" s="367" t="str">
        <f t="shared" ca="1" si="22"/>
        <v/>
      </c>
      <c r="Z11" s="368" t="str">
        <f t="shared" ca="1" si="23"/>
        <v/>
      </c>
      <c r="AA11" s="369" t="str">
        <f t="shared" ca="1" si="24"/>
        <v/>
      </c>
      <c r="AB11" s="344"/>
      <c r="AC11" s="363" t="e">
        <f t="shared" ca="1" si="25"/>
        <v>#N/A</v>
      </c>
      <c r="AD11" s="376" t="e">
        <f t="shared" ca="1" si="26"/>
        <v>#N/A</v>
      </c>
      <c r="AE11" s="377">
        <f t="shared" ca="1" si="5"/>
        <v>8.1940908218334885E-2</v>
      </c>
      <c r="AF11" s="344"/>
      <c r="AG11" s="359">
        <f t="shared" ca="1" si="27"/>
        <v>85.051397962659365</v>
      </c>
      <c r="AH11" s="357">
        <f t="shared" ca="1" si="28"/>
        <v>94.712362019709133</v>
      </c>
    </row>
    <row r="12" spans="1:248" x14ac:dyDescent="0.2">
      <c r="A12" s="402">
        <f t="shared" ca="1" si="6"/>
        <v>0.01</v>
      </c>
      <c r="B12" s="357">
        <f t="shared" ca="1" si="7"/>
        <v>0.08</v>
      </c>
      <c r="C12" s="342"/>
      <c r="D12" s="359">
        <f t="shared" ca="1" si="8"/>
        <v>14.736663845374812</v>
      </c>
      <c r="E12" s="360">
        <f t="shared" ca="1" si="9"/>
        <v>83.580427882532703</v>
      </c>
      <c r="F12" s="357">
        <f t="shared" ca="1" si="10"/>
        <v>84.869648204283422</v>
      </c>
      <c r="G12" s="359">
        <f t="shared" ca="1" si="11"/>
        <v>0.7715170701644144</v>
      </c>
      <c r="H12" s="360">
        <f t="shared" ca="1" si="12"/>
        <v>4.3757427804921836</v>
      </c>
      <c r="I12" s="357">
        <f t="shared" ca="1" si="13"/>
        <v>4.4432379489044411</v>
      </c>
      <c r="J12" s="359">
        <f t="shared" ca="1" si="14"/>
        <v>2.142585719678726E-2</v>
      </c>
      <c r="K12" s="360">
        <f t="shared" ca="1" si="15"/>
        <v>0.12151931462913008</v>
      </c>
      <c r="L12" s="357">
        <f t="shared" ca="1" si="0"/>
        <v>0.1233937242510762</v>
      </c>
      <c r="M12" s="359">
        <f t="shared" ca="1" si="16"/>
        <v>1.3962634015954636</v>
      </c>
      <c r="N12" s="357">
        <f t="shared" ca="1" si="17"/>
        <v>80</v>
      </c>
      <c r="O12" s="343"/>
      <c r="P12" s="363">
        <f t="shared" ca="1" si="18"/>
        <v>2</v>
      </c>
      <c r="Q12" s="357">
        <f t="shared" ca="1" si="19"/>
        <v>887.72222222222217</v>
      </c>
      <c r="R12" s="359">
        <f t="shared" ca="1" si="20"/>
        <v>0.44550642282755548</v>
      </c>
      <c r="S12" s="360">
        <f t="shared" ca="1" si="21"/>
        <v>9.3903991459261444</v>
      </c>
      <c r="T12" s="357">
        <f t="shared" ca="1" si="1"/>
        <v>92.11981562153548</v>
      </c>
      <c r="U12" s="364">
        <f t="shared" ca="1" si="2"/>
        <v>15.996438109693266</v>
      </c>
      <c r="V12" s="359">
        <f t="shared" ca="1" si="3"/>
        <v>1.2249851139744048</v>
      </c>
      <c r="W12" s="357">
        <f t="shared" ca="1" si="4"/>
        <v>6.4237676798989285E-2</v>
      </c>
      <c r="X12" s="343"/>
      <c r="Y12" s="367" t="str">
        <f t="shared" ca="1" si="22"/>
        <v/>
      </c>
      <c r="Z12" s="368" t="str">
        <f t="shared" ca="1" si="23"/>
        <v/>
      </c>
      <c r="AA12" s="369" t="str">
        <f t="shared" ca="1" si="24"/>
        <v/>
      </c>
      <c r="AB12" s="344"/>
      <c r="AC12" s="363" t="e">
        <f t="shared" ca="1" si="25"/>
        <v>#N/A</v>
      </c>
      <c r="AD12" s="376" t="e">
        <f t="shared" ca="1" si="26"/>
        <v>#N/A</v>
      </c>
      <c r="AE12" s="377">
        <f t="shared" ca="1" si="5"/>
        <v>0.12151931462913008</v>
      </c>
      <c r="AF12" s="344"/>
      <c r="AG12" s="359">
        <f t="shared" ca="1" si="27"/>
        <v>84.869648200435421</v>
      </c>
      <c r="AH12" s="357">
        <f t="shared" ca="1" si="28"/>
        <v>94.530612257485174</v>
      </c>
    </row>
    <row r="13" spans="1:248" x14ac:dyDescent="0.2">
      <c r="A13" s="402">
        <f t="shared" ca="1" si="6"/>
        <v>0.01</v>
      </c>
      <c r="B13" s="357">
        <f t="shared" ca="1" si="7"/>
        <v>0.09</v>
      </c>
      <c r="C13" s="342"/>
      <c r="D13" s="359">
        <f t="shared" ca="1" si="8"/>
        <v>14.704970277219427</v>
      </c>
      <c r="E13" s="360">
        <f t="shared" ca="1" si="9"/>
        <v>83.400675856158813</v>
      </c>
      <c r="F13" s="357">
        <f t="shared" ca="1" si="10"/>
        <v>84.687123484730421</v>
      </c>
      <c r="G13" s="359">
        <f t="shared" ca="1" si="11"/>
        <v>0.91856677293660871</v>
      </c>
      <c r="H13" s="360">
        <f t="shared" ca="1" si="12"/>
        <v>5.2097495390537718</v>
      </c>
      <c r="I13" s="357">
        <f t="shared" ca="1" si="13"/>
        <v>5.2901091837517082</v>
      </c>
      <c r="J13" s="359">
        <f t="shared" ca="1" si="14"/>
        <v>2.9876276412292374E-2</v>
      </c>
      <c r="K13" s="360">
        <f t="shared" ca="1" si="15"/>
        <v>0.16944677622685986</v>
      </c>
      <c r="L13" s="357">
        <f t="shared" ca="1" si="0"/>
        <v>0.17206045991435456</v>
      </c>
      <c r="M13" s="359">
        <f t="shared" ca="1" si="16"/>
        <v>1.3962634015954636</v>
      </c>
      <c r="N13" s="357">
        <f t="shared" ca="1" si="17"/>
        <v>80</v>
      </c>
      <c r="O13" s="343"/>
      <c r="P13" s="363">
        <f t="shared" ca="1" si="18"/>
        <v>2</v>
      </c>
      <c r="Q13" s="357">
        <f t="shared" ca="1" si="19"/>
        <v>885.61111111111109</v>
      </c>
      <c r="R13" s="359">
        <f t="shared" ca="1" si="20"/>
        <v>0.44444695452118799</v>
      </c>
      <c r="S13" s="360">
        <f t="shared" ca="1" si="21"/>
        <v>9.3859546763809334</v>
      </c>
      <c r="T13" s="357">
        <f t="shared" ca="1" si="1"/>
        <v>92.076215375296968</v>
      </c>
      <c r="U13" s="364">
        <f t="shared" ca="1" si="2"/>
        <v>15.988867006388118</v>
      </c>
      <c r="V13" s="359">
        <f t="shared" ca="1" si="3"/>
        <v>1.2249792429457729</v>
      </c>
      <c r="W13" s="357">
        <f t="shared" ca="1" si="4"/>
        <v>9.1057950780622177E-2</v>
      </c>
      <c r="X13" s="343"/>
      <c r="Y13" s="367" t="str">
        <f t="shared" ca="1" si="22"/>
        <v/>
      </c>
      <c r="Z13" s="368" t="str">
        <f t="shared" ca="1" si="23"/>
        <v/>
      </c>
      <c r="AA13" s="369" t="str">
        <f t="shared" ca="1" si="24"/>
        <v/>
      </c>
      <c r="AB13" s="344"/>
      <c r="AC13" s="363" t="e">
        <f t="shared" ca="1" si="25"/>
        <v>#N/A</v>
      </c>
      <c r="AD13" s="376" t="e">
        <f t="shared" ca="1" si="26"/>
        <v>#N/A</v>
      </c>
      <c r="AE13" s="377">
        <f t="shared" ca="1" si="5"/>
        <v>0.16944677622685986</v>
      </c>
      <c r="AF13" s="344"/>
      <c r="AG13" s="359">
        <f t="shared" ca="1" si="27"/>
        <v>84.6871234808888</v>
      </c>
      <c r="AH13" s="357">
        <f t="shared" ca="1" si="28"/>
        <v>94.348087537938568</v>
      </c>
    </row>
    <row r="14" spans="1:248" x14ac:dyDescent="0.2">
      <c r="A14" s="402">
        <f t="shared" ca="1" si="6"/>
        <v>0.01</v>
      </c>
      <c r="B14" s="357">
        <f t="shared" ca="1" si="7"/>
        <v>9.9999999999999992E-2</v>
      </c>
      <c r="C14" s="342"/>
      <c r="D14" s="359">
        <f t="shared" ca="1" si="8"/>
        <v>14.673142621978776</v>
      </c>
      <c r="E14" s="360">
        <f t="shared" ca="1" si="9"/>
        <v>83.220163370496294</v>
      </c>
      <c r="F14" s="357">
        <f t="shared" ca="1" si="10"/>
        <v>84.50382657499614</v>
      </c>
      <c r="G14" s="359">
        <f t="shared" ca="1" si="11"/>
        <v>1.0652981991563966</v>
      </c>
      <c r="H14" s="360">
        <f t="shared" ca="1" si="12"/>
        <v>6.0419511727587345</v>
      </c>
      <c r="I14" s="357">
        <f t="shared" ca="1" si="13"/>
        <v>6.1351474495016429</v>
      </c>
      <c r="J14" s="359">
        <f t="shared" ca="1" si="14"/>
        <v>3.97956012727574E-2</v>
      </c>
      <c r="K14" s="360">
        <f t="shared" ca="1" si="15"/>
        <v>0.22570527978592239</v>
      </c>
      <c r="L14" s="357">
        <f t="shared" ca="1" si="0"/>
        <v>0.22918674308061929</v>
      </c>
      <c r="M14" s="359">
        <f t="shared" ca="1" si="16"/>
        <v>1.3962634015954636</v>
      </c>
      <c r="N14" s="357">
        <f t="shared" ca="1" si="17"/>
        <v>80</v>
      </c>
      <c r="O14" s="343"/>
      <c r="P14" s="363">
        <f t="shared" ca="1" si="18"/>
        <v>2</v>
      </c>
      <c r="Q14" s="357">
        <f t="shared" ca="1" si="19"/>
        <v>883.5</v>
      </c>
      <c r="R14" s="359">
        <f t="shared" ca="1" si="20"/>
        <v>0.44338748621482044</v>
      </c>
      <c r="S14" s="360">
        <f t="shared" ca="1" si="21"/>
        <v>9.3815208015187856</v>
      </c>
      <c r="T14" s="357">
        <f t="shared" ca="1" si="1"/>
        <v>92.032719062899289</v>
      </c>
      <c r="U14" s="364">
        <f t="shared" ca="1" si="2"/>
        <v>15.981313951005029</v>
      </c>
      <c r="V14" s="359">
        <f t="shared" ca="1" si="3"/>
        <v>1.2249723514152477</v>
      </c>
      <c r="W14" s="357">
        <f t="shared" ca="1" si="4"/>
        <v>0.12247181883300304</v>
      </c>
      <c r="X14" s="343"/>
      <c r="Y14" s="367" t="str">
        <f t="shared" ca="1" si="22"/>
        <v/>
      </c>
      <c r="Z14" s="368" t="str">
        <f t="shared" ca="1" si="23"/>
        <v/>
      </c>
      <c r="AA14" s="369" t="str">
        <f t="shared" ca="1" si="24"/>
        <v/>
      </c>
      <c r="AB14" s="344"/>
      <c r="AC14" s="363" t="e">
        <f t="shared" ca="1" si="25"/>
        <v>#N/A</v>
      </c>
      <c r="AD14" s="376" t="e">
        <f t="shared" ca="1" si="26"/>
        <v>#N/A</v>
      </c>
      <c r="AE14" s="377">
        <f t="shared" ca="1" si="5"/>
        <v>0.22570527978592239</v>
      </c>
      <c r="AF14" s="344"/>
      <c r="AG14" s="359">
        <f t="shared" ca="1" si="27"/>
        <v>84.503826571160886</v>
      </c>
      <c r="AH14" s="357">
        <f t="shared" ca="1" si="28"/>
        <v>94.164790628210653</v>
      </c>
    </row>
    <row r="15" spans="1:248" x14ac:dyDescent="0.2">
      <c r="A15" s="402">
        <f t="shared" ca="1" si="6"/>
        <v>0.01</v>
      </c>
      <c r="B15" s="357">
        <f t="shared" ca="1" si="7"/>
        <v>0.10999999999999999</v>
      </c>
      <c r="C15" s="342"/>
      <c r="D15" s="359">
        <f t="shared" ca="1" si="8"/>
        <v>14.641181364336875</v>
      </c>
      <c r="E15" s="360">
        <f t="shared" ca="1" si="9"/>
        <v>83.038893174335513</v>
      </c>
      <c r="F15" s="357">
        <f t="shared" ca="1" si="10"/>
        <v>84.319760266275125</v>
      </c>
      <c r="G15" s="359">
        <f t="shared" ca="1" si="11"/>
        <v>1.2117100127997653</v>
      </c>
      <c r="H15" s="360">
        <f t="shared" ca="1" si="12"/>
        <v>6.87234010450209</v>
      </c>
      <c r="I15" s="357">
        <f t="shared" ca="1" si="13"/>
        <v>6.9783450521643742</v>
      </c>
      <c r="J15" s="359">
        <f t="shared" ca="1" si="14"/>
        <v>5.1180642332538211E-2</v>
      </c>
      <c r="K15" s="360">
        <f t="shared" ca="1" si="15"/>
        <v>0.29027673617222649</v>
      </c>
      <c r="L15" s="357">
        <f t="shared" ca="1" si="0"/>
        <v>0.2947542055889476</v>
      </c>
      <c r="M15" s="359">
        <f t="shared" ca="1" si="16"/>
        <v>1.3962634015954636</v>
      </c>
      <c r="N15" s="357">
        <f t="shared" ca="1" si="17"/>
        <v>80</v>
      </c>
      <c r="O15" s="343"/>
      <c r="P15" s="363">
        <f t="shared" ca="1" si="18"/>
        <v>2</v>
      </c>
      <c r="Q15" s="357">
        <f t="shared" ca="1" si="19"/>
        <v>881.38888888888891</v>
      </c>
      <c r="R15" s="359">
        <f t="shared" ca="1" si="20"/>
        <v>0.44232801790845289</v>
      </c>
      <c r="S15" s="360">
        <f t="shared" ca="1" si="21"/>
        <v>9.3770975213397012</v>
      </c>
      <c r="T15" s="357">
        <f t="shared" ca="1" si="1"/>
        <v>91.989326684342473</v>
      </c>
      <c r="U15" s="364">
        <f t="shared" ca="1" si="2"/>
        <v>15.973778943544005</v>
      </c>
      <c r="V15" s="359">
        <f t="shared" ca="1" si="3"/>
        <v>1.2249644416159073</v>
      </c>
      <c r="W15" s="357">
        <f t="shared" ca="1" si="4"/>
        <v>0.15844853689289348</v>
      </c>
      <c r="X15" s="343"/>
      <c r="Y15" s="367" t="str">
        <f t="shared" ca="1" si="22"/>
        <v/>
      </c>
      <c r="Z15" s="368" t="str">
        <f t="shared" ca="1" si="23"/>
        <v/>
      </c>
      <c r="AA15" s="369" t="str">
        <f t="shared" ca="1" si="24"/>
        <v/>
      </c>
      <c r="AB15" s="344"/>
      <c r="AC15" s="363" t="e">
        <f t="shared" ca="1" si="25"/>
        <v>#N/A</v>
      </c>
      <c r="AD15" s="376" t="e">
        <f t="shared" ca="1" si="26"/>
        <v>#N/A</v>
      </c>
      <c r="AE15" s="377">
        <f t="shared" ca="1" si="5"/>
        <v>0.29027673617222649</v>
      </c>
      <c r="AF15" s="344"/>
      <c r="AG15" s="359">
        <f t="shared" ca="1" si="27"/>
        <v>84.319760262446252</v>
      </c>
      <c r="AH15" s="357">
        <f t="shared" ca="1" si="28"/>
        <v>93.980724319496019</v>
      </c>
    </row>
    <row r="16" spans="1:248" x14ac:dyDescent="0.2">
      <c r="A16" s="402">
        <f t="shared" ca="1" si="6"/>
        <v>0.01</v>
      </c>
      <c r="B16" s="357">
        <f t="shared" ca="1" si="7"/>
        <v>0.11999999999999998</v>
      </c>
      <c r="C16" s="342"/>
      <c r="D16" s="359">
        <f t="shared" ca="1" si="8"/>
        <v>14.609086993121238</v>
      </c>
      <c r="E16" s="360">
        <f t="shared" ca="1" si="9"/>
        <v>82.856868039965946</v>
      </c>
      <c r="F16" s="357">
        <f t="shared" ca="1" si="10"/>
        <v>84.134927373623583</v>
      </c>
      <c r="G16" s="359">
        <f t="shared" ca="1" si="11"/>
        <v>1.3578008827309778</v>
      </c>
      <c r="H16" s="360">
        <f t="shared" ca="1" si="12"/>
        <v>7.700908784901749</v>
      </c>
      <c r="I16" s="357">
        <f t="shared" ca="1" si="13"/>
        <v>7.8196943259005947</v>
      </c>
      <c r="J16" s="359">
        <f t="shared" ca="1" si="14"/>
        <v>6.4028196810191923E-2</v>
      </c>
      <c r="K16" s="360">
        <f t="shared" ca="1" si="15"/>
        <v>0.36314298061924566</v>
      </c>
      <c r="L16" s="357">
        <f t="shared" ca="1" si="0"/>
        <v>0.36874440247927087</v>
      </c>
      <c r="M16" s="359">
        <f t="shared" ca="1" si="16"/>
        <v>1.3962634015954636</v>
      </c>
      <c r="N16" s="357">
        <f t="shared" ca="1" si="17"/>
        <v>80</v>
      </c>
      <c r="O16" s="343"/>
      <c r="P16" s="363">
        <f t="shared" ca="1" si="18"/>
        <v>2</v>
      </c>
      <c r="Q16" s="357">
        <f t="shared" ca="1" si="19"/>
        <v>879.27777777777783</v>
      </c>
      <c r="R16" s="359">
        <f t="shared" ca="1" si="20"/>
        <v>0.44126854960208534</v>
      </c>
      <c r="S16" s="360">
        <f t="shared" ca="1" si="21"/>
        <v>9.3726848358436801</v>
      </c>
      <c r="T16" s="357">
        <f t="shared" ca="1" si="1"/>
        <v>91.946038239626503</v>
      </c>
      <c r="U16" s="364">
        <f t="shared" ca="1" si="2"/>
        <v>15.96626198400504</v>
      </c>
      <c r="V16" s="359">
        <f t="shared" ca="1" si="3"/>
        <v>1.2249555157925807</v>
      </c>
      <c r="W16" s="357">
        <f t="shared" ca="1" si="4"/>
        <v>0.19895723764524609</v>
      </c>
      <c r="X16" s="343"/>
      <c r="Y16" s="367" t="str">
        <f t="shared" ca="1" si="22"/>
        <v/>
      </c>
      <c r="Z16" s="368" t="str">
        <f t="shared" ca="1" si="23"/>
        <v/>
      </c>
      <c r="AA16" s="369" t="str">
        <f t="shared" ca="1" si="24"/>
        <v/>
      </c>
      <c r="AB16" s="344"/>
      <c r="AC16" s="363" t="e">
        <f t="shared" ca="1" si="25"/>
        <v>#N/A</v>
      </c>
      <c r="AD16" s="376" t="e">
        <f t="shared" ca="1" si="26"/>
        <v>#N/A</v>
      </c>
      <c r="AE16" s="377">
        <f t="shared" ca="1" si="5"/>
        <v>0.36314298061924566</v>
      </c>
      <c r="AF16" s="344"/>
      <c r="AG16" s="359">
        <f t="shared" ca="1" si="27"/>
        <v>84.134927369801062</v>
      </c>
      <c r="AH16" s="357">
        <f t="shared" ca="1" si="28"/>
        <v>93.795891426850815</v>
      </c>
    </row>
    <row r="17" spans="1:34" x14ac:dyDescent="0.2">
      <c r="A17" s="402">
        <f t="shared" ca="1" si="6"/>
        <v>0.01</v>
      </c>
      <c r="B17" s="357">
        <f t="shared" ca="1" si="7"/>
        <v>0.12999999999999998</v>
      </c>
      <c r="C17" s="342"/>
      <c r="D17" s="359">
        <f t="shared" ca="1" si="8"/>
        <v>14.576860001269278</v>
      </c>
      <c r="E17" s="360">
        <f t="shared" ca="1" si="9"/>
        <v>82.674090762985557</v>
      </c>
      <c r="F17" s="357">
        <f t="shared" ca="1" si="10"/>
        <v>83.949330735765713</v>
      </c>
      <c r="G17" s="359">
        <f t="shared" ca="1" si="11"/>
        <v>1.5035694827436705</v>
      </c>
      <c r="H17" s="360">
        <f t="shared" ca="1" si="12"/>
        <v>8.5276496925316039</v>
      </c>
      <c r="I17" s="357">
        <f t="shared" ca="1" si="13"/>
        <v>8.6591876332582398</v>
      </c>
      <c r="J17" s="359">
        <f t="shared" ca="1" si="14"/>
        <v>7.8335048637565158E-2</v>
      </c>
      <c r="K17" s="360">
        <f t="shared" ca="1" si="15"/>
        <v>0.44428577300641242</v>
      </c>
      <c r="L17" s="357">
        <f t="shared" ca="1" si="0"/>
        <v>0.45113881227506364</v>
      </c>
      <c r="M17" s="359">
        <f t="shared" ca="1" si="16"/>
        <v>1.3962634015954636</v>
      </c>
      <c r="N17" s="357">
        <f t="shared" ca="1" si="17"/>
        <v>80</v>
      </c>
      <c r="O17" s="343"/>
      <c r="P17" s="363">
        <f t="shared" ca="1" si="18"/>
        <v>2</v>
      </c>
      <c r="Q17" s="357">
        <f t="shared" ca="1" si="19"/>
        <v>877.16666666666663</v>
      </c>
      <c r="R17" s="359">
        <f t="shared" ca="1" si="20"/>
        <v>0.44020908129571773</v>
      </c>
      <c r="S17" s="360">
        <f t="shared" ca="1" si="21"/>
        <v>9.3682827450307222</v>
      </c>
      <c r="T17" s="357">
        <f t="shared" ca="1" si="1"/>
        <v>91.902853728751396</v>
      </c>
      <c r="U17" s="364">
        <f t="shared" ca="1" si="2"/>
        <v>15.958763072388141</v>
      </c>
      <c r="V17" s="359">
        <f t="shared" ca="1" si="3"/>
        <v>1.2249455762017927</v>
      </c>
      <c r="W17" s="357">
        <f t="shared" ca="1" si="4"/>
        <v>0.2439669325721309</v>
      </c>
      <c r="X17" s="343"/>
      <c r="Y17" s="367" t="str">
        <f t="shared" ca="1" si="22"/>
        <v/>
      </c>
      <c r="Z17" s="368" t="str">
        <f t="shared" ca="1" si="23"/>
        <v/>
      </c>
      <c r="AA17" s="369" t="str">
        <f t="shared" ca="1" si="24"/>
        <v/>
      </c>
      <c r="AB17" s="344"/>
      <c r="AC17" s="363" t="e">
        <f t="shared" ca="1" si="25"/>
        <v>#N/A</v>
      </c>
      <c r="AD17" s="376" t="e">
        <f t="shared" ca="1" si="26"/>
        <v>#N/A</v>
      </c>
      <c r="AE17" s="377">
        <f t="shared" ca="1" si="5"/>
        <v>0.44428577300641242</v>
      </c>
      <c r="AF17" s="344"/>
      <c r="AG17" s="359">
        <f t="shared" ca="1" si="27"/>
        <v>83.94933073194953</v>
      </c>
      <c r="AH17" s="357">
        <f t="shared" ca="1" si="28"/>
        <v>93.610294788999298</v>
      </c>
    </row>
    <row r="18" spans="1:34" x14ac:dyDescent="0.2">
      <c r="A18" s="402">
        <f t="shared" ca="1" si="6"/>
        <v>0.01</v>
      </c>
      <c r="B18" s="357">
        <f t="shared" ca="1" si="7"/>
        <v>0.13999999999999999</v>
      </c>
      <c r="C18" s="342"/>
      <c r="D18" s="359">
        <f t="shared" ca="1" si="8"/>
        <v>14.544500885794415</v>
      </c>
      <c r="E18" s="360">
        <f t="shared" ca="1" si="9"/>
        <v>82.490564162108669</v>
      </c>
      <c r="F18" s="357">
        <f t="shared" ca="1" si="10"/>
        <v>83.762973214898722</v>
      </c>
      <c r="G18" s="359">
        <f t="shared" ca="1" si="11"/>
        <v>1.6490144916016147</v>
      </c>
      <c r="H18" s="360">
        <f t="shared" ca="1" si="12"/>
        <v>9.3525553341526901</v>
      </c>
      <c r="I18" s="357">
        <f t="shared" ca="1" si="13"/>
        <v>9.4968173654072174</v>
      </c>
      <c r="J18" s="359">
        <f t="shared" ca="1" si="14"/>
        <v>9.4097968509291585E-2</v>
      </c>
      <c r="K18" s="360">
        <f t="shared" ca="1" si="15"/>
        <v>0.53368679813983388</v>
      </c>
      <c r="L18" s="357">
        <f t="shared" ca="1" si="0"/>
        <v>0.54191883726838963</v>
      </c>
      <c r="M18" s="359">
        <f t="shared" ca="1" si="16"/>
        <v>1.3962634015954636</v>
      </c>
      <c r="N18" s="357">
        <f t="shared" ca="1" si="17"/>
        <v>80</v>
      </c>
      <c r="O18" s="343"/>
      <c r="P18" s="363">
        <f t="shared" ca="1" si="18"/>
        <v>2</v>
      </c>
      <c r="Q18" s="357">
        <f t="shared" ca="1" si="19"/>
        <v>875.05555555555554</v>
      </c>
      <c r="R18" s="359">
        <f t="shared" ca="1" si="20"/>
        <v>0.43914961298935024</v>
      </c>
      <c r="S18" s="360">
        <f t="shared" ca="1" si="21"/>
        <v>9.3638912489008295</v>
      </c>
      <c r="T18" s="357">
        <f t="shared" ca="1" si="1"/>
        <v>91.859773151717135</v>
      </c>
      <c r="U18" s="364">
        <f t="shared" ca="1" si="2"/>
        <v>15.951282208693302</v>
      </c>
      <c r="V18" s="359">
        <f t="shared" ca="1" si="3"/>
        <v>1.2249346251117137</v>
      </c>
      <c r="W18" s="357">
        <f t="shared" ca="1" si="4"/>
        <v>0.29344651400869498</v>
      </c>
      <c r="X18" s="343"/>
      <c r="Y18" s="367" t="str">
        <f t="shared" ca="1" si="22"/>
        <v/>
      </c>
      <c r="Z18" s="368" t="str">
        <f t="shared" ca="1" si="23"/>
        <v/>
      </c>
      <c r="AA18" s="369" t="str">
        <f t="shared" ca="1" si="24"/>
        <v/>
      </c>
      <c r="AB18" s="344"/>
      <c r="AC18" s="363" t="e">
        <f t="shared" ca="1" si="25"/>
        <v>#N/A</v>
      </c>
      <c r="AD18" s="376" t="e">
        <f t="shared" ca="1" si="26"/>
        <v>#N/A</v>
      </c>
      <c r="AE18" s="377">
        <f t="shared" ca="1" si="5"/>
        <v>0.53368679813983388</v>
      </c>
      <c r="AF18" s="344"/>
      <c r="AG18" s="359">
        <f t="shared" ca="1" si="27"/>
        <v>83.762973211088877</v>
      </c>
      <c r="AH18" s="357">
        <f t="shared" ca="1" si="28"/>
        <v>93.42393726813863</v>
      </c>
    </row>
    <row r="19" spans="1:34" x14ac:dyDescent="0.2">
      <c r="A19" s="402">
        <f t="shared" ca="1" si="6"/>
        <v>0.01</v>
      </c>
      <c r="B19" s="357">
        <f t="shared" ca="1" si="7"/>
        <v>0.15</v>
      </c>
      <c r="C19" s="342"/>
      <c r="D19" s="359">
        <f t="shared" ca="1" si="8"/>
        <v>14.512010147751925</v>
      </c>
      <c r="E19" s="360">
        <f t="shared" ca="1" si="9"/>
        <v>82.306291078972095</v>
      </c>
      <c r="F19" s="357">
        <f t="shared" ca="1" si="10"/>
        <v>83.575857696495916</v>
      </c>
      <c r="G19" s="359">
        <f t="shared" ca="1" si="11"/>
        <v>1.7941345930791339</v>
      </c>
      <c r="H19" s="360">
        <f t="shared" ca="1" si="12"/>
        <v>10.175618244942411</v>
      </c>
      <c r="I19" s="357">
        <f t="shared" ca="1" si="13"/>
        <v>10.332575942372168</v>
      </c>
      <c r="J19" s="359">
        <f t="shared" ca="1" si="14"/>
        <v>0.11131371393269533</v>
      </c>
      <c r="K19" s="360">
        <f t="shared" ca="1" si="15"/>
        <v>0.63132766603530943</v>
      </c>
      <c r="L19" s="357">
        <f t="shared" ca="1" si="0"/>
        <v>0.64106580380728562</v>
      </c>
      <c r="M19" s="359">
        <f t="shared" ca="1" si="16"/>
        <v>1.3962634015954636</v>
      </c>
      <c r="N19" s="357">
        <f t="shared" ca="1" si="17"/>
        <v>80</v>
      </c>
      <c r="O19" s="343"/>
      <c r="P19" s="363">
        <f t="shared" ca="1" si="18"/>
        <v>2</v>
      </c>
      <c r="Q19" s="357">
        <f t="shared" ca="1" si="19"/>
        <v>872.94444444444446</v>
      </c>
      <c r="R19" s="359">
        <f t="shared" ca="1" si="20"/>
        <v>0.43809014468298269</v>
      </c>
      <c r="S19" s="360">
        <f t="shared" ca="1" si="21"/>
        <v>9.359510347454</v>
      </c>
      <c r="T19" s="357">
        <f t="shared" ca="1" si="1"/>
        <v>91.816796508523751</v>
      </c>
      <c r="U19" s="364">
        <f t="shared" ca="1" si="2"/>
        <v>15.943819392920528</v>
      </c>
      <c r="V19" s="359">
        <f t="shared" ca="1" si="3"/>
        <v>1.224922664802103</v>
      </c>
      <c r="W19" s="357">
        <f t="shared" ca="1" si="4"/>
        <v>0.34736475720591659</v>
      </c>
      <c r="X19" s="343"/>
      <c r="Y19" s="367" t="str">
        <f t="shared" ca="1" si="22"/>
        <v/>
      </c>
      <c r="Z19" s="368" t="str">
        <f t="shared" ca="1" si="23"/>
        <v/>
      </c>
      <c r="AA19" s="369" t="str">
        <f t="shared" ca="1" si="24"/>
        <v/>
      </c>
      <c r="AB19" s="344"/>
      <c r="AC19" s="363" t="e">
        <f t="shared" ca="1" si="25"/>
        <v>#N/A</v>
      </c>
      <c r="AD19" s="376" t="e">
        <f t="shared" ca="1" si="26"/>
        <v>#N/A</v>
      </c>
      <c r="AE19" s="377">
        <f t="shared" ca="1" si="5"/>
        <v>0.63132766603530943</v>
      </c>
      <c r="AF19" s="344"/>
      <c r="AG19" s="359">
        <f t="shared" ca="1" si="27"/>
        <v>83.575857692692381</v>
      </c>
      <c r="AH19" s="357">
        <f t="shared" ca="1" si="28"/>
        <v>93.236821749742148</v>
      </c>
    </row>
    <row r="20" spans="1:34" x14ac:dyDescent="0.2">
      <c r="A20" s="402">
        <f t="shared" ca="1" si="6"/>
        <v>0.01</v>
      </c>
      <c r="B20" s="357">
        <f t="shared" ca="1" si="7"/>
        <v>0.16</v>
      </c>
      <c r="C20" s="342"/>
      <c r="D20" s="359">
        <f t="shared" ca="1" si="8"/>
        <v>14.479388292204408</v>
      </c>
      <c r="E20" s="360">
        <f t="shared" ca="1" si="9"/>
        <v>82.121274377939599</v>
      </c>
      <c r="F20" s="357">
        <f t="shared" ca="1" si="10"/>
        <v>83.387987089108137</v>
      </c>
      <c r="G20" s="359">
        <f t="shared" ca="1" si="11"/>
        <v>1.938928476001178</v>
      </c>
      <c r="H20" s="360">
        <f t="shared" ca="1" si="12"/>
        <v>10.996830988721808</v>
      </c>
      <c r="I20" s="357">
        <f t="shared" ca="1" si="13"/>
        <v>11.166455813263244</v>
      </c>
      <c r="J20" s="359">
        <f t="shared" ca="1" si="14"/>
        <v>0.1299790292780969</v>
      </c>
      <c r="K20" s="360">
        <f t="shared" ca="1" si="15"/>
        <v>0.7371899122036305</v>
      </c>
      <c r="L20" s="357">
        <f t="shared" ca="1" si="0"/>
        <v>0.74856096258546156</v>
      </c>
      <c r="M20" s="359">
        <f t="shared" ca="1" si="16"/>
        <v>1.3962634015954636</v>
      </c>
      <c r="N20" s="357">
        <f t="shared" ca="1" si="17"/>
        <v>80</v>
      </c>
      <c r="O20" s="343"/>
      <c r="P20" s="363">
        <f t="shared" ca="1" si="18"/>
        <v>2</v>
      </c>
      <c r="Q20" s="357">
        <f t="shared" ca="1" si="19"/>
        <v>870.83333333333337</v>
      </c>
      <c r="R20" s="359">
        <f t="shared" ca="1" si="20"/>
        <v>0.43703067637661513</v>
      </c>
      <c r="S20" s="360">
        <f t="shared" ca="1" si="21"/>
        <v>9.3551400406902339</v>
      </c>
      <c r="T20" s="357">
        <f t="shared" ca="1" si="1"/>
        <v>91.7739237991712</v>
      </c>
      <c r="U20" s="364">
        <f t="shared" ca="1" si="2"/>
        <v>15.936374625069814</v>
      </c>
      <c r="V20" s="359">
        <f t="shared" ca="1" si="3"/>
        <v>1.2249096975642573</v>
      </c>
      <c r="W20" s="357">
        <f t="shared" ca="1" si="4"/>
        <v>0.40569032239992042</v>
      </c>
      <c r="X20" s="343"/>
      <c r="Y20" s="367" t="str">
        <f t="shared" ca="1" si="22"/>
        <v/>
      </c>
      <c r="Z20" s="368" t="str">
        <f t="shared" ca="1" si="23"/>
        <v/>
      </c>
      <c r="AA20" s="369" t="str">
        <f t="shared" ca="1" si="24"/>
        <v/>
      </c>
      <c r="AB20" s="344"/>
      <c r="AC20" s="363" t="e">
        <f t="shared" ca="1" si="25"/>
        <v>#N/A</v>
      </c>
      <c r="AD20" s="376" t="e">
        <f t="shared" ca="1" si="26"/>
        <v>#N/A</v>
      </c>
      <c r="AE20" s="377">
        <f t="shared" ca="1" si="5"/>
        <v>0.7371899122036305</v>
      </c>
      <c r="AF20" s="344"/>
      <c r="AG20" s="359">
        <f t="shared" ca="1" si="27"/>
        <v>83.387987085310883</v>
      </c>
      <c r="AH20" s="357">
        <f t="shared" ca="1" si="28"/>
        <v>93.04895114236065</v>
      </c>
    </row>
    <row r="21" spans="1:34" x14ac:dyDescent="0.2">
      <c r="A21" s="402">
        <f t="shared" ca="1" si="6"/>
        <v>0.01</v>
      </c>
      <c r="B21" s="357">
        <f t="shared" ca="1" si="7"/>
        <v>0.17</v>
      </c>
      <c r="C21" s="342"/>
      <c r="D21" s="359">
        <f t="shared" ca="1" si="8"/>
        <v>14.446635828187082</v>
      </c>
      <c r="E21" s="360">
        <f t="shared" ca="1" si="9"/>
        <v>81.935516945904709</v>
      </c>
      <c r="F21" s="357">
        <f t="shared" ca="1" si="10"/>
        <v>83.19936432416354</v>
      </c>
      <c r="G21" s="359">
        <f t="shared" ca="1" si="11"/>
        <v>2.0833948342830491</v>
      </c>
      <c r="H21" s="360">
        <f t="shared" ca="1" si="12"/>
        <v>11.816186158180855</v>
      </c>
      <c r="I21" s="357">
        <f t="shared" ca="1" si="13"/>
        <v>11.998449456504876</v>
      </c>
      <c r="J21" s="359">
        <f t="shared" ca="1" si="14"/>
        <v>0.15009064582951803</v>
      </c>
      <c r="K21" s="360">
        <f t="shared" ca="1" si="15"/>
        <v>0.85125499793814385</v>
      </c>
      <c r="L21" s="357">
        <f t="shared" ca="1" si="0"/>
        <v>0.86438548893430134</v>
      </c>
      <c r="M21" s="359">
        <f t="shared" ca="1" si="16"/>
        <v>1.3962634015954636</v>
      </c>
      <c r="N21" s="357">
        <f t="shared" ca="1" si="17"/>
        <v>80</v>
      </c>
      <c r="O21" s="343"/>
      <c r="P21" s="363">
        <f t="shared" ca="1" si="18"/>
        <v>2</v>
      </c>
      <c r="Q21" s="357">
        <f t="shared" ca="1" si="19"/>
        <v>868.72222222222217</v>
      </c>
      <c r="R21" s="359">
        <f t="shared" ca="1" si="20"/>
        <v>0.43597120807024753</v>
      </c>
      <c r="S21" s="360">
        <f t="shared" ca="1" si="21"/>
        <v>9.350780328609531</v>
      </c>
      <c r="T21" s="357">
        <f t="shared" ca="1" si="1"/>
        <v>91.731155023659497</v>
      </c>
      <c r="U21" s="364">
        <f t="shared" ca="1" si="2"/>
        <v>15.928947905141161</v>
      </c>
      <c r="V21" s="359">
        <f t="shared" ca="1" si="3"/>
        <v>1.2248957257009536</v>
      </c>
      <c r="W21" s="357">
        <f t="shared" ca="1" si="4"/>
        <v>0.46839175688761364</v>
      </c>
      <c r="X21" s="343"/>
      <c r="Y21" s="367" t="str">
        <f t="shared" ca="1" si="22"/>
        <v/>
      </c>
      <c r="Z21" s="368" t="str">
        <f t="shared" ca="1" si="23"/>
        <v/>
      </c>
      <c r="AA21" s="369" t="str">
        <f t="shared" ca="1" si="24"/>
        <v/>
      </c>
      <c r="AB21" s="344"/>
      <c r="AC21" s="363" t="e">
        <f t="shared" ca="1" si="25"/>
        <v>#N/A</v>
      </c>
      <c r="AD21" s="376" t="e">
        <f t="shared" ca="1" si="26"/>
        <v>#N/A</v>
      </c>
      <c r="AE21" s="377">
        <f t="shared" ca="1" si="5"/>
        <v>0.85125499793814385</v>
      </c>
      <c r="AF21" s="344"/>
      <c r="AG21" s="359">
        <f t="shared" ca="1" si="27"/>
        <v>83.199364320372581</v>
      </c>
      <c r="AH21" s="357">
        <f t="shared" ca="1" si="28"/>
        <v>92.860328377422348</v>
      </c>
    </row>
    <row r="22" spans="1:34" x14ac:dyDescent="0.2">
      <c r="A22" s="402">
        <f t="shared" ca="1" si="6"/>
        <v>0.01</v>
      </c>
      <c r="B22" s="357">
        <f t="shared" ca="1" si="7"/>
        <v>0.18000000000000002</v>
      </c>
      <c r="C22" s="342"/>
      <c r="D22" s="359">
        <f t="shared" ca="1" si="8"/>
        <v>14.413753268672687</v>
      </c>
      <c r="E22" s="360">
        <f t="shared" ca="1" si="9"/>
        <v>81.749021692092015</v>
      </c>
      <c r="F22" s="357">
        <f t="shared" ca="1" si="10"/>
        <v>83.009992355765831</v>
      </c>
      <c r="G22" s="359">
        <f t="shared" ca="1" si="11"/>
        <v>2.227532366969776</v>
      </c>
      <c r="H22" s="360">
        <f t="shared" ca="1" si="12"/>
        <v>12.633676375101775</v>
      </c>
      <c r="I22" s="357">
        <f t="shared" ca="1" si="13"/>
        <v>12.82854938006253</v>
      </c>
      <c r="J22" s="359">
        <f t="shared" ca="1" si="14"/>
        <v>0.17164528183578215</v>
      </c>
      <c r="K22" s="360">
        <f t="shared" ca="1" si="15"/>
        <v>0.973504310604557</v>
      </c>
      <c r="L22" s="357">
        <f t="shared" ca="1" si="0"/>
        <v>0.98852048311713747</v>
      </c>
      <c r="M22" s="359">
        <f t="shared" ca="1" si="16"/>
        <v>1.3962634015954636</v>
      </c>
      <c r="N22" s="357">
        <f t="shared" ca="1" si="17"/>
        <v>80</v>
      </c>
      <c r="O22" s="343"/>
      <c r="P22" s="363">
        <f t="shared" ca="1" si="18"/>
        <v>2</v>
      </c>
      <c r="Q22" s="357">
        <f t="shared" ca="1" si="19"/>
        <v>866.61111111111109</v>
      </c>
      <c r="R22" s="359">
        <f t="shared" ca="1" si="20"/>
        <v>0.43491173976387998</v>
      </c>
      <c r="S22" s="360">
        <f t="shared" ca="1" si="21"/>
        <v>9.3464312112118915</v>
      </c>
      <c r="T22" s="357">
        <f t="shared" ca="1" si="1"/>
        <v>91.688490181988655</v>
      </c>
      <c r="U22" s="364">
        <f t="shared" ca="1" si="2"/>
        <v>15.92153923313457</v>
      </c>
      <c r="V22" s="359">
        <f t="shared" ca="1" si="3"/>
        <v>1.2248807515263962</v>
      </c>
      <c r="W22" s="357">
        <f t="shared" ca="1" si="4"/>
        <v>0.53543749710840827</v>
      </c>
      <c r="X22" s="343"/>
      <c r="Y22" s="367" t="str">
        <f t="shared" ca="1" si="22"/>
        <v/>
      </c>
      <c r="Z22" s="368" t="str">
        <f t="shared" ca="1" si="23"/>
        <v/>
      </c>
      <c r="AA22" s="369" t="str">
        <f t="shared" ca="1" si="24"/>
        <v/>
      </c>
      <c r="AB22" s="344"/>
      <c r="AC22" s="363" t="e">
        <f t="shared" ca="1" si="25"/>
        <v>#N/A</v>
      </c>
      <c r="AD22" s="376" t="e">
        <f t="shared" ca="1" si="26"/>
        <v>#N/A</v>
      </c>
      <c r="AE22" s="377">
        <f t="shared" ca="1" si="5"/>
        <v>0.973504310604557</v>
      </c>
      <c r="AF22" s="344"/>
      <c r="AG22" s="359">
        <f t="shared" ca="1" si="27"/>
        <v>83.009992351981168</v>
      </c>
      <c r="AH22" s="357">
        <f t="shared" ca="1" si="28"/>
        <v>92.670956409030936</v>
      </c>
    </row>
    <row r="23" spans="1:34" x14ac:dyDescent="0.2">
      <c r="A23" s="402">
        <f t="shared" ca="1" si="6"/>
        <v>0.01</v>
      </c>
      <c r="B23" s="357">
        <f t="shared" ca="1" si="7"/>
        <v>0.19000000000000003</v>
      </c>
      <c r="C23" s="342"/>
      <c r="D23" s="359">
        <f t="shared" ca="1" si="8"/>
        <v>14.380741130536212</v>
      </c>
      <c r="E23" s="360">
        <f t="shared" ca="1" si="9"/>
        <v>81.561791547856842</v>
      </c>
      <c r="F23" s="357">
        <f t="shared" ca="1" si="10"/>
        <v>82.819874160490897</v>
      </c>
      <c r="G23" s="359">
        <f t="shared" ca="1" si="11"/>
        <v>2.371339778275138</v>
      </c>
      <c r="H23" s="360">
        <f t="shared" ca="1" si="12"/>
        <v>13.449294290580344</v>
      </c>
      <c r="I23" s="357">
        <f t="shared" ca="1" si="13"/>
        <v>13.656748121667436</v>
      </c>
      <c r="J23" s="359">
        <f t="shared" ca="1" si="14"/>
        <v>0.19463964256200672</v>
      </c>
      <c r="K23" s="360">
        <f t="shared" ca="1" si="15"/>
        <v>1.1039191639329675</v>
      </c>
      <c r="L23" s="357">
        <f t="shared" ca="1" si="0"/>
        <v>1.1209469706257864</v>
      </c>
      <c r="M23" s="359">
        <f t="shared" ca="1" si="16"/>
        <v>1.3962634015954636</v>
      </c>
      <c r="N23" s="357">
        <f t="shared" ca="1" si="17"/>
        <v>80</v>
      </c>
      <c r="O23" s="343"/>
      <c r="P23" s="363">
        <f t="shared" ca="1" si="18"/>
        <v>2</v>
      </c>
      <c r="Q23" s="357">
        <f t="shared" ca="1" si="19"/>
        <v>864.5</v>
      </c>
      <c r="R23" s="359">
        <f t="shared" ca="1" si="20"/>
        <v>0.43385227145751248</v>
      </c>
      <c r="S23" s="360">
        <f t="shared" ca="1" si="21"/>
        <v>9.342092688497317</v>
      </c>
      <c r="T23" s="357">
        <f t="shared" ca="1" si="1"/>
        <v>91.645929274158689</v>
      </c>
      <c r="U23" s="364">
        <f t="shared" ca="1" si="2"/>
        <v>15.914148609050047</v>
      </c>
      <c r="V23" s="359">
        <f t="shared" ca="1" si="3"/>
        <v>1.2248647773661614</v>
      </c>
      <c r="W23" s="357">
        <f t="shared" ca="1" si="4"/>
        <v>0.60679587073179209</v>
      </c>
      <c r="X23" s="343"/>
      <c r="Y23" s="367" t="str">
        <f t="shared" ca="1" si="22"/>
        <v/>
      </c>
      <c r="Z23" s="368" t="str">
        <f t="shared" ca="1" si="23"/>
        <v/>
      </c>
      <c r="AA23" s="369" t="str">
        <f t="shared" ca="1" si="24"/>
        <v/>
      </c>
      <c r="AB23" s="344"/>
      <c r="AC23" s="363" t="e">
        <f t="shared" ca="1" si="25"/>
        <v>#N/A</v>
      </c>
      <c r="AD23" s="376" t="e">
        <f t="shared" ca="1" si="26"/>
        <v>#N/A</v>
      </c>
      <c r="AE23" s="377">
        <f t="shared" ca="1" si="5"/>
        <v>1.1039191639329675</v>
      </c>
      <c r="AF23" s="344"/>
      <c r="AG23" s="359">
        <f t="shared" ca="1" si="27"/>
        <v>82.819874156712487</v>
      </c>
      <c r="AH23" s="357">
        <f t="shared" ca="1" si="28"/>
        <v>92.480838213762254</v>
      </c>
    </row>
    <row r="24" spans="1:34" x14ac:dyDescent="0.2">
      <c r="A24" s="402">
        <f t="shared" ca="1" si="6"/>
        <v>0.01</v>
      </c>
      <c r="B24" s="357">
        <f t="shared" ca="1" si="7"/>
        <v>0.20000000000000004</v>
      </c>
      <c r="C24" s="342"/>
      <c r="D24" s="359">
        <f t="shared" ca="1" si="8"/>
        <v>14.347599934519229</v>
      </c>
      <c r="E24" s="360">
        <f t="shared" ca="1" si="9"/>
        <v>81.373829466483286</v>
      </c>
      <c r="F24" s="357">
        <f t="shared" ca="1" si="10"/>
        <v>82.629012737181611</v>
      </c>
      <c r="G24" s="359">
        <f t="shared" ca="1" si="11"/>
        <v>2.5148157776203304</v>
      </c>
      <c r="H24" s="360">
        <f t="shared" ca="1" si="12"/>
        <v>14.263032585245178</v>
      </c>
      <c r="I24" s="357">
        <f t="shared" ca="1" si="13"/>
        <v>14.48303824903925</v>
      </c>
      <c r="J24" s="359">
        <f t="shared" ca="1" si="14"/>
        <v>0.21907042034148405</v>
      </c>
      <c r="K24" s="360">
        <f t="shared" ca="1" si="15"/>
        <v>1.2424807983120951</v>
      </c>
      <c r="L24" s="357">
        <f t="shared" ca="1" si="0"/>
        <v>1.2616459024793192</v>
      </c>
      <c r="M24" s="359">
        <f t="shared" ca="1" si="16"/>
        <v>1.3962634015954636</v>
      </c>
      <c r="N24" s="357">
        <f t="shared" ca="1" si="17"/>
        <v>80</v>
      </c>
      <c r="O24" s="343"/>
      <c r="P24" s="363">
        <f t="shared" ca="1" si="18"/>
        <v>2</v>
      </c>
      <c r="Q24" s="357">
        <f t="shared" ca="1" si="19"/>
        <v>862.38888888888891</v>
      </c>
      <c r="R24" s="359">
        <f t="shared" ca="1" si="20"/>
        <v>0.43279280315114493</v>
      </c>
      <c r="S24" s="360">
        <f t="shared" ca="1" si="21"/>
        <v>9.3377647604658058</v>
      </c>
      <c r="T24" s="357">
        <f t="shared" ca="1" si="1"/>
        <v>91.603472300169557</v>
      </c>
      <c r="U24" s="364">
        <f t="shared" ca="1" si="2"/>
        <v>15.906776032887581</v>
      </c>
      <c r="V24" s="359">
        <f t="shared" ca="1" si="3"/>
        <v>1.2248478055571406</v>
      </c>
      <c r="W24" s="357">
        <f t="shared" ca="1" si="4"/>
        <v>0.68243509875050734</v>
      </c>
      <c r="X24" s="343"/>
      <c r="Y24" s="367" t="str">
        <f t="shared" ca="1" si="22"/>
        <v/>
      </c>
      <c r="Z24" s="368" t="str">
        <f t="shared" ca="1" si="23"/>
        <v/>
      </c>
      <c r="AA24" s="369" t="str">
        <f t="shared" ca="1" si="24"/>
        <v/>
      </c>
      <c r="AB24" s="344"/>
      <c r="AC24" s="363" t="e">
        <f t="shared" ca="1" si="25"/>
        <v>#N/A</v>
      </c>
      <c r="AD24" s="376" t="e">
        <f t="shared" ca="1" si="26"/>
        <v>#N/A</v>
      </c>
      <c r="AE24" s="377">
        <f t="shared" ca="1" si="5"/>
        <v>1.2424807983120951</v>
      </c>
      <c r="AF24" s="344"/>
      <c r="AG24" s="359">
        <f t="shared" ca="1" si="27"/>
        <v>82.629012733409439</v>
      </c>
      <c r="AH24" s="357">
        <f t="shared" ca="1" si="28"/>
        <v>92.289976790459207</v>
      </c>
    </row>
    <row r="25" spans="1:34" x14ac:dyDescent="0.2">
      <c r="A25" s="402">
        <f t="shared" ca="1" si="6"/>
        <v>0.01</v>
      </c>
      <c r="B25" s="357">
        <f t="shared" ca="1" si="7"/>
        <v>0.21000000000000005</v>
      </c>
      <c r="C25" s="342"/>
      <c r="D25" s="359">
        <f t="shared" ca="1" si="8"/>
        <v>14.314330205194105</v>
      </c>
      <c r="E25" s="360">
        <f t="shared" ca="1" si="9"/>
        <v>81.185138422980884</v>
      </c>
      <c r="F25" s="357">
        <f t="shared" ca="1" si="10"/>
        <v>82.43741110674145</v>
      </c>
      <c r="G25" s="359">
        <f t="shared" ca="1" si="11"/>
        <v>2.6579590796722714</v>
      </c>
      <c r="H25" s="360">
        <f t="shared" ca="1" si="12"/>
        <v>15.074883969474987</v>
      </c>
      <c r="I25" s="357">
        <f t="shared" ca="1" si="13"/>
        <v>15.307412360106664</v>
      </c>
      <c r="J25" s="359">
        <f t="shared" ca="1" si="14"/>
        <v>0.24493429462794705</v>
      </c>
      <c r="K25" s="360">
        <f t="shared" ca="1" si="15"/>
        <v>1.3891703810856959</v>
      </c>
      <c r="L25" s="357">
        <f t="shared" ca="1" si="0"/>
        <v>1.410598155525048</v>
      </c>
      <c r="M25" s="359">
        <f t="shared" ca="1" si="16"/>
        <v>1.3962634015954636</v>
      </c>
      <c r="N25" s="357">
        <f t="shared" ca="1" si="17"/>
        <v>80</v>
      </c>
      <c r="O25" s="343"/>
      <c r="P25" s="363">
        <f t="shared" ca="1" si="18"/>
        <v>2</v>
      </c>
      <c r="Q25" s="357">
        <f t="shared" ca="1" si="19"/>
        <v>860.27777777777783</v>
      </c>
      <c r="R25" s="359">
        <f t="shared" ca="1" si="20"/>
        <v>0.43173333484477738</v>
      </c>
      <c r="S25" s="360">
        <f t="shared" ca="1" si="21"/>
        <v>9.333447427117358</v>
      </c>
      <c r="T25" s="357">
        <f t="shared" ca="1" si="1"/>
        <v>91.561119260021286</v>
      </c>
      <c r="U25" s="364">
        <f t="shared" ca="1" si="2"/>
        <v>15.899421504647181</v>
      </c>
      <c r="V25" s="359">
        <f t="shared" ca="1" si="3"/>
        <v>1.2248298384474867</v>
      </c>
      <c r="W25" s="357">
        <f t="shared" ca="1" si="4"/>
        <v>0.76232329757910267</v>
      </c>
      <c r="X25" s="343"/>
      <c r="Y25" s="367" t="str">
        <f t="shared" ca="1" si="22"/>
        <v/>
      </c>
      <c r="Z25" s="368" t="str">
        <f t="shared" ca="1" si="23"/>
        <v/>
      </c>
      <c r="AA25" s="369" t="str">
        <f t="shared" ca="1" si="24"/>
        <v/>
      </c>
      <c r="AB25" s="344"/>
      <c r="AC25" s="363" t="e">
        <f t="shared" ca="1" si="25"/>
        <v>#N/A</v>
      </c>
      <c r="AD25" s="376" t="e">
        <f t="shared" ca="1" si="26"/>
        <v>#N/A</v>
      </c>
      <c r="AE25" s="377">
        <f t="shared" ca="1" si="5"/>
        <v>1.3891703810856959</v>
      </c>
      <c r="AF25" s="344"/>
      <c r="AG25" s="359">
        <f t="shared" ca="1" si="27"/>
        <v>82.437411102975531</v>
      </c>
      <c r="AH25" s="357">
        <f t="shared" ca="1" si="28"/>
        <v>92.098375160025299</v>
      </c>
    </row>
    <row r="26" spans="1:34" x14ac:dyDescent="0.2">
      <c r="A26" s="402">
        <f t="shared" ca="1" si="6"/>
        <v>0.01</v>
      </c>
      <c r="B26" s="357">
        <f t="shared" ca="1" si="7"/>
        <v>0.22000000000000006</v>
      </c>
      <c r="C26" s="342"/>
      <c r="D26" s="359">
        <f t="shared" ca="1" si="8"/>
        <v>14.280932470927803</v>
      </c>
      <c r="E26" s="360">
        <f t="shared" ca="1" si="9"/>
        <v>80.995721413879622</v>
      </c>
      <c r="F26" s="357">
        <f t="shared" ca="1" si="10"/>
        <v>82.245072311926378</v>
      </c>
      <c r="G26" s="359">
        <f t="shared" ca="1" si="11"/>
        <v>2.8007684043815493</v>
      </c>
      <c r="H26" s="360">
        <f t="shared" ca="1" si="12"/>
        <v>15.884841183613783</v>
      </c>
      <c r="I26" s="357">
        <f t="shared" ca="1" si="13"/>
        <v>16.129863083225924</v>
      </c>
      <c r="J26" s="359">
        <f t="shared" ca="1" si="14"/>
        <v>0.27222793204821616</v>
      </c>
      <c r="K26" s="360">
        <f t="shared" ca="1" si="15"/>
        <v>1.5439690068511398</v>
      </c>
      <c r="L26" s="357">
        <f t="shared" ca="1" si="0"/>
        <v>1.5677845327417104</v>
      </c>
      <c r="M26" s="359">
        <f t="shared" ca="1" si="16"/>
        <v>1.3962634015954636</v>
      </c>
      <c r="N26" s="357">
        <f t="shared" ca="1" si="17"/>
        <v>80</v>
      </c>
      <c r="O26" s="343"/>
      <c r="P26" s="363">
        <f t="shared" ca="1" si="18"/>
        <v>2</v>
      </c>
      <c r="Q26" s="357">
        <f t="shared" ca="1" si="19"/>
        <v>858.16666666666663</v>
      </c>
      <c r="R26" s="359">
        <f t="shared" ca="1" si="20"/>
        <v>0.43067386653840978</v>
      </c>
      <c r="S26" s="360">
        <f t="shared" ca="1" si="21"/>
        <v>9.3291406884519734</v>
      </c>
      <c r="T26" s="357">
        <f t="shared" ca="1" si="1"/>
        <v>91.518870153713863</v>
      </c>
      <c r="U26" s="364">
        <f t="shared" ca="1" si="2"/>
        <v>15.892085024328839</v>
      </c>
      <c r="V26" s="359">
        <f t="shared" ca="1" si="3"/>
        <v>1.2248108783965554</v>
      </c>
      <c r="W26" s="357">
        <f t="shared" ca="1" si="4"/>
        <v>0.8464284811576156</v>
      </c>
      <c r="X26" s="343"/>
      <c r="Y26" s="367" t="str">
        <f t="shared" ca="1" si="22"/>
        <v/>
      </c>
      <c r="Z26" s="368" t="str">
        <f t="shared" ca="1" si="23"/>
        <v/>
      </c>
      <c r="AA26" s="369" t="str">
        <f t="shared" ca="1" si="24"/>
        <v/>
      </c>
      <c r="AB26" s="344"/>
      <c r="AC26" s="363" t="e">
        <f t="shared" ca="1" si="25"/>
        <v>#N/A</v>
      </c>
      <c r="AD26" s="376" t="e">
        <f t="shared" ca="1" si="26"/>
        <v>#N/A</v>
      </c>
      <c r="AE26" s="377">
        <f t="shared" ca="1" si="5"/>
        <v>1.5439690068511398</v>
      </c>
      <c r="AF26" s="344"/>
      <c r="AG26" s="359">
        <f t="shared" ca="1" si="27"/>
        <v>82.245072308166698</v>
      </c>
      <c r="AH26" s="357">
        <f t="shared" ca="1" si="28"/>
        <v>91.906036365216451</v>
      </c>
    </row>
    <row r="27" spans="1:34" x14ac:dyDescent="0.2">
      <c r="A27" s="402">
        <f t="shared" ca="1" si="6"/>
        <v>0.01</v>
      </c>
      <c r="B27" s="357">
        <f t="shared" ca="1" si="7"/>
        <v>0.23000000000000007</v>
      </c>
      <c r="C27" s="342"/>
      <c r="D27" s="359">
        <f t="shared" ca="1" si="8"/>
        <v>14.247407263845528</v>
      </c>
      <c r="E27" s="360">
        <f t="shared" ca="1" si="9"/>
        <v>80.805581457023635</v>
      </c>
      <c r="F27" s="357">
        <f t="shared" ca="1" si="10"/>
        <v>82.051999417135221</v>
      </c>
      <c r="G27" s="359">
        <f t="shared" ca="1" si="11"/>
        <v>2.9432424770200045</v>
      </c>
      <c r="H27" s="360">
        <f t="shared" ca="1" si="12"/>
        <v>16.692896998184018</v>
      </c>
      <c r="I27" s="357">
        <f t="shared" ca="1" si="13"/>
        <v>16.950383077397273</v>
      </c>
      <c r="J27" s="359">
        <f t="shared" ca="1" si="14"/>
        <v>0.30094798645522391</v>
      </c>
      <c r="K27" s="360">
        <f t="shared" ca="1" si="15"/>
        <v>1.7068576977601289</v>
      </c>
      <c r="L27" s="357">
        <f t="shared" ca="1" si="0"/>
        <v>1.7331857635448258</v>
      </c>
      <c r="M27" s="359">
        <f t="shared" ca="1" si="16"/>
        <v>1.3962634015954636</v>
      </c>
      <c r="N27" s="357">
        <f t="shared" ca="1" si="17"/>
        <v>80</v>
      </c>
      <c r="O27" s="343"/>
      <c r="P27" s="363">
        <f t="shared" ca="1" si="18"/>
        <v>2</v>
      </c>
      <c r="Q27" s="357">
        <f t="shared" ca="1" si="19"/>
        <v>856.05555555555554</v>
      </c>
      <c r="R27" s="359">
        <f t="shared" ca="1" si="20"/>
        <v>0.42961439823204223</v>
      </c>
      <c r="S27" s="360">
        <f t="shared" ca="1" si="21"/>
        <v>9.3248445444696522</v>
      </c>
      <c r="T27" s="357">
        <f t="shared" ca="1" si="1"/>
        <v>91.476724981247287</v>
      </c>
      <c r="U27" s="364">
        <f t="shared" ca="1" si="2"/>
        <v>15.884766591932561</v>
      </c>
      <c r="V27" s="359">
        <f t="shared" ca="1" si="3"/>
        <v>1.2247909277748512</v>
      </c>
      <c r="W27" s="357">
        <f t="shared" ca="1" si="4"/>
        <v>0.93471856306015355</v>
      </c>
      <c r="X27" s="343"/>
      <c r="Y27" s="367" t="str">
        <f t="shared" ca="1" si="22"/>
        <v/>
      </c>
      <c r="Z27" s="368" t="str">
        <f t="shared" ca="1" si="23"/>
        <v/>
      </c>
      <c r="AA27" s="369" t="str">
        <f t="shared" ca="1" si="24"/>
        <v/>
      </c>
      <c r="AB27" s="344"/>
      <c r="AC27" s="363" t="e">
        <f t="shared" ca="1" si="25"/>
        <v>#N/A</v>
      </c>
      <c r="AD27" s="376" t="e">
        <f t="shared" ca="1" si="26"/>
        <v>#N/A</v>
      </c>
      <c r="AE27" s="377">
        <f t="shared" ca="1" si="5"/>
        <v>1.7068576977601289</v>
      </c>
      <c r="AF27" s="344"/>
      <c r="AG27" s="359">
        <f t="shared" ca="1" si="27"/>
        <v>82.051999413381765</v>
      </c>
      <c r="AH27" s="357">
        <f t="shared" ca="1" si="28"/>
        <v>91.712963470431518</v>
      </c>
    </row>
    <row r="28" spans="1:34" x14ac:dyDescent="0.2">
      <c r="A28" s="402">
        <f t="shared" ca="1" si="6"/>
        <v>0.01</v>
      </c>
      <c r="B28" s="357">
        <f t="shared" ca="1" si="7"/>
        <v>0.24000000000000007</v>
      </c>
      <c r="C28" s="342"/>
      <c r="D28" s="359">
        <f t="shared" ca="1" si="8"/>
        <v>14.213755119794051</v>
      </c>
      <c r="E28" s="360">
        <f t="shared" ca="1" si="9"/>
        <v>80.614721591363207</v>
      </c>
      <c r="F28" s="357">
        <f t="shared" ca="1" si="10"/>
        <v>81.858195508198648</v>
      </c>
      <c r="G28" s="359">
        <f t="shared" ca="1" si="11"/>
        <v>3.0853800282179451</v>
      </c>
      <c r="H28" s="360">
        <f t="shared" ca="1" si="12"/>
        <v>17.499044214097651</v>
      </c>
      <c r="I28" s="357">
        <f t="shared" ca="1" si="13"/>
        <v>17.768965032479258</v>
      </c>
      <c r="J28" s="359">
        <f t="shared" ca="1" si="14"/>
        <v>0.33109109898141365</v>
      </c>
      <c r="K28" s="360">
        <f t="shared" ca="1" si="15"/>
        <v>1.8778174038215372</v>
      </c>
      <c r="L28" s="357">
        <f t="shared" ca="1" si="0"/>
        <v>1.9067825040942079</v>
      </c>
      <c r="M28" s="359">
        <f t="shared" ca="1" si="16"/>
        <v>1.3962634015954636</v>
      </c>
      <c r="N28" s="357">
        <f t="shared" ca="1" si="17"/>
        <v>80</v>
      </c>
      <c r="O28" s="343"/>
      <c r="P28" s="363">
        <f t="shared" ca="1" si="18"/>
        <v>2</v>
      </c>
      <c r="Q28" s="357">
        <f t="shared" ca="1" si="19"/>
        <v>853.94444444444446</v>
      </c>
      <c r="R28" s="359">
        <f t="shared" ca="1" si="20"/>
        <v>0.42855492992567468</v>
      </c>
      <c r="S28" s="360">
        <f t="shared" ca="1" si="21"/>
        <v>9.320558995170396</v>
      </c>
      <c r="T28" s="357">
        <f t="shared" ca="1" si="1"/>
        <v>91.434683742621587</v>
      </c>
      <c r="U28" s="364">
        <f t="shared" ca="1" si="2"/>
        <v>15.877466207458347</v>
      </c>
      <c r="V28" s="359">
        <f t="shared" ca="1" si="3"/>
        <v>1.2247699889639685</v>
      </c>
      <c r="W28" s="357">
        <f t="shared" ca="1" si="4"/>
        <v>1.027161358608125</v>
      </c>
      <c r="X28" s="343"/>
      <c r="Y28" s="367" t="str">
        <f t="shared" ca="1" si="22"/>
        <v/>
      </c>
      <c r="Z28" s="368" t="str">
        <f t="shared" ca="1" si="23"/>
        <v/>
      </c>
      <c r="AA28" s="369" t="str">
        <f t="shared" ca="1" si="24"/>
        <v/>
      </c>
      <c r="AB28" s="344"/>
      <c r="AC28" s="363" t="e">
        <f t="shared" ca="1" si="25"/>
        <v>#N/A</v>
      </c>
      <c r="AD28" s="376" t="e">
        <f t="shared" ca="1" si="26"/>
        <v>#N/A</v>
      </c>
      <c r="AE28" s="377">
        <f t="shared" ca="1" si="5"/>
        <v>1.8778174038215372</v>
      </c>
      <c r="AF28" s="344"/>
      <c r="AG28" s="359">
        <f t="shared" ca="1" si="27"/>
        <v>81.858195504451373</v>
      </c>
      <c r="AH28" s="357">
        <f t="shared" ca="1" si="28"/>
        <v>91.519159561501141</v>
      </c>
    </row>
    <row r="29" spans="1:34" x14ac:dyDescent="0.2">
      <c r="A29" s="402">
        <f t="shared" ca="1" si="6"/>
        <v>0.01</v>
      </c>
      <c r="B29" s="357">
        <f t="shared" ca="1" si="7"/>
        <v>0.25000000000000006</v>
      </c>
      <c r="C29" s="342"/>
      <c r="D29" s="359">
        <f t="shared" ca="1" si="8"/>
        <v>14.179976578304833</v>
      </c>
      <c r="E29" s="360">
        <f t="shared" ca="1" si="9"/>
        <v>80.423144876745653</v>
      </c>
      <c r="F29" s="357">
        <f t="shared" ca="1" si="10"/>
        <v>81.663663692166637</v>
      </c>
      <c r="G29" s="359">
        <f t="shared" ca="1" si="11"/>
        <v>3.2271797940009934</v>
      </c>
      <c r="H29" s="360">
        <f t="shared" ca="1" si="12"/>
        <v>18.303275662865108</v>
      </c>
      <c r="I29" s="357">
        <f t="shared" ca="1" si="13"/>
        <v>18.585601669400926</v>
      </c>
      <c r="J29" s="359">
        <f t="shared" ca="1" si="14"/>
        <v>0.36265389809250836</v>
      </c>
      <c r="K29" s="360">
        <f t="shared" ca="1" si="15"/>
        <v>2.0568290032063508</v>
      </c>
      <c r="L29" s="357">
        <f t="shared" ca="1" si="0"/>
        <v>2.0885553376036086</v>
      </c>
      <c r="M29" s="359">
        <f t="shared" ca="1" si="16"/>
        <v>1.3962634015954636</v>
      </c>
      <c r="N29" s="357">
        <f t="shared" ca="1" si="17"/>
        <v>80</v>
      </c>
      <c r="O29" s="343"/>
      <c r="P29" s="363">
        <f t="shared" ca="1" si="18"/>
        <v>2</v>
      </c>
      <c r="Q29" s="357">
        <f t="shared" ca="1" si="19"/>
        <v>851.83333333333337</v>
      </c>
      <c r="R29" s="359">
        <f t="shared" ca="1" si="20"/>
        <v>0.42749546161930718</v>
      </c>
      <c r="S29" s="360">
        <f t="shared" ca="1" si="21"/>
        <v>9.3162840405542031</v>
      </c>
      <c r="T29" s="357">
        <f t="shared" ca="1" si="1"/>
        <v>91.392746437836735</v>
      </c>
      <c r="U29" s="364">
        <f t="shared" ca="1" si="2"/>
        <v>15.870183870906194</v>
      </c>
      <c r="V29" s="359">
        <f t="shared" ca="1" si="3"/>
        <v>1.2247480643565343</v>
      </c>
      <c r="W29" s="357">
        <f t="shared" ca="1" si="4"/>
        <v>1.1237245869878898</v>
      </c>
      <c r="X29" s="343"/>
      <c r="Y29" s="367" t="str">
        <f t="shared" ca="1" si="22"/>
        <v/>
      </c>
      <c r="Z29" s="368" t="str">
        <f t="shared" ca="1" si="23"/>
        <v/>
      </c>
      <c r="AA29" s="369" t="str">
        <f t="shared" ca="1" si="24"/>
        <v/>
      </c>
      <c r="AB29" s="344"/>
      <c r="AC29" s="363" t="e">
        <f t="shared" ca="1" si="25"/>
        <v>#N/A</v>
      </c>
      <c r="AD29" s="376" t="e">
        <f t="shared" ca="1" si="26"/>
        <v>#N/A</v>
      </c>
      <c r="AE29" s="377">
        <f t="shared" ca="1" si="5"/>
        <v>2.0568290032063508</v>
      </c>
      <c r="AF29" s="344"/>
      <c r="AG29" s="359">
        <f t="shared" ca="1" si="27"/>
        <v>81.663663688425544</v>
      </c>
      <c r="AH29" s="357">
        <f t="shared" ca="1" si="28"/>
        <v>91.324627745475311</v>
      </c>
    </row>
    <row r="30" spans="1:34" x14ac:dyDescent="0.2">
      <c r="A30" s="402">
        <f t="shared" ca="1" si="6"/>
        <v>0.01</v>
      </c>
      <c r="B30" s="357">
        <f t="shared" ca="1" si="7"/>
        <v>0.26000000000000006</v>
      </c>
      <c r="C30" s="342"/>
      <c r="D30" s="359">
        <f t="shared" ca="1" si="8"/>
        <v>14.146072182556846</v>
      </c>
      <c r="E30" s="360">
        <f t="shared" ca="1" si="9"/>
        <v>80.230854393704462</v>
      </c>
      <c r="F30" s="357">
        <f t="shared" ca="1" si="10"/>
        <v>81.468407097094484</v>
      </c>
      <c r="G30" s="359">
        <f t="shared" ca="1" si="11"/>
        <v>3.368640515826562</v>
      </c>
      <c r="H30" s="360">
        <f t="shared" ca="1" si="12"/>
        <v>19.105584206802153</v>
      </c>
      <c r="I30" s="357">
        <f t="shared" ca="1" si="13"/>
        <v>19.400285740371871</v>
      </c>
      <c r="J30" s="359">
        <f t="shared" ca="1" si="14"/>
        <v>0.39563299964164617</v>
      </c>
      <c r="K30" s="360">
        <f t="shared" ca="1" si="15"/>
        <v>2.2438733025546869</v>
      </c>
      <c r="L30" s="357">
        <f t="shared" ca="1" si="0"/>
        <v>2.2784847746524717</v>
      </c>
      <c r="M30" s="359">
        <f t="shared" ca="1" si="16"/>
        <v>1.3962634015954636</v>
      </c>
      <c r="N30" s="357">
        <f t="shared" ca="1" si="17"/>
        <v>80</v>
      </c>
      <c r="O30" s="343"/>
      <c r="P30" s="363">
        <f t="shared" ca="1" si="18"/>
        <v>2</v>
      </c>
      <c r="Q30" s="357">
        <f t="shared" ca="1" si="19"/>
        <v>849.72222222222217</v>
      </c>
      <c r="R30" s="359">
        <f t="shared" ca="1" si="20"/>
        <v>0.42643599331293958</v>
      </c>
      <c r="S30" s="360">
        <f t="shared" ca="1" si="21"/>
        <v>9.3120196806210735</v>
      </c>
      <c r="T30" s="357">
        <f t="shared" ca="1" si="1"/>
        <v>91.35091306689273</v>
      </c>
      <c r="U30" s="364">
        <f t="shared" ca="1" si="2"/>
        <v>15.862919582276104</v>
      </c>
      <c r="V30" s="359">
        <f t="shared" ca="1" si="3"/>
        <v>1.2247251563561528</v>
      </c>
      <c r="W30" s="357">
        <f t="shared" ca="1" si="4"/>
        <v>1.224375873372586</v>
      </c>
      <c r="X30" s="343"/>
      <c r="Y30" s="367" t="str">
        <f t="shared" ca="1" si="22"/>
        <v/>
      </c>
      <c r="Z30" s="368" t="str">
        <f t="shared" ca="1" si="23"/>
        <v/>
      </c>
      <c r="AA30" s="369" t="str">
        <f t="shared" ca="1" si="24"/>
        <v/>
      </c>
      <c r="AB30" s="344"/>
      <c r="AC30" s="363" t="e">
        <f t="shared" ca="1" si="25"/>
        <v>#N/A</v>
      </c>
      <c r="AD30" s="376" t="e">
        <f t="shared" ca="1" si="26"/>
        <v>#N/A</v>
      </c>
      <c r="AE30" s="377">
        <f t="shared" ca="1" si="5"/>
        <v>2.2438733025546869</v>
      </c>
      <c r="AF30" s="344"/>
      <c r="AG30" s="359">
        <f t="shared" ca="1" si="27"/>
        <v>81.468407093359588</v>
      </c>
      <c r="AH30" s="357">
        <f t="shared" ca="1" si="28"/>
        <v>91.129371150409355</v>
      </c>
    </row>
    <row r="31" spans="1:34" x14ac:dyDescent="0.2">
      <c r="A31" s="402">
        <f t="shared" ca="1" si="6"/>
        <v>0.01</v>
      </c>
      <c r="B31" s="357">
        <f t="shared" ca="1" si="7"/>
        <v>0.27000000000000007</v>
      </c>
      <c r="C31" s="342"/>
      <c r="D31" s="359">
        <f t="shared" ca="1" si="8"/>
        <v>14.112042479339218</v>
      </c>
      <c r="E31" s="360">
        <f t="shared" ca="1" si="9"/>
        <v>80.037853243247469</v>
      </c>
      <c r="F31" s="357">
        <f t="shared" ca="1" si="10"/>
        <v>81.272428871827714</v>
      </c>
      <c r="G31" s="359">
        <f t="shared" ca="1" si="11"/>
        <v>3.5097609406199544</v>
      </c>
      <c r="H31" s="360">
        <f t="shared" ca="1" si="12"/>
        <v>19.905962739234628</v>
      </c>
      <c r="I31" s="357">
        <f t="shared" ca="1" si="13"/>
        <v>20.213010029090146</v>
      </c>
      <c r="J31" s="359">
        <f t="shared" ca="1" si="14"/>
        <v>0.43002500692387874</v>
      </c>
      <c r="K31" s="360">
        <f t="shared" ca="1" si="15"/>
        <v>2.4389310372848709</v>
      </c>
      <c r="L31" s="357">
        <f t="shared" ca="1" si="0"/>
        <v>2.4765512534997813</v>
      </c>
      <c r="M31" s="359">
        <f t="shared" ca="1" si="16"/>
        <v>1.3962634015954636</v>
      </c>
      <c r="N31" s="357">
        <f t="shared" ca="1" si="17"/>
        <v>80</v>
      </c>
      <c r="O31" s="343"/>
      <c r="P31" s="363">
        <f t="shared" ca="1" si="18"/>
        <v>2</v>
      </c>
      <c r="Q31" s="357">
        <f t="shared" ca="1" si="19"/>
        <v>847.61111111111109</v>
      </c>
      <c r="R31" s="359">
        <f t="shared" ca="1" si="20"/>
        <v>0.42537652500657203</v>
      </c>
      <c r="S31" s="360">
        <f t="shared" ca="1" si="21"/>
        <v>9.3077659153710073</v>
      </c>
      <c r="T31" s="357">
        <f t="shared" ca="1" si="1"/>
        <v>91.309183629789587</v>
      </c>
      <c r="U31" s="364">
        <f t="shared" ca="1" si="2"/>
        <v>15.855673341568076</v>
      </c>
      <c r="V31" s="359">
        <f t="shared" ca="1" si="3"/>
        <v>1.2247012673773459</v>
      </c>
      <c r="W31" s="357">
        <f t="shared" ca="1" si="4"/>
        <v>1.3290827510478962</v>
      </c>
      <c r="X31" s="343"/>
      <c r="Y31" s="367" t="str">
        <f t="shared" ca="1" si="22"/>
        <v/>
      </c>
      <c r="Z31" s="368" t="str">
        <f t="shared" ca="1" si="23"/>
        <v/>
      </c>
      <c r="AA31" s="369" t="str">
        <f t="shared" ca="1" si="24"/>
        <v/>
      </c>
      <c r="AB31" s="344"/>
      <c r="AC31" s="363" t="e">
        <f t="shared" ca="1" si="25"/>
        <v>#N/A</v>
      </c>
      <c r="AD31" s="376" t="e">
        <f t="shared" ca="1" si="26"/>
        <v>#N/A</v>
      </c>
      <c r="AE31" s="377">
        <f t="shared" ca="1" si="5"/>
        <v>2.4389310372848709</v>
      </c>
      <c r="AF31" s="344"/>
      <c r="AG31" s="359">
        <f t="shared" ca="1" si="27"/>
        <v>81.272428868098984</v>
      </c>
      <c r="AH31" s="357">
        <f t="shared" ca="1" si="28"/>
        <v>90.933392925148738</v>
      </c>
    </row>
    <row r="32" spans="1:34" x14ac:dyDescent="0.2">
      <c r="A32" s="402">
        <f t="shared" ca="1" si="6"/>
        <v>0.01</v>
      </c>
      <c r="B32" s="357">
        <f t="shared" ca="1" si="7"/>
        <v>0.28000000000000008</v>
      </c>
      <c r="C32" s="342"/>
      <c r="D32" s="359">
        <f t="shared" ca="1" si="8"/>
        <v>14.077888019013555</v>
      </c>
      <c r="E32" s="360">
        <f t="shared" ca="1" si="9"/>
        <v>79.84414454664315</v>
      </c>
      <c r="F32" s="357">
        <f t="shared" ca="1" si="10"/>
        <v>81.075732185784986</v>
      </c>
      <c r="G32" s="359">
        <f t="shared" ca="1" si="11"/>
        <v>3.6505398208100899</v>
      </c>
      <c r="H32" s="360">
        <f t="shared" ca="1" si="12"/>
        <v>20.704404184701058</v>
      </c>
      <c r="I32" s="357">
        <f t="shared" ca="1" si="13"/>
        <v>21.023767350947995</v>
      </c>
      <c r="J32" s="359">
        <f t="shared" ca="1" si="14"/>
        <v>0.46582651073102899</v>
      </c>
      <c r="K32" s="360">
        <f t="shared" ca="1" si="15"/>
        <v>2.6419828719045495</v>
      </c>
      <c r="L32" s="357">
        <f t="shared" ca="1" si="0"/>
        <v>2.6827351403999717</v>
      </c>
      <c r="M32" s="359">
        <f t="shared" ca="1" si="16"/>
        <v>1.3962634015954636</v>
      </c>
      <c r="N32" s="357">
        <f t="shared" ca="1" si="17"/>
        <v>80</v>
      </c>
      <c r="O32" s="343"/>
      <c r="P32" s="363">
        <f t="shared" ca="1" si="18"/>
        <v>2</v>
      </c>
      <c r="Q32" s="357">
        <f t="shared" ca="1" si="19"/>
        <v>845.5</v>
      </c>
      <c r="R32" s="359">
        <f t="shared" ca="1" si="20"/>
        <v>0.42431705670020448</v>
      </c>
      <c r="S32" s="360">
        <f t="shared" ca="1" si="21"/>
        <v>9.3035227448040061</v>
      </c>
      <c r="T32" s="357">
        <f t="shared" ca="1" si="1"/>
        <v>91.267558126527305</v>
      </c>
      <c r="U32" s="364">
        <f t="shared" ca="1" si="2"/>
        <v>15.848445148782112</v>
      </c>
      <c r="V32" s="359">
        <f t="shared" ca="1" si="3"/>
        <v>1.224676399845495</v>
      </c>
      <c r="W32" s="357">
        <f t="shared" ca="1" si="4"/>
        <v>1.4378126635415116</v>
      </c>
      <c r="X32" s="343"/>
      <c r="Y32" s="367" t="str">
        <f t="shared" ca="1" si="22"/>
        <v/>
      </c>
      <c r="Z32" s="368" t="str">
        <f t="shared" ca="1" si="23"/>
        <v/>
      </c>
      <c r="AA32" s="369" t="str">
        <f t="shared" ca="1" si="24"/>
        <v/>
      </c>
      <c r="AB32" s="344"/>
      <c r="AC32" s="363" t="e">
        <f t="shared" ca="1" si="25"/>
        <v>#N/A</v>
      </c>
      <c r="AD32" s="376" t="e">
        <f t="shared" ca="1" si="26"/>
        <v>#N/A</v>
      </c>
      <c r="AE32" s="377">
        <f t="shared" ca="1" si="5"/>
        <v>2.6419828719045495</v>
      </c>
      <c r="AF32" s="344"/>
      <c r="AG32" s="359">
        <f t="shared" ca="1" si="27"/>
        <v>81.07573218206241</v>
      </c>
      <c r="AH32" s="357">
        <f t="shared" ca="1" si="28"/>
        <v>90.736696239112163</v>
      </c>
    </row>
    <row r="33" spans="1:34" x14ac:dyDescent="0.2">
      <c r="A33" s="402">
        <f t="shared" ca="1" si="6"/>
        <v>0.01</v>
      </c>
      <c r="B33" s="357">
        <f t="shared" ca="1" si="7"/>
        <v>0.29000000000000009</v>
      </c>
      <c r="C33" s="342"/>
      <c r="D33" s="359">
        <f t="shared" ca="1" si="8"/>
        <v>14.043609355476129</v>
      </c>
      <c r="E33" s="360">
        <f t="shared" ca="1" si="9"/>
        <v>79.649731445206143</v>
      </c>
      <c r="F33" s="357">
        <f t="shared" ca="1" si="10"/>
        <v>80.878320228740392</v>
      </c>
      <c r="G33" s="359">
        <f t="shared" ca="1" si="11"/>
        <v>3.7909759143648509</v>
      </c>
      <c r="H33" s="360">
        <f t="shared" ca="1" si="12"/>
        <v>21.50090149915312</v>
      </c>
      <c r="I33" s="357">
        <f t="shared" ca="1" si="13"/>
        <v>21.8325505532354</v>
      </c>
      <c r="J33" s="359">
        <f t="shared" ca="1" si="14"/>
        <v>0.50303408940690364</v>
      </c>
      <c r="K33" s="360">
        <f t="shared" ca="1" si="15"/>
        <v>2.8530094003238204</v>
      </c>
      <c r="L33" s="357">
        <f t="shared" ca="1" si="0"/>
        <v>2.8970167299208884</v>
      </c>
      <c r="M33" s="359">
        <f t="shared" ca="1" si="16"/>
        <v>1.3962634015954636</v>
      </c>
      <c r="N33" s="357">
        <f t="shared" ca="1" si="17"/>
        <v>80</v>
      </c>
      <c r="O33" s="343"/>
      <c r="P33" s="363">
        <f t="shared" ca="1" si="18"/>
        <v>2</v>
      </c>
      <c r="Q33" s="357">
        <f t="shared" ca="1" si="19"/>
        <v>843.38888888888891</v>
      </c>
      <c r="R33" s="359">
        <f t="shared" ca="1" si="20"/>
        <v>0.42325758839383693</v>
      </c>
      <c r="S33" s="360">
        <f t="shared" ca="1" si="21"/>
        <v>9.2992901689200682</v>
      </c>
      <c r="T33" s="357">
        <f t="shared" ca="1" si="1"/>
        <v>91.226036557105871</v>
      </c>
      <c r="U33" s="364">
        <f t="shared" ca="1" si="2"/>
        <v>15.841235003918209</v>
      </c>
      <c r="V33" s="359">
        <f t="shared" ca="1" si="3"/>
        <v>1.2246505561967831</v>
      </c>
      <c r="W33" s="357">
        <f t="shared" ca="1" si="4"/>
        <v>1.550532966756055</v>
      </c>
      <c r="X33" s="343"/>
      <c r="Y33" s="367" t="str">
        <f t="shared" ca="1" si="22"/>
        <v/>
      </c>
      <c r="Z33" s="368" t="str">
        <f t="shared" ca="1" si="23"/>
        <v/>
      </c>
      <c r="AA33" s="369" t="str">
        <f t="shared" ca="1" si="24"/>
        <v/>
      </c>
      <c r="AB33" s="344"/>
      <c r="AC33" s="363" t="e">
        <f t="shared" ca="1" si="25"/>
        <v>#N/A</v>
      </c>
      <c r="AD33" s="376" t="e">
        <f t="shared" ca="1" si="26"/>
        <v>#N/A</v>
      </c>
      <c r="AE33" s="377">
        <f t="shared" ca="1" si="5"/>
        <v>2.8530094003238204</v>
      </c>
      <c r="AF33" s="344"/>
      <c r="AG33" s="359">
        <f t="shared" ca="1" si="27"/>
        <v>80.87832022502397</v>
      </c>
      <c r="AH33" s="357">
        <f t="shared" ca="1" si="28"/>
        <v>90.539284282073723</v>
      </c>
    </row>
    <row r="34" spans="1:34" x14ac:dyDescent="0.2">
      <c r="A34" s="402">
        <f t="shared" ca="1" si="6"/>
        <v>0.01</v>
      </c>
      <c r="B34" s="357">
        <f t="shared" ca="1" si="7"/>
        <v>0.3000000000000001</v>
      </c>
      <c r="C34" s="342"/>
      <c r="D34" s="359">
        <f t="shared" ca="1" si="8"/>
        <v>14.009207046119746</v>
      </c>
      <c r="E34" s="360">
        <f t="shared" ca="1" si="9"/>
        <v>79.454617100081094</v>
      </c>
      <c r="F34" s="357">
        <f t="shared" ca="1" si="10"/>
        <v>80.680196210603938</v>
      </c>
      <c r="G34" s="359">
        <f t="shared" ca="1" si="11"/>
        <v>3.9310679848260484</v>
      </c>
      <c r="H34" s="360">
        <f t="shared" ca="1" si="12"/>
        <v>22.29544767015393</v>
      </c>
      <c r="I34" s="357">
        <f t="shared" ca="1" si="13"/>
        <v>22.639352515341439</v>
      </c>
      <c r="J34" s="359">
        <f t="shared" ca="1" si="14"/>
        <v>0.54164430890285808</v>
      </c>
      <c r="K34" s="360">
        <f t="shared" ca="1" si="15"/>
        <v>3.0719911461703555</v>
      </c>
      <c r="L34" s="357">
        <f t="shared" ca="1" si="0"/>
        <v>3.1193762452637723</v>
      </c>
      <c r="M34" s="359">
        <f t="shared" ca="1" si="16"/>
        <v>1.3962634015954636</v>
      </c>
      <c r="N34" s="357">
        <f t="shared" ca="1" si="17"/>
        <v>80</v>
      </c>
      <c r="O34" s="343"/>
      <c r="P34" s="363">
        <f t="shared" ca="1" si="18"/>
        <v>2</v>
      </c>
      <c r="Q34" s="357">
        <f t="shared" ca="1" si="19"/>
        <v>841.27777777777771</v>
      </c>
      <c r="R34" s="359">
        <f t="shared" ca="1" si="20"/>
        <v>0.42219812008746938</v>
      </c>
      <c r="S34" s="360">
        <f t="shared" ca="1" si="21"/>
        <v>9.2950681877191936</v>
      </c>
      <c r="T34" s="357">
        <f t="shared" ca="1" si="1"/>
        <v>91.184618921525299</v>
      </c>
      <c r="U34" s="364">
        <f t="shared" ca="1" si="2"/>
        <v>15.83404290697637</v>
      </c>
      <c r="V34" s="359">
        <f t="shared" ca="1" si="3"/>
        <v>1.2246237388781358</v>
      </c>
      <c r="W34" s="357">
        <f t="shared" ca="1" si="4"/>
        <v>1.6672109311052279</v>
      </c>
      <c r="X34" s="343"/>
      <c r="Y34" s="367" t="str">
        <f t="shared" ca="1" si="22"/>
        <v/>
      </c>
      <c r="Z34" s="368" t="str">
        <f t="shared" ca="1" si="23"/>
        <v/>
      </c>
      <c r="AA34" s="369" t="str">
        <f t="shared" ca="1" si="24"/>
        <v/>
      </c>
      <c r="AB34" s="344"/>
      <c r="AC34" s="363" t="e">
        <f t="shared" ca="1" si="25"/>
        <v>#N/A</v>
      </c>
      <c r="AD34" s="376" t="e">
        <f t="shared" ca="1" si="26"/>
        <v>#N/A</v>
      </c>
      <c r="AE34" s="377">
        <f t="shared" ca="1" si="5"/>
        <v>3.0719911461703555</v>
      </c>
      <c r="AF34" s="344"/>
      <c r="AG34" s="359">
        <f t="shared" ca="1" si="27"/>
        <v>80.68019620689364</v>
      </c>
      <c r="AH34" s="357">
        <f t="shared" ca="1" si="28"/>
        <v>90.341160263943408</v>
      </c>
    </row>
    <row r="35" spans="1:34" x14ac:dyDescent="0.2">
      <c r="A35" s="402">
        <f t="shared" ca="1" si="6"/>
        <v>0.01</v>
      </c>
      <c r="B35" s="357">
        <f t="shared" ca="1" si="7"/>
        <v>0.31000000000000011</v>
      </c>
      <c r="C35" s="342"/>
      <c r="D35" s="359">
        <f t="shared" ca="1" si="8"/>
        <v>13.974681651795457</v>
      </c>
      <c r="E35" s="360">
        <f t="shared" ca="1" si="9"/>
        <v>79.258804692025393</v>
      </c>
      <c r="F35" s="357">
        <f t="shared" ca="1" si="10"/>
        <v>80.481363361200934</v>
      </c>
      <c r="G35" s="359">
        <f t="shared" ca="1" si="11"/>
        <v>4.0708148013440031</v>
      </c>
      <c r="H35" s="360">
        <f t="shared" ca="1" si="12"/>
        <v>23.088035717074185</v>
      </c>
      <c r="I35" s="357">
        <f t="shared" ca="1" si="13"/>
        <v>23.444166148953446</v>
      </c>
      <c r="J35" s="359">
        <f t="shared" ca="1" si="14"/>
        <v>0.58165372283370831</v>
      </c>
      <c r="K35" s="360">
        <f t="shared" ca="1" si="15"/>
        <v>3.2989085631064961</v>
      </c>
      <c r="L35" s="357">
        <f t="shared" ca="1" si="0"/>
        <v>3.3497938385852462</v>
      </c>
      <c r="M35" s="359">
        <f t="shared" ca="1" si="16"/>
        <v>1.3962634015954636</v>
      </c>
      <c r="N35" s="357">
        <f t="shared" ca="1" si="17"/>
        <v>80</v>
      </c>
      <c r="O35" s="343"/>
      <c r="P35" s="363">
        <f t="shared" ca="1" si="18"/>
        <v>2</v>
      </c>
      <c r="Q35" s="357">
        <f t="shared" ca="1" si="19"/>
        <v>839.16666666666663</v>
      </c>
      <c r="R35" s="359">
        <f t="shared" ca="1" si="20"/>
        <v>0.42113865178110182</v>
      </c>
      <c r="S35" s="360">
        <f t="shared" ca="1" si="21"/>
        <v>9.2908568012013824</v>
      </c>
      <c r="T35" s="357">
        <f t="shared" ca="1" si="1"/>
        <v>91.14330521978556</v>
      </c>
      <c r="U35" s="364">
        <f t="shared" ca="1" si="2"/>
        <v>15.826868857956589</v>
      </c>
      <c r="V35" s="359">
        <f t="shared" ca="1" si="3"/>
        <v>1.2245959503471628</v>
      </c>
      <c r="W35" s="357">
        <f t="shared" ca="1" si="4"/>
        <v>1.7878137436529378</v>
      </c>
      <c r="X35" s="343"/>
      <c r="Y35" s="367" t="str">
        <f t="shared" ca="1" si="22"/>
        <v/>
      </c>
      <c r="Z35" s="368" t="str">
        <f t="shared" ca="1" si="23"/>
        <v/>
      </c>
      <c r="AA35" s="369" t="str">
        <f t="shared" ca="1" si="24"/>
        <v/>
      </c>
      <c r="AB35" s="344"/>
      <c r="AC35" s="363" t="e">
        <f t="shared" ca="1" si="25"/>
        <v>#N/A</v>
      </c>
      <c r="AD35" s="376" t="e">
        <f t="shared" ca="1" si="26"/>
        <v>#N/A</v>
      </c>
      <c r="AE35" s="377">
        <f t="shared" ca="1" si="5"/>
        <v>3.2989085631064961</v>
      </c>
      <c r="AF35" s="344"/>
      <c r="AG35" s="359">
        <f t="shared" ca="1" si="27"/>
        <v>80.481363357496747</v>
      </c>
      <c r="AH35" s="357">
        <f t="shared" ca="1" si="28"/>
        <v>90.142327414546514</v>
      </c>
    </row>
    <row r="36" spans="1:34" x14ac:dyDescent="0.2">
      <c r="A36" s="402">
        <f t="shared" ca="1" si="6"/>
        <v>0.01</v>
      </c>
      <c r="B36" s="357">
        <f t="shared" ca="1" si="7"/>
        <v>0.32000000000000012</v>
      </c>
      <c r="C36" s="342"/>
      <c r="D36" s="359">
        <f t="shared" ca="1" si="8"/>
        <v>13.940033736774003</v>
      </c>
      <c r="E36" s="360">
        <f t="shared" ca="1" si="9"/>
        <v>79.062297421190607</v>
      </c>
      <c r="F36" s="357">
        <f t="shared" ca="1" si="10"/>
        <v>80.281824930050007</v>
      </c>
      <c r="G36" s="359">
        <f t="shared" ca="1" si="11"/>
        <v>4.2102151387117432</v>
      </c>
      <c r="H36" s="360">
        <f t="shared" ca="1" si="12"/>
        <v>23.878658691286091</v>
      </c>
      <c r="I36" s="357">
        <f t="shared" ca="1" si="13"/>
        <v>24.246984398253947</v>
      </c>
      <c r="J36" s="359">
        <f t="shared" ca="1" si="14"/>
        <v>0.62305887253398706</v>
      </c>
      <c r="K36" s="360">
        <f t="shared" ca="1" si="15"/>
        <v>3.5337420351482973</v>
      </c>
      <c r="L36" s="357">
        <f t="shared" ca="1" si="0"/>
        <v>3.5882495913212828</v>
      </c>
      <c r="M36" s="359">
        <f t="shared" ca="1" si="16"/>
        <v>1.3962634015954636</v>
      </c>
      <c r="N36" s="357">
        <f t="shared" ca="1" si="17"/>
        <v>80</v>
      </c>
      <c r="O36" s="343"/>
      <c r="P36" s="363">
        <f t="shared" ca="1" si="18"/>
        <v>2</v>
      </c>
      <c r="Q36" s="357">
        <f t="shared" ca="1" si="19"/>
        <v>837.05555555555554</v>
      </c>
      <c r="R36" s="359">
        <f t="shared" ca="1" si="20"/>
        <v>0.42007918347473427</v>
      </c>
      <c r="S36" s="360">
        <f t="shared" ca="1" si="21"/>
        <v>9.2866560093666344</v>
      </c>
      <c r="T36" s="357">
        <f t="shared" ca="1" si="1"/>
        <v>91.102095451886683</v>
      </c>
      <c r="U36" s="364">
        <f t="shared" ca="1" si="2"/>
        <v>15.819712856858873</v>
      </c>
      <c r="V36" s="359">
        <f t="shared" ca="1" si="3"/>
        <v>1.224567193072096</v>
      </c>
      <c r="W36" s="357">
        <f t="shared" ca="1" si="4"/>
        <v>1.9123085102551687</v>
      </c>
      <c r="X36" s="343"/>
      <c r="Y36" s="367" t="str">
        <f t="shared" ca="1" si="22"/>
        <v/>
      </c>
      <c r="Z36" s="368" t="str">
        <f t="shared" ca="1" si="23"/>
        <v/>
      </c>
      <c r="AA36" s="369" t="str">
        <f t="shared" ca="1" si="24"/>
        <v/>
      </c>
      <c r="AB36" s="344"/>
      <c r="AC36" s="363" t="e">
        <f t="shared" ca="1" si="25"/>
        <v>#N/A</v>
      </c>
      <c r="AD36" s="376" t="e">
        <f t="shared" ca="1" si="26"/>
        <v>#N/A</v>
      </c>
      <c r="AE36" s="377">
        <f t="shared" ca="1" si="5"/>
        <v>3.5337420351482973</v>
      </c>
      <c r="AF36" s="344"/>
      <c r="AG36" s="359">
        <f t="shared" ca="1" si="27"/>
        <v>80.281824926351959</v>
      </c>
      <c r="AH36" s="357">
        <f t="shared" ca="1" si="28"/>
        <v>89.942788983401712</v>
      </c>
    </row>
    <row r="37" spans="1:34" x14ac:dyDescent="0.2">
      <c r="A37" s="402">
        <f t="shared" ca="1" si="6"/>
        <v>0.01</v>
      </c>
      <c r="B37" s="357">
        <f t="shared" ca="1" si="7"/>
        <v>0.33000000000000013</v>
      </c>
      <c r="C37" s="342"/>
      <c r="D37" s="359">
        <f t="shared" ca="1" si="8"/>
        <v>13.905263868707063</v>
      </c>
      <c r="E37" s="360">
        <f t="shared" ca="1" si="9"/>
        <v>78.865098506902655</v>
      </c>
      <c r="F37" s="357">
        <f t="shared" ca="1" si="10"/>
        <v>80.081584186140006</v>
      </c>
      <c r="G37" s="359">
        <f t="shared" ca="1" si="11"/>
        <v>4.349267777398814</v>
      </c>
      <c r="H37" s="360">
        <f t="shared" ca="1" si="12"/>
        <v>24.667309676355117</v>
      </c>
      <c r="I37" s="357">
        <f t="shared" ca="1" si="13"/>
        <v>25.047800240115347</v>
      </c>
      <c r="J37" s="359">
        <f t="shared" ca="1" si="14"/>
        <v>0.66585628711453981</v>
      </c>
      <c r="K37" s="360">
        <f t="shared" ca="1" si="15"/>
        <v>3.7764718769865033</v>
      </c>
      <c r="L37" s="357">
        <f t="shared" ca="1" si="0"/>
        <v>3.8347235145131289</v>
      </c>
      <c r="M37" s="359">
        <f t="shared" ca="1" si="16"/>
        <v>1.3962634015954636</v>
      </c>
      <c r="N37" s="357">
        <f t="shared" ca="1" si="17"/>
        <v>80</v>
      </c>
      <c r="O37" s="343"/>
      <c r="P37" s="363">
        <f t="shared" ca="1" si="18"/>
        <v>2</v>
      </c>
      <c r="Q37" s="357">
        <f t="shared" ca="1" si="19"/>
        <v>834.94444444444446</v>
      </c>
      <c r="R37" s="359">
        <f t="shared" ca="1" si="20"/>
        <v>0.41901971516836672</v>
      </c>
      <c r="S37" s="360">
        <f t="shared" ca="1" si="21"/>
        <v>9.2824658122149515</v>
      </c>
      <c r="T37" s="357">
        <f t="shared" ca="1" si="1"/>
        <v>91.060989617828682</v>
      </c>
      <c r="U37" s="364">
        <f t="shared" ca="1" si="2"/>
        <v>15.81257490368322</v>
      </c>
      <c r="V37" s="359">
        <f t="shared" ca="1" si="3"/>
        <v>1.2245374695317344</v>
      </c>
      <c r="W37" s="357">
        <f t="shared" ca="1" si="4"/>
        <v>2.0406622577043612</v>
      </c>
      <c r="X37" s="343"/>
      <c r="Y37" s="367" t="str">
        <f t="shared" ca="1" si="22"/>
        <v>Sortie de rampe</v>
      </c>
      <c r="Z37" s="368" t="str">
        <f t="shared" ca="1" si="23"/>
        <v/>
      </c>
      <c r="AA37" s="369" t="str">
        <f t="shared" ca="1" si="24"/>
        <v/>
      </c>
      <c r="AB37" s="344"/>
      <c r="AC37" s="363" t="e">
        <f t="shared" ca="1" si="25"/>
        <v>#N/A</v>
      </c>
      <c r="AD37" s="376" t="e">
        <f t="shared" ca="1" si="26"/>
        <v>#N/A</v>
      </c>
      <c r="AE37" s="377">
        <f t="shared" ca="1" si="5"/>
        <v>3.7764718769865033</v>
      </c>
      <c r="AF37" s="344"/>
      <c r="AG37" s="359">
        <f t="shared" ca="1" si="27"/>
        <v>80.081584182448026</v>
      </c>
      <c r="AH37" s="357">
        <f t="shared" ca="1" si="28"/>
        <v>89.742548239497793</v>
      </c>
    </row>
    <row r="38" spans="1:34" x14ac:dyDescent="0.2">
      <c r="A38" s="402">
        <f t="shared" ca="1" si="6"/>
        <v>0.01</v>
      </c>
      <c r="B38" s="357">
        <f t="shared" ca="1" si="7"/>
        <v>0.34000000000000014</v>
      </c>
      <c r="C38" s="342"/>
      <c r="D38" s="359">
        <f t="shared" ca="1" si="8"/>
        <v>13.870372618588306</v>
      </c>
      <c r="E38" s="360">
        <f t="shared" ca="1" si="9"/>
        <v>78.667211187440927</v>
      </c>
      <c r="F38" s="357">
        <f t="shared" ca="1" si="10"/>
        <v>79.880644417705568</v>
      </c>
      <c r="G38" s="359">
        <f t="shared" ca="1" si="11"/>
        <v>4.4879715035846974</v>
      </c>
      <c r="H38" s="360">
        <f t="shared" ca="1" si="12"/>
        <v>25.453981788229527</v>
      </c>
      <c r="I38" s="357">
        <f t="shared" ca="1" si="13"/>
        <v>25.8466066842924</v>
      </c>
      <c r="J38" s="359">
        <f t="shared" ca="1" si="14"/>
        <v>0.71004248351945742</v>
      </c>
      <c r="K38" s="360">
        <f t="shared" ca="1" si="15"/>
        <v>4.0270783343094267</v>
      </c>
      <c r="L38" s="357">
        <f t="shared" ca="1" si="0"/>
        <v>4.0891955491351677</v>
      </c>
      <c r="M38" s="359">
        <f t="shared" ca="1" si="16"/>
        <v>1.3962634015954636</v>
      </c>
      <c r="N38" s="357">
        <f t="shared" ca="1" si="17"/>
        <v>80</v>
      </c>
      <c r="O38" s="343"/>
      <c r="P38" s="363">
        <f t="shared" ca="1" si="18"/>
        <v>2</v>
      </c>
      <c r="Q38" s="357">
        <f t="shared" ca="1" si="19"/>
        <v>832.83333333333326</v>
      </c>
      <c r="R38" s="359">
        <f t="shared" ca="1" si="20"/>
        <v>0.41796024686199912</v>
      </c>
      <c r="S38" s="360">
        <f t="shared" ca="1" si="21"/>
        <v>9.2782862097463319</v>
      </c>
      <c r="T38" s="357">
        <f t="shared" ca="1" si="1"/>
        <v>91.019987717611514</v>
      </c>
      <c r="U38" s="364">
        <f t="shared" ca="1" si="2"/>
        <v>0</v>
      </c>
      <c r="V38" s="359">
        <f t="shared" ca="1" si="3"/>
        <v>1.2245067822153797</v>
      </c>
      <c r="W38" s="357">
        <f t="shared" ca="1" si="4"/>
        <v>2.1728419358760553</v>
      </c>
      <c r="X38" s="343"/>
      <c r="Y38" s="367" t="str">
        <f t="shared" ca="1" si="22"/>
        <v/>
      </c>
      <c r="Z38" s="368" t="str">
        <f t="shared" ca="1" si="23"/>
        <v/>
      </c>
      <c r="AA38" s="369" t="str">
        <f t="shared" ca="1" si="24"/>
        <v/>
      </c>
      <c r="AB38" s="344"/>
      <c r="AC38" s="363" t="e">
        <f t="shared" ca="1" si="25"/>
        <v>#N/A</v>
      </c>
      <c r="AD38" s="376" t="e">
        <f t="shared" ca="1" si="26"/>
        <v>#N/A</v>
      </c>
      <c r="AE38" s="377">
        <f t="shared" ca="1" si="5"/>
        <v>4.0270783343094267</v>
      </c>
      <c r="AF38" s="344"/>
      <c r="AG38" s="359">
        <f t="shared" ca="1" si="27"/>
        <v>79.880644414019685</v>
      </c>
      <c r="AH38" s="357">
        <f t="shared" ca="1" si="28"/>
        <v>89.541608471069438</v>
      </c>
    </row>
    <row r="39" spans="1:34" x14ac:dyDescent="0.2">
      <c r="A39" s="402">
        <f t="shared" ca="1" si="6"/>
        <v>0.01</v>
      </c>
      <c r="B39" s="357">
        <f t="shared" ca="1" si="7"/>
        <v>0.35000000000000014</v>
      </c>
      <c r="C39" s="342"/>
      <c r="D39" s="359">
        <f t="shared" ca="1" si="8"/>
        <v>15.513723501722579</v>
      </c>
      <c r="E39" s="360">
        <f t="shared" ca="1" si="9"/>
        <v>78.172698049895217</v>
      </c>
      <c r="F39" s="357">
        <f t="shared" ca="1" si="10"/>
        <v>79.69721662196234</v>
      </c>
      <c r="G39" s="359">
        <f t="shared" ca="1" si="11"/>
        <v>4.6431087386019234</v>
      </c>
      <c r="H39" s="360">
        <f t="shared" ca="1" si="12"/>
        <v>26.235708768728479</v>
      </c>
      <c r="I39" s="357">
        <f t="shared" ca="1" si="13"/>
        <v>26.643402060473019</v>
      </c>
      <c r="J39" s="359">
        <f t="shared" ca="1" si="14"/>
        <v>0.75569788473039057</v>
      </c>
      <c r="K39" s="360">
        <f t="shared" ca="1" si="15"/>
        <v>4.2855267870942164</v>
      </c>
      <c r="L39" s="357">
        <f t="shared" ca="1" si="0"/>
        <v>4.3516455664366855</v>
      </c>
      <c r="M39" s="359">
        <f t="shared" ca="1" si="16"/>
        <v>1.3956333594020389</v>
      </c>
      <c r="N39" s="357">
        <f t="shared" ca="1" si="17"/>
        <v>79.963901241401601</v>
      </c>
      <c r="O39" s="343"/>
      <c r="P39" s="363">
        <f t="shared" ca="1" si="18"/>
        <v>2</v>
      </c>
      <c r="Q39" s="357">
        <f t="shared" ca="1" si="19"/>
        <v>830.72222222222217</v>
      </c>
      <c r="R39" s="359">
        <f t="shared" ca="1" si="20"/>
        <v>0.41690077855563162</v>
      </c>
      <c r="S39" s="360">
        <f t="shared" ca="1" si="21"/>
        <v>9.2741172019607756</v>
      </c>
      <c r="T39" s="357">
        <f t="shared" ca="1" si="1"/>
        <v>90.979089751235207</v>
      </c>
      <c r="U39" s="364">
        <f t="shared" ca="1" si="2"/>
        <v>0</v>
      </c>
      <c r="V39" s="359">
        <f t="shared" ca="1" si="3"/>
        <v>1.2244751354346388</v>
      </c>
      <c r="W39" s="357">
        <f t="shared" ca="1" si="4"/>
        <v>2.3088153395720781</v>
      </c>
      <c r="X39" s="343"/>
      <c r="Y39" s="367" t="str">
        <f t="shared" ca="1" si="22"/>
        <v/>
      </c>
      <c r="Z39" s="368" t="str">
        <f t="shared" ca="1" si="23"/>
        <v/>
      </c>
      <c r="AA39" s="369" t="str">
        <f t="shared" ca="1" si="24"/>
        <v/>
      </c>
      <c r="AB39" s="344"/>
      <c r="AC39" s="363" t="e">
        <f t="shared" ca="1" si="25"/>
        <v>#N/A</v>
      </c>
      <c r="AD39" s="376" t="e">
        <f t="shared" ca="1" si="26"/>
        <v>#N/A</v>
      </c>
      <c r="AE39" s="377">
        <f t="shared" ca="1" si="5"/>
        <v>4.2855267870942164</v>
      </c>
      <c r="AF39" s="344"/>
      <c r="AG39" s="359">
        <f t="shared" ca="1" si="27"/>
        <v>79.679008928321878</v>
      </c>
      <c r="AH39" s="357">
        <f t="shared" ca="1" si="28"/>
        <v>89.339972985371645</v>
      </c>
    </row>
    <row r="40" spans="1:34" x14ac:dyDescent="0.2">
      <c r="A40" s="402">
        <f t="shared" ca="1" si="6"/>
        <v>0.01</v>
      </c>
      <c r="B40" s="357">
        <f t="shared" ca="1" si="7"/>
        <v>0.36000000000000015</v>
      </c>
      <c r="C40" s="342"/>
      <c r="D40" s="359">
        <f t="shared" ca="1" si="8"/>
        <v>15.533893815114885</v>
      </c>
      <c r="E40" s="360">
        <f t="shared" ca="1" si="9"/>
        <v>77.963674303484197</v>
      </c>
      <c r="F40" s="357">
        <f t="shared" ca="1" si="10"/>
        <v>79.496140585307828</v>
      </c>
      <c r="G40" s="359">
        <f t="shared" ca="1" si="11"/>
        <v>4.7984476767530726</v>
      </c>
      <c r="H40" s="360">
        <f t="shared" ca="1" si="12"/>
        <v>27.015345511763321</v>
      </c>
      <c r="I40" s="357">
        <f t="shared" ca="1" si="13"/>
        <v>27.438184947741853</v>
      </c>
      <c r="J40" s="359">
        <f t="shared" ca="1" si="14"/>
        <v>0.80290566680716557</v>
      </c>
      <c r="K40" s="360">
        <f t="shared" ca="1" si="15"/>
        <v>4.5517820584966753</v>
      </c>
      <c r="L40" s="357">
        <f t="shared" ca="1" si="0"/>
        <v>4.622053376784315</v>
      </c>
      <c r="M40" s="359">
        <f t="shared" ca="1" si="16"/>
        <v>1.3950102951529786</v>
      </c>
      <c r="N40" s="357">
        <f t="shared" ca="1" si="17"/>
        <v>79.92820228956495</v>
      </c>
      <c r="O40" s="343"/>
      <c r="P40" s="363">
        <f t="shared" ca="1" si="18"/>
        <v>2</v>
      </c>
      <c r="Q40" s="357">
        <f t="shared" ca="1" si="19"/>
        <v>828.61111111111109</v>
      </c>
      <c r="R40" s="359">
        <f t="shared" ca="1" si="20"/>
        <v>0.41584131024926407</v>
      </c>
      <c r="S40" s="360">
        <f t="shared" ca="1" si="21"/>
        <v>9.2699587888582826</v>
      </c>
      <c r="T40" s="357">
        <f t="shared" ca="1" si="1"/>
        <v>90.938295718699763</v>
      </c>
      <c r="U40" s="364">
        <f t="shared" ca="1" si="2"/>
        <v>0</v>
      </c>
      <c r="V40" s="359">
        <f t="shared" ca="1" si="3"/>
        <v>1.2244425335711187</v>
      </c>
      <c r="W40" s="357">
        <f t="shared" ca="1" si="4"/>
        <v>2.4485503397287331</v>
      </c>
      <c r="X40" s="343"/>
      <c r="Y40" s="367" t="str">
        <f t="shared" ca="1" si="22"/>
        <v/>
      </c>
      <c r="Z40" s="368" t="str">
        <f t="shared" ca="1" si="23"/>
        <v/>
      </c>
      <c r="AA40" s="369" t="str">
        <f t="shared" ca="1" si="24"/>
        <v/>
      </c>
      <c r="AB40" s="344"/>
      <c r="AC40" s="363" t="e">
        <f t="shared" ca="1" si="25"/>
        <v>#N/A</v>
      </c>
      <c r="AD40" s="376" t="e">
        <f t="shared" ca="1" si="26"/>
        <v>#N/A</v>
      </c>
      <c r="AE40" s="377">
        <f t="shared" ca="1" si="5"/>
        <v>4.5517820584966753</v>
      </c>
      <c r="AF40" s="344"/>
      <c r="AG40" s="359">
        <f t="shared" ca="1" si="27"/>
        <v>79.477756139303295</v>
      </c>
      <c r="AH40" s="357">
        <f t="shared" ca="1" si="28"/>
        <v>89.137645009240543</v>
      </c>
    </row>
    <row r="41" spans="1:34" x14ac:dyDescent="0.2">
      <c r="A41" s="402">
        <f t="shared" ca="1" si="6"/>
        <v>0.01</v>
      </c>
      <c r="B41" s="357">
        <f t="shared" ca="1" si="7"/>
        <v>0.37000000000000016</v>
      </c>
      <c r="C41" s="342"/>
      <c r="D41" s="359">
        <f t="shared" ca="1" si="8"/>
        <v>15.553075352013662</v>
      </c>
      <c r="E41" s="360">
        <f t="shared" ca="1" si="9"/>
        <v>77.754090037020745</v>
      </c>
      <c r="F41" s="357">
        <f t="shared" ca="1" si="10"/>
        <v>79.294367204679446</v>
      </c>
      <c r="G41" s="359">
        <f t="shared" ca="1" si="11"/>
        <v>4.9539784302732093</v>
      </c>
      <c r="H41" s="360">
        <f t="shared" ca="1" si="12"/>
        <v>27.79288641213353</v>
      </c>
      <c r="I41" s="357">
        <f t="shared" ca="1" si="13"/>
        <v>28.230948220089399</v>
      </c>
      <c r="J41" s="359">
        <f t="shared" ca="1" si="14"/>
        <v>0.85166779734229703</v>
      </c>
      <c r="K41" s="360">
        <f t="shared" ca="1" si="15"/>
        <v>4.8258232181161596</v>
      </c>
      <c r="L41" s="357">
        <f t="shared" ca="1" si="0"/>
        <v>4.9003987357702723</v>
      </c>
      <c r="M41" s="359">
        <f t="shared" ca="1" si="16"/>
        <v>1.3944025955494119</v>
      </c>
      <c r="N41" s="357">
        <f t="shared" ca="1" si="17"/>
        <v>79.893383667068818</v>
      </c>
      <c r="O41" s="343"/>
      <c r="P41" s="363">
        <f t="shared" ca="1" si="18"/>
        <v>2</v>
      </c>
      <c r="Q41" s="357">
        <f t="shared" ca="1" si="19"/>
        <v>826.5</v>
      </c>
      <c r="R41" s="359">
        <f t="shared" ca="1" si="20"/>
        <v>0.41478184194289652</v>
      </c>
      <c r="S41" s="360">
        <f t="shared" ca="1" si="21"/>
        <v>9.2658109704388529</v>
      </c>
      <c r="T41" s="357">
        <f t="shared" ca="1" si="1"/>
        <v>90.897605620005152</v>
      </c>
      <c r="U41" s="364">
        <f t="shared" ca="1" si="2"/>
        <v>0</v>
      </c>
      <c r="V41" s="359">
        <f t="shared" ca="1" si="3"/>
        <v>1.2244089792638602</v>
      </c>
      <c r="W41" s="357">
        <f t="shared" ca="1" si="4"/>
        <v>2.5920137932190399</v>
      </c>
      <c r="X41" s="343"/>
      <c r="Y41" s="367" t="str">
        <f t="shared" ca="1" si="22"/>
        <v/>
      </c>
      <c r="Z41" s="368" t="str">
        <f t="shared" ca="1" si="23"/>
        <v/>
      </c>
      <c r="AA41" s="369" t="str">
        <f t="shared" ca="1" si="24"/>
        <v/>
      </c>
      <c r="AB41" s="344"/>
      <c r="AC41" s="363" t="e">
        <f t="shared" ca="1" si="25"/>
        <v>#N/A</v>
      </c>
      <c r="AD41" s="376" t="e">
        <f t="shared" ca="1" si="26"/>
        <v>#N/A</v>
      </c>
      <c r="AE41" s="377">
        <f t="shared" ca="1" si="5"/>
        <v>4.8258232181161596</v>
      </c>
      <c r="AF41" s="344"/>
      <c r="AG41" s="359">
        <f t="shared" ca="1" si="27"/>
        <v>79.275805951993988</v>
      </c>
      <c r="AH41" s="357">
        <f t="shared" ca="1" si="28"/>
        <v>88.934627771846507</v>
      </c>
    </row>
    <row r="42" spans="1:34" x14ac:dyDescent="0.2">
      <c r="A42" s="402">
        <f t="shared" ca="1" si="6"/>
        <v>0.01</v>
      </c>
      <c r="B42" s="357">
        <f t="shared" ca="1" si="7"/>
        <v>0.38000000000000017</v>
      </c>
      <c r="C42" s="342"/>
      <c r="D42" s="359">
        <f t="shared" ca="1" si="8"/>
        <v>15.570539227039895</v>
      </c>
      <c r="E42" s="360">
        <f t="shared" ca="1" si="9"/>
        <v>77.544079999279134</v>
      </c>
      <c r="F42" s="357">
        <f t="shared" ca="1" si="10"/>
        <v>79.09188349480236</v>
      </c>
      <c r="G42" s="359">
        <f t="shared" ca="1" si="11"/>
        <v>5.1096838225436079</v>
      </c>
      <c r="H42" s="360">
        <f t="shared" ca="1" si="12"/>
        <v>28.56832721212632</v>
      </c>
      <c r="I42" s="357">
        <f t="shared" ca="1" si="13"/>
        <v>29.021684797156091</v>
      </c>
      <c r="J42" s="359">
        <f t="shared" ca="1" si="14"/>
        <v>0.90198610860638107</v>
      </c>
      <c r="K42" s="360">
        <f t="shared" ca="1" si="15"/>
        <v>5.1076292862374588</v>
      </c>
      <c r="L42" s="357">
        <f t="shared" ca="1" si="0"/>
        <v>5.1866613409542612</v>
      </c>
      <c r="M42" s="359">
        <f t="shared" ca="1" si="16"/>
        <v>1.3938094311771168</v>
      </c>
      <c r="N42" s="357">
        <f t="shared" ca="1" si="17"/>
        <v>79.85939785197877</v>
      </c>
      <c r="O42" s="343"/>
      <c r="P42" s="363">
        <f t="shared" ca="1" si="18"/>
        <v>2</v>
      </c>
      <c r="Q42" s="357">
        <f t="shared" ca="1" si="19"/>
        <v>824.38888888888891</v>
      </c>
      <c r="R42" s="359">
        <f t="shared" ca="1" si="20"/>
        <v>0.41372237363652897</v>
      </c>
      <c r="S42" s="360">
        <f t="shared" ca="1" si="21"/>
        <v>9.2616737467024883</v>
      </c>
      <c r="T42" s="357">
        <f t="shared" ca="1" si="1"/>
        <v>90.857019455151416</v>
      </c>
      <c r="U42" s="364">
        <f t="shared" ca="1" si="2"/>
        <v>0</v>
      </c>
      <c r="V42" s="359">
        <f t="shared" ca="1" si="3"/>
        <v>1.2243744751598855</v>
      </c>
      <c r="W42" s="357">
        <f t="shared" ca="1" si="4"/>
        <v>2.7391724852658865</v>
      </c>
      <c r="X42" s="343"/>
      <c r="Y42" s="367" t="str">
        <f t="shared" ca="1" si="22"/>
        <v/>
      </c>
      <c r="Z42" s="368" t="str">
        <f t="shared" ca="1" si="23"/>
        <v/>
      </c>
      <c r="AA42" s="369" t="str">
        <f t="shared" ca="1" si="24"/>
        <v/>
      </c>
      <c r="AB42" s="344"/>
      <c r="AC42" s="363" t="e">
        <f t="shared" ca="1" si="25"/>
        <v>#N/A</v>
      </c>
      <c r="AD42" s="376" t="e">
        <f t="shared" ca="1" si="26"/>
        <v>#N/A</v>
      </c>
      <c r="AE42" s="377">
        <f t="shared" ca="1" si="5"/>
        <v>5.1076292862374588</v>
      </c>
      <c r="AF42" s="344"/>
      <c r="AG42" s="359">
        <f t="shared" ca="1" si="27"/>
        <v>79.073147151440963</v>
      </c>
      <c r="AH42" s="357">
        <f t="shared" ca="1" si="28"/>
        <v>88.730924622373053</v>
      </c>
    </row>
    <row r="43" spans="1:34" x14ac:dyDescent="0.2">
      <c r="A43" s="402">
        <f t="shared" ca="1" si="6"/>
        <v>0.01</v>
      </c>
      <c r="B43" s="357">
        <f t="shared" ca="1" si="7"/>
        <v>0.39000000000000018</v>
      </c>
      <c r="C43" s="342"/>
      <c r="D43" s="359">
        <f t="shared" ca="1" si="8"/>
        <v>15.58636678022199</v>
      </c>
      <c r="E43" s="360">
        <f t="shared" ca="1" si="9"/>
        <v>77.333635827537066</v>
      </c>
      <c r="F43" s="357">
        <f t="shared" ca="1" si="10"/>
        <v>78.888694118445969</v>
      </c>
      <c r="G43" s="359">
        <f t="shared" ca="1" si="11"/>
        <v>5.2655474903458277</v>
      </c>
      <c r="H43" s="360">
        <f t="shared" ca="1" si="12"/>
        <v>29.341663570401693</v>
      </c>
      <c r="I43" s="357">
        <f t="shared" ca="1" si="13"/>
        <v>29.810387643432701</v>
      </c>
      <c r="J43" s="359">
        <f t="shared" ca="1" si="14"/>
        <v>0.95386226517082828</v>
      </c>
      <c r="K43" s="360">
        <f t="shared" ca="1" si="15"/>
        <v>5.3971792401500984</v>
      </c>
      <c r="L43" s="357">
        <f t="shared" ca="1" si="0"/>
        <v>5.480820830060404</v>
      </c>
      <c r="M43" s="359">
        <f t="shared" ca="1" si="16"/>
        <v>1.3932300387494689</v>
      </c>
      <c r="N43" s="357">
        <f t="shared" ca="1" si="17"/>
        <v>79.826201111192717</v>
      </c>
      <c r="O43" s="343"/>
      <c r="P43" s="363">
        <f t="shared" ca="1" si="18"/>
        <v>2</v>
      </c>
      <c r="Q43" s="357">
        <f t="shared" ca="1" si="19"/>
        <v>822.27777777777771</v>
      </c>
      <c r="R43" s="359">
        <f t="shared" ca="1" si="20"/>
        <v>0.41266290533016137</v>
      </c>
      <c r="S43" s="360">
        <f t="shared" ca="1" si="21"/>
        <v>9.257547117649187</v>
      </c>
      <c r="T43" s="357">
        <f t="shared" ca="1" si="1"/>
        <v>90.816537224138528</v>
      </c>
      <c r="U43" s="364">
        <f t="shared" ca="1" si="2"/>
        <v>0</v>
      </c>
      <c r="V43" s="359">
        <f t="shared" ca="1" si="3"/>
        <v>1.2243390239134022</v>
      </c>
      <c r="W43" s="357">
        <f t="shared" ca="1" si="4"/>
        <v>2.8899931317400065</v>
      </c>
      <c r="X43" s="343"/>
      <c r="Y43" s="367" t="str">
        <f t="shared" ca="1" si="22"/>
        <v/>
      </c>
      <c r="Z43" s="368" t="str">
        <f t="shared" ca="1" si="23"/>
        <v/>
      </c>
      <c r="AA43" s="369" t="str">
        <f t="shared" ca="1" si="24"/>
        <v/>
      </c>
      <c r="AB43" s="344"/>
      <c r="AC43" s="363" t="e">
        <f t="shared" ca="1" si="25"/>
        <v>#N/A</v>
      </c>
      <c r="AD43" s="376" t="e">
        <f t="shared" ca="1" si="26"/>
        <v>#N/A</v>
      </c>
      <c r="AE43" s="377">
        <f t="shared" ca="1" si="5"/>
        <v>5.3971792401500984</v>
      </c>
      <c r="AF43" s="344"/>
      <c r="AG43" s="359">
        <f t="shared" ca="1" si="27"/>
        <v>78.869784266898378</v>
      </c>
      <c r="AH43" s="357">
        <f t="shared" ca="1" si="28"/>
        <v>88.526538928447948</v>
      </c>
    </row>
    <row r="44" spans="1:34" x14ac:dyDescent="0.2">
      <c r="A44" s="402">
        <f t="shared" ca="1" si="6"/>
        <v>0.01</v>
      </c>
      <c r="B44" s="357">
        <f t="shared" ca="1" si="7"/>
        <v>0.40000000000000019</v>
      </c>
      <c r="C44" s="342"/>
      <c r="D44" s="359">
        <f t="shared" ca="1" si="8"/>
        <v>15.600632964812876</v>
      </c>
      <c r="E44" s="360">
        <f t="shared" ca="1" si="9"/>
        <v>77.122750065994367</v>
      </c>
      <c r="F44" s="357">
        <f t="shared" ca="1" si="10"/>
        <v>78.684803657660865</v>
      </c>
      <c r="G44" s="359">
        <f t="shared" ca="1" si="11"/>
        <v>5.4215538199939566</v>
      </c>
      <c r="H44" s="360">
        <f t="shared" ca="1" si="12"/>
        <v>30.112891071061636</v>
      </c>
      <c r="I44" s="357">
        <f t="shared" ca="1" si="13"/>
        <v>30.597049767595479</v>
      </c>
      <c r="J44" s="359">
        <f t="shared" ca="1" si="14"/>
        <v>1.0072977717225271</v>
      </c>
      <c r="K44" s="360">
        <f t="shared" ca="1" si="15"/>
        <v>5.6944520133574148</v>
      </c>
      <c r="L44" s="357">
        <f t="shared" ca="1" si="0"/>
        <v>5.7828567795984265</v>
      </c>
      <c r="M44" s="359">
        <f t="shared" ca="1" si="16"/>
        <v>1.3926637141998657</v>
      </c>
      <c r="N44" s="357">
        <f t="shared" ca="1" si="17"/>
        <v>79.793753104665797</v>
      </c>
      <c r="O44" s="343"/>
      <c r="P44" s="363">
        <f t="shared" ca="1" si="18"/>
        <v>2</v>
      </c>
      <c r="Q44" s="357">
        <f t="shared" ca="1" si="19"/>
        <v>820.16666666666663</v>
      </c>
      <c r="R44" s="359">
        <f t="shared" ca="1" si="20"/>
        <v>0.41160343702379387</v>
      </c>
      <c r="S44" s="360">
        <f t="shared" ca="1" si="21"/>
        <v>9.253431083278949</v>
      </c>
      <c r="T44" s="357">
        <f t="shared" ca="1" si="1"/>
        <v>90.776158926966488</v>
      </c>
      <c r="U44" s="364">
        <f t="shared" ca="1" si="2"/>
        <v>0</v>
      </c>
      <c r="V44" s="359">
        <f t="shared" ca="1" si="3"/>
        <v>1.2243026281858802</v>
      </c>
      <c r="W44" s="357">
        <f t="shared" ca="1" si="4"/>
        <v>3.044442381455295</v>
      </c>
      <c r="X44" s="343"/>
      <c r="Y44" s="367" t="str">
        <f t="shared" ca="1" si="22"/>
        <v/>
      </c>
      <c r="Z44" s="368" t="str">
        <f t="shared" ca="1" si="23"/>
        <v/>
      </c>
      <c r="AA44" s="369" t="str">
        <f t="shared" ca="1" si="24"/>
        <v/>
      </c>
      <c r="AB44" s="344"/>
      <c r="AC44" s="363" t="e">
        <f t="shared" ca="1" si="25"/>
        <v>#N/A</v>
      </c>
      <c r="AD44" s="376" t="e">
        <f t="shared" ca="1" si="26"/>
        <v>#N/A</v>
      </c>
      <c r="AE44" s="377">
        <f t="shared" ca="1" si="5"/>
        <v>5.6944520133574148</v>
      </c>
      <c r="AF44" s="344"/>
      <c r="AG44" s="359">
        <f t="shared" ca="1" si="27"/>
        <v>78.665721756653511</v>
      </c>
      <c r="AH44" s="357">
        <f t="shared" ca="1" si="28"/>
        <v>88.321474075897598</v>
      </c>
    </row>
    <row r="45" spans="1:34" x14ac:dyDescent="0.2">
      <c r="A45" s="402">
        <f t="shared" ca="1" si="6"/>
        <v>0.01</v>
      </c>
      <c r="B45" s="357">
        <f t="shared" ca="1" si="7"/>
        <v>0.4100000000000002</v>
      </c>
      <c r="C45" s="342"/>
      <c r="D45" s="359">
        <f t="shared" ca="1" si="8"/>
        <v>15.613407011994447</v>
      </c>
      <c r="E45" s="360">
        <f t="shared" ca="1" si="9"/>
        <v>76.911416075670914</v>
      </c>
      <c r="F45" s="357">
        <f t="shared" ca="1" si="10"/>
        <v>78.480216623599915</v>
      </c>
      <c r="G45" s="359">
        <f t="shared" ca="1" si="11"/>
        <v>5.5776878901139009</v>
      </c>
      <c r="H45" s="360">
        <f t="shared" ca="1" si="12"/>
        <v>30.882005231818344</v>
      </c>
      <c r="I45" s="357">
        <f t="shared" ca="1" si="13"/>
        <v>31.381664221923902</v>
      </c>
      <c r="J45" s="359">
        <f t="shared" ca="1" si="14"/>
        <v>1.0622939802730664</v>
      </c>
      <c r="K45" s="360">
        <f t="shared" ca="1" si="15"/>
        <v>5.9994264948718143</v>
      </c>
      <c r="L45" s="357">
        <f t="shared" ca="1" si="0"/>
        <v>6.0927487038195078</v>
      </c>
      <c r="M45" s="359">
        <f t="shared" ca="1" si="16"/>
        <v>1.3921098066574642</v>
      </c>
      <c r="N45" s="357">
        <f t="shared" ca="1" si="17"/>
        <v>79.762016540245725</v>
      </c>
      <c r="O45" s="343"/>
      <c r="P45" s="363">
        <f t="shared" ca="1" si="18"/>
        <v>2</v>
      </c>
      <c r="Q45" s="357">
        <f t="shared" ca="1" si="19"/>
        <v>818.05555555555554</v>
      </c>
      <c r="R45" s="359">
        <f t="shared" ca="1" si="20"/>
        <v>0.41054396871742632</v>
      </c>
      <c r="S45" s="360">
        <f t="shared" ca="1" si="21"/>
        <v>9.2493256435917743</v>
      </c>
      <c r="T45" s="357">
        <f t="shared" ca="1" si="1"/>
        <v>90.73588456363531</v>
      </c>
      <c r="U45" s="364">
        <f t="shared" ca="1" si="2"/>
        <v>0</v>
      </c>
      <c r="V45" s="359">
        <f t="shared" ca="1" si="3"/>
        <v>1.2242652906461164</v>
      </c>
      <c r="W45" s="357">
        <f t="shared" ca="1" si="4"/>
        <v>3.2024868184541644</v>
      </c>
      <c r="X45" s="343"/>
      <c r="Y45" s="367" t="str">
        <f t="shared" ca="1" si="22"/>
        <v/>
      </c>
      <c r="Z45" s="368" t="str">
        <f t="shared" ca="1" si="23"/>
        <v/>
      </c>
      <c r="AA45" s="369" t="str">
        <f t="shared" ca="1" si="24"/>
        <v/>
      </c>
      <c r="AB45" s="344"/>
      <c r="AC45" s="363" t="e">
        <f t="shared" ca="1" si="25"/>
        <v>#N/A</v>
      </c>
      <c r="AD45" s="376" t="e">
        <f t="shared" ca="1" si="26"/>
        <v>#N/A</v>
      </c>
      <c r="AE45" s="377">
        <f t="shared" ca="1" si="5"/>
        <v>5.9994264948718143</v>
      </c>
      <c r="AF45" s="344"/>
      <c r="AG45" s="359">
        <f t="shared" ca="1" si="27"/>
        <v>78.460964016840137</v>
      </c>
      <c r="AH45" s="357">
        <f t="shared" ca="1" si="28"/>
        <v>88.115733468500565</v>
      </c>
    </row>
    <row r="46" spans="1:34" x14ac:dyDescent="0.2">
      <c r="A46" s="402">
        <f t="shared" ca="1" si="6"/>
        <v>0.01</v>
      </c>
      <c r="B46" s="357">
        <f t="shared" ca="1" si="7"/>
        <v>0.42000000000000021</v>
      </c>
      <c r="C46" s="342"/>
      <c r="D46" s="359">
        <f t="shared" ca="1" si="8"/>
        <v>15.624753010809709</v>
      </c>
      <c r="E46" s="360">
        <f t="shared" ca="1" si="9"/>
        <v>76.699627955507822</v>
      </c>
      <c r="F46" s="357">
        <f t="shared" ca="1" si="10"/>
        <v>78.274937465079617</v>
      </c>
      <c r="G46" s="359">
        <f t="shared" ca="1" si="11"/>
        <v>5.7339354202219983</v>
      </c>
      <c r="H46" s="360">
        <f t="shared" ca="1" si="12"/>
        <v>31.64900151137342</v>
      </c>
      <c r="I46" s="357">
        <f t="shared" ca="1" si="13"/>
        <v>32.164224101790381</v>
      </c>
      <c r="J46" s="359">
        <f t="shared" ca="1" si="14"/>
        <v>1.118852096824746</v>
      </c>
      <c r="K46" s="360">
        <f t="shared" ca="1" si="15"/>
        <v>6.3120815285877736</v>
      </c>
      <c r="L46" s="357">
        <f t="shared" ca="1" si="0"/>
        <v>6.4104760539376553</v>
      </c>
      <c r="M46" s="359">
        <f t="shared" ca="1" si="16"/>
        <v>1.3915677131736475</v>
      </c>
      <c r="N46" s="357">
        <f t="shared" ca="1" si="17"/>
        <v>79.730956871521485</v>
      </c>
      <c r="O46" s="343"/>
      <c r="P46" s="363">
        <f t="shared" ca="1" si="18"/>
        <v>2</v>
      </c>
      <c r="Q46" s="357">
        <f t="shared" ca="1" si="19"/>
        <v>815.94444444444434</v>
      </c>
      <c r="R46" s="359">
        <f t="shared" ca="1" si="20"/>
        <v>0.40948450041105872</v>
      </c>
      <c r="S46" s="360">
        <f t="shared" ca="1" si="21"/>
        <v>9.2452307985876629</v>
      </c>
      <c r="T46" s="357">
        <f t="shared" ca="1" si="1"/>
        <v>90.695714134144978</v>
      </c>
      <c r="U46" s="364">
        <f t="shared" ca="1" si="2"/>
        <v>0</v>
      </c>
      <c r="V46" s="359">
        <f t="shared" ca="1" si="3"/>
        <v>1.2242270139702902</v>
      </c>
      <c r="W46" s="357">
        <f t="shared" ca="1" si="4"/>
        <v>3.3640929642837345</v>
      </c>
      <c r="X46" s="343"/>
      <c r="Y46" s="367" t="str">
        <f t="shared" ca="1" si="22"/>
        <v/>
      </c>
      <c r="Z46" s="368" t="str">
        <f t="shared" ca="1" si="23"/>
        <v/>
      </c>
      <c r="AA46" s="369" t="str">
        <f t="shared" ca="1" si="24"/>
        <v/>
      </c>
      <c r="AB46" s="344"/>
      <c r="AC46" s="363" t="e">
        <f t="shared" ca="1" si="25"/>
        <v>#N/A</v>
      </c>
      <c r="AD46" s="376" t="e">
        <f t="shared" ca="1" si="26"/>
        <v>#N/A</v>
      </c>
      <c r="AE46" s="377">
        <f t="shared" ca="1" si="5"/>
        <v>6.3120815285877736</v>
      </c>
      <c r="AF46" s="344"/>
      <c r="AG46" s="359">
        <f t="shared" ca="1" si="27"/>
        <v>78.25551538911887</v>
      </c>
      <c r="AH46" s="357">
        <f t="shared" ca="1" si="28"/>
        <v>87.909320527741471</v>
      </c>
    </row>
    <row r="47" spans="1:34" x14ac:dyDescent="0.2">
      <c r="A47" s="402">
        <f t="shared" ca="1" si="6"/>
        <v>0.01</v>
      </c>
      <c r="B47" s="357">
        <f t="shared" ca="1" si="7"/>
        <v>0.43000000000000022</v>
      </c>
      <c r="C47" s="342"/>
      <c r="D47" s="359">
        <f t="shared" ca="1" si="8"/>
        <v>15.634730416023586</v>
      </c>
      <c r="E47" s="360">
        <f t="shared" ca="1" si="9"/>
        <v>76.487380473024004</v>
      </c>
      <c r="F47" s="357">
        <f t="shared" ca="1" si="10"/>
        <v>78.068970576067329</v>
      </c>
      <c r="G47" s="359">
        <f t="shared" ca="1" si="11"/>
        <v>5.8902827243822342</v>
      </c>
      <c r="H47" s="360">
        <f t="shared" ca="1" si="12"/>
        <v>32.413875316103663</v>
      </c>
      <c r="I47" s="357">
        <f t="shared" ca="1" si="13"/>
        <v>32.944722545213068</v>
      </c>
      <c r="J47" s="359">
        <f t="shared" ca="1" si="14"/>
        <v>1.1769731875477671</v>
      </c>
      <c r="K47" s="360">
        <f t="shared" ca="1" si="15"/>
        <v>6.6323959127251593</v>
      </c>
      <c r="L47" s="357">
        <f t="shared" ca="1" si="0"/>
        <v>6.7360182175629362</v>
      </c>
      <c r="M47" s="359">
        <f t="shared" ca="1" si="16"/>
        <v>1.3910368740893273</v>
      </c>
      <c r="N47" s="357">
        <f t="shared" ca="1" si="17"/>
        <v>79.70054203238935</v>
      </c>
      <c r="O47" s="343"/>
      <c r="P47" s="363">
        <f t="shared" ca="1" si="18"/>
        <v>2</v>
      </c>
      <c r="Q47" s="357">
        <f t="shared" ca="1" si="19"/>
        <v>813.83333333333326</v>
      </c>
      <c r="R47" s="359">
        <f t="shared" ca="1" si="20"/>
        <v>0.40842503210469117</v>
      </c>
      <c r="S47" s="360">
        <f t="shared" ca="1" si="21"/>
        <v>9.2411465482666166</v>
      </c>
      <c r="T47" s="357">
        <f t="shared" ca="1" si="1"/>
        <v>90.655647638495509</v>
      </c>
      <c r="U47" s="364">
        <f t="shared" ca="1" si="2"/>
        <v>0</v>
      </c>
      <c r="V47" s="359">
        <f t="shared" ca="1" si="3"/>
        <v>1.22418780084201</v>
      </c>
      <c r="W47" s="357">
        <f t="shared" ca="1" si="4"/>
        <v>3.5292272802635631</v>
      </c>
      <c r="X47" s="343"/>
      <c r="Y47" s="367" t="str">
        <f t="shared" ca="1" si="22"/>
        <v/>
      </c>
      <c r="Z47" s="368" t="str">
        <f t="shared" ca="1" si="23"/>
        <v/>
      </c>
      <c r="AA47" s="369" t="str">
        <f t="shared" ca="1" si="24"/>
        <v/>
      </c>
      <c r="AB47" s="344"/>
      <c r="AC47" s="363" t="e">
        <f t="shared" ca="1" si="25"/>
        <v>#N/A</v>
      </c>
      <c r="AD47" s="376" t="e">
        <f t="shared" ca="1" si="26"/>
        <v>#N/A</v>
      </c>
      <c r="AE47" s="377">
        <f t="shared" ca="1" si="5"/>
        <v>6.6323959127251593</v>
      </c>
      <c r="AF47" s="344"/>
      <c r="AG47" s="359">
        <f t="shared" ca="1" si="27"/>
        <v>78.049380167390765</v>
      </c>
      <c r="AH47" s="357">
        <f t="shared" ca="1" si="28"/>
        <v>87.702238692564734</v>
      </c>
    </row>
    <row r="48" spans="1:34" x14ac:dyDescent="0.2">
      <c r="A48" s="402">
        <f t="shared" ca="1" si="6"/>
        <v>0.01</v>
      </c>
      <c r="B48" s="357">
        <f t="shared" ca="1" si="7"/>
        <v>0.44000000000000022</v>
      </c>
      <c r="C48" s="342"/>
      <c r="D48" s="359">
        <f t="shared" ca="1" si="8"/>
        <v>15.643394494441877</v>
      </c>
      <c r="E48" s="360">
        <f t="shared" ca="1" si="9"/>
        <v>76.274669003157484</v>
      </c>
      <c r="F48" s="357">
        <f t="shared" ca="1" si="10"/>
        <v>77.86232030224869</v>
      </c>
      <c r="G48" s="359">
        <f t="shared" ca="1" si="11"/>
        <v>6.0467166693266527</v>
      </c>
      <c r="H48" s="360">
        <f t="shared" ca="1" si="12"/>
        <v>33.17662200613524</v>
      </c>
      <c r="I48" s="357">
        <f t="shared" ca="1" si="13"/>
        <v>33.723152732463937</v>
      </c>
      <c r="J48" s="359">
        <f t="shared" ca="1" si="14"/>
        <v>1.2366581845163116</v>
      </c>
      <c r="K48" s="360">
        <f t="shared" ca="1" si="15"/>
        <v>6.960348399336354</v>
      </c>
      <c r="L48" s="357">
        <f t="shared" ca="1" si="0"/>
        <v>7.0693545183047179</v>
      </c>
      <c r="M48" s="359">
        <f t="shared" ca="1" si="16"/>
        <v>1.3905167689515594</v>
      </c>
      <c r="N48" s="357">
        <f t="shared" ca="1" si="17"/>
        <v>79.670742203092189</v>
      </c>
      <c r="O48" s="343"/>
      <c r="P48" s="363">
        <f t="shared" ca="1" si="18"/>
        <v>2</v>
      </c>
      <c r="Q48" s="357">
        <f t="shared" ca="1" si="19"/>
        <v>811.72222222222217</v>
      </c>
      <c r="R48" s="359">
        <f t="shared" ca="1" si="20"/>
        <v>0.40736556379832362</v>
      </c>
      <c r="S48" s="360">
        <f t="shared" ca="1" si="21"/>
        <v>9.2370728926286336</v>
      </c>
      <c r="T48" s="357">
        <f t="shared" ca="1" si="1"/>
        <v>90.615685076686901</v>
      </c>
      <c r="U48" s="364">
        <f t="shared" ca="1" si="2"/>
        <v>0</v>
      </c>
      <c r="V48" s="359">
        <f t="shared" ca="1" si="3"/>
        <v>1.2241476539523537</v>
      </c>
      <c r="W48" s="357">
        <f t="shared" ca="1" si="4"/>
        <v>3.6978561697454824</v>
      </c>
      <c r="X48" s="343"/>
      <c r="Y48" s="367" t="str">
        <f t="shared" ca="1" si="22"/>
        <v/>
      </c>
      <c r="Z48" s="368" t="str">
        <f t="shared" ca="1" si="23"/>
        <v/>
      </c>
      <c r="AA48" s="369" t="str">
        <f t="shared" ca="1" si="24"/>
        <v/>
      </c>
      <c r="AB48" s="344"/>
      <c r="AC48" s="363" t="e">
        <f t="shared" ca="1" si="25"/>
        <v>#N/A</v>
      </c>
      <c r="AD48" s="376" t="e">
        <f t="shared" ca="1" si="26"/>
        <v>#N/A</v>
      </c>
      <c r="AE48" s="377">
        <f t="shared" ca="1" si="5"/>
        <v>6.960348399336354</v>
      </c>
      <c r="AF48" s="344"/>
      <c r="AG48" s="359">
        <f t="shared" ca="1" si="27"/>
        <v>77.842562603683476</v>
      </c>
      <c r="AH48" s="357">
        <f t="shared" ca="1" si="28"/>
        <v>87.494491419128309</v>
      </c>
    </row>
    <row r="49" spans="1:34" x14ac:dyDescent="0.2">
      <c r="A49" s="402">
        <f t="shared" ca="1" si="6"/>
        <v>0.01</v>
      </c>
      <c r="B49" s="357">
        <f t="shared" ca="1" si="7"/>
        <v>0.45000000000000023</v>
      </c>
      <c r="C49" s="342"/>
      <c r="D49" s="359">
        <f t="shared" ca="1" si="8"/>
        <v>15.650796718460599</v>
      </c>
      <c r="E49" s="360">
        <f t="shared" ca="1" si="9"/>
        <v>76.06148947414637</v>
      </c>
      <c r="F49" s="357">
        <f t="shared" ca="1" si="10"/>
        <v>77.65499094680429</v>
      </c>
      <c r="G49" s="359">
        <f t="shared" ca="1" si="11"/>
        <v>6.2032246365112584</v>
      </c>
      <c r="H49" s="360">
        <f t="shared" ca="1" si="12"/>
        <v>33.937236900876705</v>
      </c>
      <c r="I49" s="357">
        <f t="shared" ca="1" si="13"/>
        <v>34.49950788572567</v>
      </c>
      <c r="J49" s="359">
        <f t="shared" ca="1" si="14"/>
        <v>1.2979078910455011</v>
      </c>
      <c r="K49" s="360">
        <f t="shared" ca="1" si="15"/>
        <v>7.2959176938714139</v>
      </c>
      <c r="L49" s="357">
        <f t="shared" ca="1" si="0"/>
        <v>7.4104642155120182</v>
      </c>
      <c r="M49" s="359">
        <f t="shared" ca="1" si="16"/>
        <v>1.3900069129028716</v>
      </c>
      <c r="N49" s="357">
        <f t="shared" ca="1" si="17"/>
        <v>79.641529603343159</v>
      </c>
      <c r="O49" s="343"/>
      <c r="P49" s="363">
        <f t="shared" ca="1" si="18"/>
        <v>2</v>
      </c>
      <c r="Q49" s="357">
        <f t="shared" ca="1" si="19"/>
        <v>809.61111111111109</v>
      </c>
      <c r="R49" s="359">
        <f t="shared" ca="1" si="20"/>
        <v>0.40630609549195612</v>
      </c>
      <c r="S49" s="360">
        <f t="shared" ca="1" si="21"/>
        <v>9.2330098316737139</v>
      </c>
      <c r="T49" s="357">
        <f t="shared" ca="1" si="1"/>
        <v>90.575826448719141</v>
      </c>
      <c r="U49" s="364">
        <f t="shared" ca="1" si="2"/>
        <v>0</v>
      </c>
      <c r="V49" s="359">
        <f t="shared" ca="1" si="3"/>
        <v>1.2241065759998995</v>
      </c>
      <c r="W49" s="357">
        <f t="shared" ca="1" si="4"/>
        <v>3.8699459803660301</v>
      </c>
      <c r="X49" s="343"/>
      <c r="Y49" s="367" t="str">
        <f t="shared" ca="1" si="22"/>
        <v/>
      </c>
      <c r="Z49" s="368" t="str">
        <f t="shared" ca="1" si="23"/>
        <v/>
      </c>
      <c r="AA49" s="369" t="str">
        <f t="shared" ca="1" si="24"/>
        <v/>
      </c>
      <c r="AB49" s="344"/>
      <c r="AC49" s="363" t="e">
        <f t="shared" ca="1" si="25"/>
        <v>#N/A</v>
      </c>
      <c r="AD49" s="376" t="e">
        <f t="shared" ca="1" si="26"/>
        <v>#N/A</v>
      </c>
      <c r="AE49" s="377">
        <f t="shared" ca="1" si="5"/>
        <v>7.2959176938714139</v>
      </c>
      <c r="AF49" s="344"/>
      <c r="AG49" s="359">
        <f t="shared" ca="1" si="27"/>
        <v>77.6350669133259</v>
      </c>
      <c r="AH49" s="357">
        <f t="shared" ca="1" si="28"/>
        <v>87.286082180557329</v>
      </c>
    </row>
    <row r="50" spans="1:34" x14ac:dyDescent="0.2">
      <c r="A50" s="402">
        <f t="shared" ca="1" si="6"/>
        <v>0.01</v>
      </c>
      <c r="B50" s="357">
        <f t="shared" ca="1" si="7"/>
        <v>0.46000000000000024</v>
      </c>
      <c r="C50" s="342"/>
      <c r="D50" s="359">
        <f t="shared" ca="1" si="8"/>
        <v>15.656985114189387</v>
      </c>
      <c r="E50" s="360">
        <f t="shared" ca="1" si="9"/>
        <v>75.84783831948792</v>
      </c>
      <c r="F50" s="357">
        <f t="shared" ca="1" si="10"/>
        <v>77.446986775504243</v>
      </c>
      <c r="G50" s="359">
        <f t="shared" ca="1" si="11"/>
        <v>6.3597944876531525</v>
      </c>
      <c r="H50" s="360">
        <f t="shared" ca="1" si="12"/>
        <v>34.695715284071582</v>
      </c>
      <c r="I50" s="357">
        <f t="shared" ca="1" si="13"/>
        <v>35.273781268791438</v>
      </c>
      <c r="J50" s="359">
        <f t="shared" ca="1" si="14"/>
        <v>1.3607229866663231</v>
      </c>
      <c r="K50" s="360">
        <f t="shared" ca="1" si="15"/>
        <v>7.6390824547961556</v>
      </c>
      <c r="L50" s="357">
        <f t="shared" ca="1" si="0"/>
        <v>7.7593265041249921</v>
      </c>
      <c r="M50" s="359">
        <f t="shared" ca="1" si="16"/>
        <v>1.3895068534789148</v>
      </c>
      <c r="N50" s="357">
        <f t="shared" ca="1" si="17"/>
        <v>79.612878308844685</v>
      </c>
      <c r="O50" s="343"/>
      <c r="P50" s="363">
        <f t="shared" ca="1" si="18"/>
        <v>2</v>
      </c>
      <c r="Q50" s="357">
        <f t="shared" ca="1" si="19"/>
        <v>807.5</v>
      </c>
      <c r="R50" s="359">
        <f t="shared" ca="1" si="20"/>
        <v>0.40524662718558857</v>
      </c>
      <c r="S50" s="360">
        <f t="shared" ca="1" si="21"/>
        <v>9.2289573654018575</v>
      </c>
      <c r="T50" s="357">
        <f t="shared" ca="1" si="1"/>
        <v>90.536071754592228</v>
      </c>
      <c r="U50" s="364">
        <f t="shared" ca="1" si="2"/>
        <v>0</v>
      </c>
      <c r="V50" s="359">
        <f t="shared" ca="1" si="3"/>
        <v>1.2240645696907506</v>
      </c>
      <c r="W50" s="357">
        <f t="shared" ca="1" si="4"/>
        <v>4.0454630062918806</v>
      </c>
      <c r="X50" s="343"/>
      <c r="Y50" s="367" t="str">
        <f t="shared" ca="1" si="22"/>
        <v/>
      </c>
      <c r="Z50" s="368" t="str">
        <f t="shared" ca="1" si="23"/>
        <v/>
      </c>
      <c r="AA50" s="369" t="str">
        <f t="shared" ca="1" si="24"/>
        <v/>
      </c>
      <c r="AB50" s="344"/>
      <c r="AC50" s="363" t="e">
        <f t="shared" ca="1" si="25"/>
        <v>#N/A</v>
      </c>
      <c r="AD50" s="376" t="e">
        <f t="shared" ca="1" si="26"/>
        <v>#N/A</v>
      </c>
      <c r="AE50" s="377">
        <f t="shared" ca="1" si="5"/>
        <v>7.6390824547961556</v>
      </c>
      <c r="AF50" s="344"/>
      <c r="AG50" s="359">
        <f t="shared" ca="1" si="27"/>
        <v>77.426897279508793</v>
      </c>
      <c r="AH50" s="357">
        <f t="shared" ca="1" si="28"/>
        <v>87.077014466697705</v>
      </c>
    </row>
    <row r="51" spans="1:34" x14ac:dyDescent="0.2">
      <c r="A51" s="402">
        <f t="shared" ca="1" si="6"/>
        <v>0.01</v>
      </c>
      <c r="B51" s="357">
        <f t="shared" ca="1" si="7"/>
        <v>0.47000000000000025</v>
      </c>
      <c r="C51" s="342"/>
      <c r="D51" s="359">
        <f t="shared" ca="1" si="8"/>
        <v>15.662004570323706</v>
      </c>
      <c r="E51" s="360">
        <f t="shared" ca="1" si="9"/>
        <v>75.633712435164313</v>
      </c>
      <c r="F51" s="357">
        <f t="shared" ca="1" si="10"/>
        <v>77.238312021211144</v>
      </c>
      <c r="G51" s="359">
        <f t="shared" ca="1" si="11"/>
        <v>6.5164145333563894</v>
      </c>
      <c r="H51" s="360">
        <f t="shared" ca="1" si="12"/>
        <v>35.452052408423228</v>
      </c>
      <c r="I51" s="357">
        <f t="shared" ca="1" si="13"/>
        <v>36.045966186802723</v>
      </c>
      <c r="J51" s="359">
        <f t="shared" ca="1" si="14"/>
        <v>1.4251040317713708</v>
      </c>
      <c r="K51" s="360">
        <f t="shared" ca="1" si="15"/>
        <v>7.9898212932586299</v>
      </c>
      <c r="L51" s="357">
        <f t="shared" ca="1" si="0"/>
        <v>8.1159205146169349</v>
      </c>
      <c r="M51" s="359">
        <f t="shared" ca="1" si="16"/>
        <v>1.3890161677600739</v>
      </c>
      <c r="N51" s="357">
        <f t="shared" ca="1" si="17"/>
        <v>79.584764088087752</v>
      </c>
      <c r="O51" s="343"/>
      <c r="P51" s="363">
        <f t="shared" ca="1" si="18"/>
        <v>2</v>
      </c>
      <c r="Q51" s="357">
        <f t="shared" ca="1" si="19"/>
        <v>805.3888888888888</v>
      </c>
      <c r="R51" s="359">
        <f t="shared" ca="1" si="20"/>
        <v>0.40418715887922096</v>
      </c>
      <c r="S51" s="360">
        <f t="shared" ca="1" si="21"/>
        <v>9.2249154938130662</v>
      </c>
      <c r="T51" s="357">
        <f t="shared" ca="1" si="1"/>
        <v>90.496420994306177</v>
      </c>
      <c r="U51" s="364">
        <f t="shared" ca="1" si="2"/>
        <v>0</v>
      </c>
      <c r="V51" s="359">
        <f t="shared" ca="1" si="3"/>
        <v>1.2240216377385571</v>
      </c>
      <c r="W51" s="357">
        <f t="shared" ca="1" si="4"/>
        <v>4.2243734904586088</v>
      </c>
      <c r="X51" s="343"/>
      <c r="Y51" s="367" t="str">
        <f t="shared" ca="1" si="22"/>
        <v/>
      </c>
      <c r="Z51" s="368" t="str">
        <f t="shared" ca="1" si="23"/>
        <v/>
      </c>
      <c r="AA51" s="369" t="str">
        <f t="shared" ca="1" si="24"/>
        <v/>
      </c>
      <c r="AB51" s="344"/>
      <c r="AC51" s="363" t="e">
        <f t="shared" ca="1" si="25"/>
        <v>#N/A</v>
      </c>
      <c r="AD51" s="376" t="e">
        <f t="shared" ca="1" si="26"/>
        <v>#N/A</v>
      </c>
      <c r="AE51" s="377">
        <f t="shared" ca="1" si="5"/>
        <v>7.9898212932586299</v>
      </c>
      <c r="AF51" s="344"/>
      <c r="AG51" s="359">
        <f t="shared" ca="1" si="27"/>
        <v>77.218057857313227</v>
      </c>
      <c r="AH51" s="357">
        <f t="shared" ca="1" si="28"/>
        <v>86.867291783869348</v>
      </c>
    </row>
    <row r="52" spans="1:34" x14ac:dyDescent="0.2">
      <c r="A52" s="402">
        <f t="shared" ca="1" si="6"/>
        <v>0.01</v>
      </c>
      <c r="B52" s="357">
        <f t="shared" ca="1" si="7"/>
        <v>0.48000000000000026</v>
      </c>
      <c r="C52" s="342"/>
      <c r="D52" s="359">
        <f t="shared" ca="1" si="8"/>
        <v>15.665897112980616</v>
      </c>
      <c r="E52" s="360">
        <f t="shared" ca="1" si="9"/>
        <v>75.419109141448843</v>
      </c>
      <c r="F52" s="357">
        <f t="shared" ca="1" si="10"/>
        <v>77.028970887869633</v>
      </c>
      <c r="G52" s="359">
        <f t="shared" ca="1" si="11"/>
        <v>6.6730735044861955</v>
      </c>
      <c r="H52" s="360">
        <f t="shared" ca="1" si="12"/>
        <v>36.206243499837719</v>
      </c>
      <c r="I52" s="357">
        <f t="shared" ca="1" si="13"/>
        <v>36.816055986020778</v>
      </c>
      <c r="J52" s="359">
        <f t="shared" ca="1" si="14"/>
        <v>1.4910514719605836</v>
      </c>
      <c r="K52" s="360">
        <f t="shared" ca="1" si="15"/>
        <v>8.3481127727999347</v>
      </c>
      <c r="L52" s="357">
        <f t="shared" ca="1" si="0"/>
        <v>8.4802253130103367</v>
      </c>
      <c r="M52" s="359">
        <f t="shared" ca="1" si="16"/>
        <v>1.3885344598309524</v>
      </c>
      <c r="N52" s="357">
        <f t="shared" ca="1" si="17"/>
        <v>79.557164256791111</v>
      </c>
      <c r="O52" s="343"/>
      <c r="P52" s="363">
        <f t="shared" ca="1" si="18"/>
        <v>2</v>
      </c>
      <c r="Q52" s="357">
        <f t="shared" ca="1" si="19"/>
        <v>803.27777777777771</v>
      </c>
      <c r="R52" s="359">
        <f t="shared" ca="1" si="20"/>
        <v>0.40312769057285341</v>
      </c>
      <c r="S52" s="360">
        <f t="shared" ca="1" si="21"/>
        <v>9.2208842169073382</v>
      </c>
      <c r="T52" s="357">
        <f t="shared" ca="1" si="1"/>
        <v>90.456874167860988</v>
      </c>
      <c r="U52" s="364">
        <f t="shared" ca="1" si="2"/>
        <v>0</v>
      </c>
      <c r="V52" s="359">
        <f t="shared" ca="1" si="3"/>
        <v>1.2239777828645282</v>
      </c>
      <c r="W52" s="357">
        <f t="shared" ca="1" si="4"/>
        <v>4.4066436268030627</v>
      </c>
      <c r="X52" s="343"/>
      <c r="Y52" s="367" t="str">
        <f t="shared" ca="1" si="22"/>
        <v/>
      </c>
      <c r="Z52" s="368" t="str">
        <f t="shared" ca="1" si="23"/>
        <v/>
      </c>
      <c r="AA52" s="369" t="str">
        <f t="shared" ca="1" si="24"/>
        <v/>
      </c>
      <c r="AB52" s="344"/>
      <c r="AC52" s="363" t="e">
        <f t="shared" ca="1" si="25"/>
        <v>#N/A</v>
      </c>
      <c r="AD52" s="376" t="e">
        <f t="shared" ca="1" si="26"/>
        <v>#N/A</v>
      </c>
      <c r="AE52" s="377">
        <f t="shared" ca="1" si="5"/>
        <v>8.3481127727999347</v>
      </c>
      <c r="AF52" s="344"/>
      <c r="AG52" s="359">
        <f t="shared" ca="1" si="27"/>
        <v>77.008552777276677</v>
      </c>
      <c r="AH52" s="357">
        <f t="shared" ca="1" si="28"/>
        <v>86.656917654619434</v>
      </c>
    </row>
    <row r="53" spans="1:34" x14ac:dyDescent="0.2">
      <c r="A53" s="402">
        <f t="shared" ca="1" si="6"/>
        <v>0.01</v>
      </c>
      <c r="B53" s="357">
        <f t="shared" ca="1" si="7"/>
        <v>0.49000000000000027</v>
      </c>
      <c r="C53" s="342"/>
      <c r="D53" s="359">
        <f t="shared" ca="1" si="8"/>
        <v>15.66870215091993</v>
      </c>
      <c r="E53" s="360">
        <f t="shared" ca="1" si="9"/>
        <v>75.204026148707669</v>
      </c>
      <c r="F53" s="357">
        <f t="shared" ca="1" si="10"/>
        <v>76.818967554047163</v>
      </c>
      <c r="G53" s="359">
        <f t="shared" ca="1" si="11"/>
        <v>6.8297605259953951</v>
      </c>
      <c r="H53" s="360">
        <f t="shared" ca="1" si="12"/>
        <v>36.958283761324793</v>
      </c>
      <c r="I53" s="357">
        <f t="shared" ca="1" si="13"/>
        <v>37.584044053627977</v>
      </c>
      <c r="J53" s="359">
        <f t="shared" ca="1" si="14"/>
        <v>1.5585656421129916</v>
      </c>
      <c r="K53" s="360">
        <f t="shared" ca="1" si="15"/>
        <v>8.7139354091057477</v>
      </c>
      <c r="L53" s="357">
        <f t="shared" ca="1" si="0"/>
        <v>8.8522199009537736</v>
      </c>
      <c r="M53" s="359">
        <f t="shared" ca="1" si="16"/>
        <v>1.3880613585085195</v>
      </c>
      <c r="N53" s="357">
        <f t="shared" ca="1" si="17"/>
        <v>79.530057547733648</v>
      </c>
      <c r="O53" s="343"/>
      <c r="P53" s="363">
        <f t="shared" ca="1" si="18"/>
        <v>2</v>
      </c>
      <c r="Q53" s="357">
        <f t="shared" ca="1" si="19"/>
        <v>801.16666666666663</v>
      </c>
      <c r="R53" s="359">
        <f t="shared" ca="1" si="20"/>
        <v>0.40206822226648586</v>
      </c>
      <c r="S53" s="360">
        <f t="shared" ca="1" si="21"/>
        <v>9.2168635346846735</v>
      </c>
      <c r="T53" s="357">
        <f t="shared" ca="1" si="1"/>
        <v>90.417431275256646</v>
      </c>
      <c r="U53" s="364">
        <f t="shared" ca="1" si="2"/>
        <v>0</v>
      </c>
      <c r="V53" s="359">
        <f t="shared" ca="1" si="3"/>
        <v>1.2239330077974415</v>
      </c>
      <c r="W53" s="357">
        <f t="shared" ca="1" si="4"/>
        <v>4.5922395624895467</v>
      </c>
      <c r="X53" s="343"/>
      <c r="Y53" s="367" t="str">
        <f t="shared" ca="1" si="22"/>
        <v/>
      </c>
      <c r="Z53" s="368" t="str">
        <f t="shared" ca="1" si="23"/>
        <v/>
      </c>
      <c r="AA53" s="369" t="str">
        <f t="shared" ca="1" si="24"/>
        <v/>
      </c>
      <c r="AB53" s="344"/>
      <c r="AC53" s="363" t="e">
        <f t="shared" ca="1" si="25"/>
        <v>#N/A</v>
      </c>
      <c r="AD53" s="376" t="e">
        <f t="shared" ca="1" si="26"/>
        <v>#N/A</v>
      </c>
      <c r="AE53" s="377">
        <f t="shared" ca="1" si="5"/>
        <v>8.7139354091057477</v>
      </c>
      <c r="AF53" s="344"/>
      <c r="AG53" s="359">
        <f t="shared" ca="1" si="27"/>
        <v>76.798386148555508</v>
      </c>
      <c r="AH53" s="357">
        <f t="shared" ca="1" si="28"/>
        <v>86.44589561747506</v>
      </c>
    </row>
    <row r="54" spans="1:34" x14ac:dyDescent="0.2">
      <c r="A54" s="402">
        <f t="shared" ca="1" si="6"/>
        <v>0.01</v>
      </c>
      <c r="B54" s="357">
        <f t="shared" ca="1" si="7"/>
        <v>0.50000000000000022</v>
      </c>
      <c r="C54" s="342"/>
      <c r="D54" s="359">
        <f t="shared" ca="1" si="8"/>
        <v>15.670456694914289</v>
      </c>
      <c r="E54" s="360">
        <f t="shared" ca="1" si="9"/>
        <v>74.988461526699837</v>
      </c>
      <c r="F54" s="357">
        <f t="shared" ca="1" si="10"/>
        <v>76.608306176083317</v>
      </c>
      <c r="G54" s="359">
        <f t="shared" ca="1" si="11"/>
        <v>6.9864650929445382</v>
      </c>
      <c r="H54" s="360">
        <f t="shared" ca="1" si="12"/>
        <v>37.708168376591793</v>
      </c>
      <c r="I54" s="357">
        <f t="shared" ca="1" si="13"/>
        <v>38.349923817555748</v>
      </c>
      <c r="J54" s="359">
        <f t="shared" ca="1" si="14"/>
        <v>1.6276467702076913</v>
      </c>
      <c r="K54" s="360">
        <f t="shared" ca="1" si="15"/>
        <v>9.087267669795331</v>
      </c>
      <c r="L54" s="357">
        <f t="shared" ca="1" si="0"/>
        <v>9.2318832158490292</v>
      </c>
      <c r="M54" s="359">
        <f t="shared" ca="1" si="16"/>
        <v>1.3875965153054173</v>
      </c>
      <c r="N54" s="357">
        <f t="shared" ca="1" si="17"/>
        <v>79.503423994060554</v>
      </c>
      <c r="O54" s="343"/>
      <c r="P54" s="363">
        <f t="shared" ca="1" si="18"/>
        <v>2</v>
      </c>
      <c r="Q54" s="357">
        <f t="shared" ca="1" si="19"/>
        <v>799.05555555555554</v>
      </c>
      <c r="R54" s="359">
        <f t="shared" ca="1" si="20"/>
        <v>0.40100875396011837</v>
      </c>
      <c r="S54" s="360">
        <f t="shared" ca="1" si="21"/>
        <v>9.212853447145072</v>
      </c>
      <c r="T54" s="357">
        <f t="shared" ca="1" si="1"/>
        <v>90.378092316493166</v>
      </c>
      <c r="U54" s="364">
        <f t="shared" ca="1" si="2"/>
        <v>0</v>
      </c>
      <c r="V54" s="359">
        <f t="shared" ca="1" si="3"/>
        <v>1.2238873152736474</v>
      </c>
      <c r="W54" s="357">
        <f t="shared" ca="1" si="4"/>
        <v>4.7811274001300363</v>
      </c>
      <c r="X54" s="343"/>
      <c r="Y54" s="367" t="str">
        <f t="shared" ca="1" si="22"/>
        <v/>
      </c>
      <c r="Z54" s="368" t="str">
        <f t="shared" ca="1" si="23"/>
        <v/>
      </c>
      <c r="AA54" s="369" t="str">
        <f t="shared" ca="1" si="24"/>
        <v/>
      </c>
      <c r="AB54" s="344"/>
      <c r="AC54" s="363" t="e">
        <f t="shared" ca="1" si="25"/>
        <v>#N/A</v>
      </c>
      <c r="AD54" s="376" t="e">
        <f t="shared" ca="1" si="26"/>
        <v>#N/A</v>
      </c>
      <c r="AE54" s="377">
        <f t="shared" ca="1" si="5"/>
        <v>9.087267669795331</v>
      </c>
      <c r="AF54" s="344"/>
      <c r="AG54" s="359">
        <f t="shared" ca="1" si="27"/>
        <v>76.587562061734744</v>
      </c>
      <c r="AH54" s="357">
        <f t="shared" ca="1" si="28"/>
        <v>86.234229226696158</v>
      </c>
    </row>
    <row r="55" spans="1:34" x14ac:dyDescent="0.2">
      <c r="A55" s="402">
        <f t="shared" ca="1" si="6"/>
        <v>0.01</v>
      </c>
      <c r="B55" s="357">
        <f t="shared" ca="1" si="7"/>
        <v>0.51000000000000023</v>
      </c>
      <c r="C55" s="342"/>
      <c r="D55" s="359">
        <f t="shared" ca="1" si="8"/>
        <v>15.6804095176636</v>
      </c>
      <c r="E55" s="360">
        <f t="shared" ca="1" si="9"/>
        <v>74.822144359110993</v>
      </c>
      <c r="F55" s="357">
        <f t="shared" ca="1" si="10"/>
        <v>76.447554108272683</v>
      </c>
      <c r="G55" s="359">
        <f t="shared" ca="1" si="11"/>
        <v>7.1432691881211738</v>
      </c>
      <c r="H55" s="360">
        <f t="shared" ca="1" si="12"/>
        <v>38.456389820182906</v>
      </c>
      <c r="I55" s="357">
        <f t="shared" ca="1" si="13"/>
        <v>39.114194516771384</v>
      </c>
      <c r="J55" s="359">
        <f t="shared" ca="1" si="14"/>
        <v>1.6982954416130198</v>
      </c>
      <c r="K55" s="360">
        <f t="shared" ca="1" si="15"/>
        <v>9.4680904607792051</v>
      </c>
      <c r="L55" s="357">
        <f t="shared" ca="1" si="0"/>
        <v>9.6191966598308891</v>
      </c>
      <c r="M55" s="359">
        <f t="shared" ca="1" si="16"/>
        <v>1.3871396085078789</v>
      </c>
      <c r="N55" s="357">
        <f t="shared" ca="1" si="17"/>
        <v>79.477245162930757</v>
      </c>
      <c r="O55" s="343"/>
      <c r="P55" s="363">
        <f t="shared" ca="1" si="18"/>
        <v>3</v>
      </c>
      <c r="Q55" s="357">
        <f t="shared" ca="1" si="19"/>
        <v>797.41</v>
      </c>
      <c r="R55" s="359">
        <f t="shared" ca="1" si="20"/>
        <v>0.40018292629604973</v>
      </c>
      <c r="S55" s="360">
        <f t="shared" ca="1" si="21"/>
        <v>9.2088516178821109</v>
      </c>
      <c r="T55" s="357">
        <f t="shared" ca="1" si="1"/>
        <v>90.338834371423516</v>
      </c>
      <c r="U55" s="364">
        <f t="shared" ca="1" si="2"/>
        <v>0</v>
      </c>
      <c r="V55" s="359">
        <f t="shared" ca="1" si="3"/>
        <v>1.2238407077327575</v>
      </c>
      <c r="W55" s="357">
        <f t="shared" ca="1" si="4"/>
        <v>4.9734018161791482</v>
      </c>
      <c r="X55" s="343"/>
      <c r="Y55" s="367" t="str">
        <f t="shared" ca="1" si="22"/>
        <v/>
      </c>
      <c r="Z55" s="368" t="str">
        <f t="shared" ca="1" si="23"/>
        <v/>
      </c>
      <c r="AA55" s="369" t="str">
        <f t="shared" ca="1" si="24"/>
        <v/>
      </c>
      <c r="AB55" s="344"/>
      <c r="AC55" s="363" t="e">
        <f t="shared" ca="1" si="25"/>
        <v>#N/A</v>
      </c>
      <c r="AD55" s="376" t="e">
        <f t="shared" ca="1" si="26"/>
        <v>#N/A</v>
      </c>
      <c r="AE55" s="377">
        <f t="shared" ca="1" si="5"/>
        <v>9.4680904607792051</v>
      </c>
      <c r="AF55" s="344"/>
      <c r="AG55" s="359">
        <f t="shared" ca="1" si="27"/>
        <v>76.426661640133943</v>
      </c>
      <c r="AH55" s="357">
        <f t="shared" ca="1" si="28"/>
        <v>86.072499100833809</v>
      </c>
    </row>
    <row r="56" spans="1:34" x14ac:dyDescent="0.2">
      <c r="A56" s="402">
        <f t="shared" ca="1" si="6"/>
        <v>0.01</v>
      </c>
      <c r="B56" s="357">
        <f t="shared" ca="1" si="7"/>
        <v>0.52000000000000024</v>
      </c>
      <c r="C56" s="342"/>
      <c r="D56" s="359">
        <f t="shared" ca="1" si="8"/>
        <v>15.698674495262683</v>
      </c>
      <c r="E56" s="360">
        <f t="shared" ca="1" si="9"/>
        <v>74.705133078552549</v>
      </c>
      <c r="F56" s="357">
        <f t="shared" ca="1" si="10"/>
        <v>76.336788570075811</v>
      </c>
      <c r="G56" s="359">
        <f t="shared" ca="1" si="11"/>
        <v>7.3002559330738004</v>
      </c>
      <c r="H56" s="360">
        <f t="shared" ca="1" si="12"/>
        <v>39.20344115096843</v>
      </c>
      <c r="I56" s="357">
        <f t="shared" ca="1" si="13"/>
        <v>39.877356165696646</v>
      </c>
      <c r="J56" s="359">
        <f t="shared" ca="1" si="14"/>
        <v>1.7705130672189946</v>
      </c>
      <c r="K56" s="360">
        <f t="shared" ca="1" si="15"/>
        <v>9.8563896156349617</v>
      </c>
      <c r="L56" s="357">
        <f t="shared" ca="1" si="0"/>
        <v>10.014146632458999</v>
      </c>
      <c r="M56" s="359">
        <f t="shared" ca="1" si="16"/>
        <v>1.3866903407108511</v>
      </c>
      <c r="N56" s="357">
        <f t="shared" ca="1" si="17"/>
        <v>79.451504014289924</v>
      </c>
      <c r="O56" s="343"/>
      <c r="P56" s="363">
        <f t="shared" ca="1" si="18"/>
        <v>3</v>
      </c>
      <c r="Q56" s="357">
        <f t="shared" ca="1" si="19"/>
        <v>796.23</v>
      </c>
      <c r="R56" s="359">
        <f t="shared" ca="1" si="20"/>
        <v>0.39959073927428013</v>
      </c>
      <c r="S56" s="360">
        <f t="shared" ca="1" si="21"/>
        <v>9.2048557104893689</v>
      </c>
      <c r="T56" s="357">
        <f t="shared" ca="1" si="1"/>
        <v>90.299634519900707</v>
      </c>
      <c r="U56" s="364">
        <f t="shared" ca="1" si="2"/>
        <v>0</v>
      </c>
      <c r="V56" s="359">
        <f t="shared" ca="1" si="3"/>
        <v>1.2237931870130345</v>
      </c>
      <c r="W56" s="357">
        <f t="shared" ca="1" si="4"/>
        <v>5.1691676423310771</v>
      </c>
      <c r="X56" s="343"/>
      <c r="Y56" s="367" t="str">
        <f t="shared" ca="1" si="22"/>
        <v/>
      </c>
      <c r="Z56" s="368" t="str">
        <f t="shared" ca="1" si="23"/>
        <v/>
      </c>
      <c r="AA56" s="369" t="str">
        <f t="shared" ca="1" si="24"/>
        <v/>
      </c>
      <c r="AB56" s="344"/>
      <c r="AC56" s="363" t="e">
        <f t="shared" ca="1" si="25"/>
        <v>#N/A</v>
      </c>
      <c r="AD56" s="376" t="e">
        <f t="shared" ca="1" si="26"/>
        <v>#N/A</v>
      </c>
      <c r="AE56" s="377">
        <f t="shared" ca="1" si="5"/>
        <v>9.8563896156349617</v>
      </c>
      <c r="AF56" s="344"/>
      <c r="AG56" s="359">
        <f t="shared" ca="1" si="27"/>
        <v>76.315762447156871</v>
      </c>
      <c r="AH56" s="357">
        <f t="shared" ca="1" si="28"/>
        <v>85.960782338189887</v>
      </c>
    </row>
    <row r="57" spans="1:34" x14ac:dyDescent="0.2">
      <c r="A57" s="402">
        <f t="shared" ca="1" si="6"/>
        <v>0.01</v>
      </c>
      <c r="B57" s="357">
        <f t="shared" ca="1" si="7"/>
        <v>0.53000000000000025</v>
      </c>
      <c r="C57" s="342"/>
      <c r="D57" s="359">
        <f t="shared" ca="1" si="8"/>
        <v>15.716093758992761</v>
      </c>
      <c r="E57" s="360">
        <f t="shared" ca="1" si="9"/>
        <v>74.587720087102923</v>
      </c>
      <c r="F57" s="357">
        <f t="shared" ca="1" si="10"/>
        <v>76.225478619904166</v>
      </c>
      <c r="G57" s="359">
        <f t="shared" ca="1" si="11"/>
        <v>7.457416870663728</v>
      </c>
      <c r="H57" s="360">
        <f t="shared" ca="1" si="12"/>
        <v>39.949318351839459</v>
      </c>
      <c r="I57" s="357">
        <f t="shared" ca="1" si="13"/>
        <v>40.639403331735537</v>
      </c>
      <c r="J57" s="359">
        <f t="shared" ca="1" si="14"/>
        <v>1.8443014312376822</v>
      </c>
      <c r="K57" s="360">
        <f t="shared" ca="1" si="15"/>
        <v>10.252153413149001</v>
      </c>
      <c r="L57" s="357">
        <f t="shared" ca="1" si="0"/>
        <v>10.416722007234716</v>
      </c>
      <c r="M57" s="359">
        <f t="shared" ca="1" si="16"/>
        <v>1.3862484311200542</v>
      </c>
      <c r="N57" s="357">
        <f t="shared" ca="1" si="17"/>
        <v>79.426184459810912</v>
      </c>
      <c r="O57" s="343"/>
      <c r="P57" s="363">
        <f t="shared" ca="1" si="18"/>
        <v>3</v>
      </c>
      <c r="Q57" s="357">
        <f t="shared" ca="1" si="19"/>
        <v>795.05</v>
      </c>
      <c r="R57" s="359">
        <f t="shared" ca="1" si="20"/>
        <v>0.39899855225251041</v>
      </c>
      <c r="S57" s="360">
        <f t="shared" ca="1" si="21"/>
        <v>9.2008657249668442</v>
      </c>
      <c r="T57" s="357">
        <f t="shared" ca="1" si="1"/>
        <v>90.260492761924752</v>
      </c>
      <c r="U57" s="364">
        <f t="shared" ca="1" si="2"/>
        <v>0</v>
      </c>
      <c r="V57" s="359">
        <f t="shared" ca="1" si="3"/>
        <v>1.2237447546552818</v>
      </c>
      <c r="W57" s="357">
        <f t="shared" ca="1" si="4"/>
        <v>5.3684060954642199</v>
      </c>
      <c r="X57" s="343"/>
      <c r="Y57" s="367" t="str">
        <f t="shared" ca="1" si="22"/>
        <v/>
      </c>
      <c r="Z57" s="368" t="str">
        <f t="shared" ca="1" si="23"/>
        <v/>
      </c>
      <c r="AA57" s="369" t="str">
        <f t="shared" ca="1" si="24"/>
        <v/>
      </c>
      <c r="AB57" s="344"/>
      <c r="AC57" s="363" t="e">
        <f t="shared" ca="1" si="25"/>
        <v>#N/A</v>
      </c>
      <c r="AD57" s="376" t="e">
        <f t="shared" ca="1" si="26"/>
        <v>#N/A</v>
      </c>
      <c r="AE57" s="377">
        <f t="shared" ca="1" si="5"/>
        <v>10.252153413149001</v>
      </c>
      <c r="AF57" s="344"/>
      <c r="AG57" s="359">
        <f t="shared" ca="1" si="27"/>
        <v>76.204319792457568</v>
      </c>
      <c r="AH57" s="357">
        <f t="shared" ca="1" si="28"/>
        <v>85.848533819410264</v>
      </c>
    </row>
    <row r="58" spans="1:34" x14ac:dyDescent="0.2">
      <c r="A58" s="402">
        <f t="shared" ca="1" si="6"/>
        <v>0.01</v>
      </c>
      <c r="B58" s="357">
        <f t="shared" ca="1" si="7"/>
        <v>0.54000000000000026</v>
      </c>
      <c r="C58" s="342"/>
      <c r="D58" s="359">
        <f t="shared" ca="1" si="8"/>
        <v>15.732693252629945</v>
      </c>
      <c r="E58" s="360">
        <f t="shared" ca="1" si="9"/>
        <v>74.469903106075336</v>
      </c>
      <c r="F58" s="357">
        <f t="shared" ca="1" si="10"/>
        <v>76.113626280775748</v>
      </c>
      <c r="G58" s="359">
        <f t="shared" ca="1" si="11"/>
        <v>7.6147438031900272</v>
      </c>
      <c r="H58" s="360">
        <f t="shared" ca="1" si="12"/>
        <v>40.694017382900213</v>
      </c>
      <c r="I58" s="357">
        <f t="shared" ca="1" si="13"/>
        <v>41.400330601916764</v>
      </c>
      <c r="J58" s="359">
        <f t="shared" ca="1" si="14"/>
        <v>1.919662234606951</v>
      </c>
      <c r="K58" s="360">
        <f t="shared" ca="1" si="15"/>
        <v>10.6553700918227</v>
      </c>
      <c r="L58" s="357">
        <f t="shared" ca="1" si="0"/>
        <v>10.826911604362799</v>
      </c>
      <c r="M58" s="359">
        <f t="shared" ca="1" si="16"/>
        <v>1.3858136143258555</v>
      </c>
      <c r="N58" s="357">
        <f t="shared" ca="1" si="17"/>
        <v>79.401271292641923</v>
      </c>
      <c r="O58" s="343"/>
      <c r="P58" s="363">
        <f t="shared" ca="1" si="18"/>
        <v>3</v>
      </c>
      <c r="Q58" s="357">
        <f t="shared" ca="1" si="19"/>
        <v>793.87</v>
      </c>
      <c r="R58" s="359">
        <f t="shared" ca="1" si="20"/>
        <v>0.3984063652307408</v>
      </c>
      <c r="S58" s="360">
        <f t="shared" ca="1" si="21"/>
        <v>9.1968816613145368</v>
      </c>
      <c r="T58" s="357">
        <f t="shared" ca="1" si="1"/>
        <v>90.221409097495609</v>
      </c>
      <c r="U58" s="364">
        <f t="shared" ca="1" si="2"/>
        <v>0</v>
      </c>
      <c r="V58" s="359">
        <f t="shared" ca="1" si="3"/>
        <v>1.2236954122070394</v>
      </c>
      <c r="W58" s="357">
        <f t="shared" ca="1" si="4"/>
        <v>5.5710983024660266</v>
      </c>
      <c r="X58" s="343"/>
      <c r="Y58" s="367" t="str">
        <f t="shared" ca="1" si="22"/>
        <v/>
      </c>
      <c r="Z58" s="368" t="str">
        <f t="shared" ca="1" si="23"/>
        <v/>
      </c>
      <c r="AA58" s="369" t="str">
        <f t="shared" ca="1" si="24"/>
        <v/>
      </c>
      <c r="AB58" s="344"/>
      <c r="AC58" s="363" t="e">
        <f t="shared" ca="1" si="25"/>
        <v>#N/A</v>
      </c>
      <c r="AD58" s="376" t="e">
        <f t="shared" ca="1" si="26"/>
        <v>#N/A</v>
      </c>
      <c r="AE58" s="377">
        <f t="shared" ca="1" si="5"/>
        <v>10.6553700918227</v>
      </c>
      <c r="AF58" s="344"/>
      <c r="AG58" s="359">
        <f t="shared" ca="1" si="27"/>
        <v>76.092335649119903</v>
      </c>
      <c r="AH58" s="357">
        <f t="shared" ca="1" si="28"/>
        <v>85.73575511156821</v>
      </c>
    </row>
    <row r="59" spans="1:34" x14ac:dyDescent="0.2">
      <c r="A59" s="402">
        <f t="shared" ca="1" si="6"/>
        <v>0.01</v>
      </c>
      <c r="B59" s="357">
        <f t="shared" ca="1" si="7"/>
        <v>0.55000000000000027</v>
      </c>
      <c r="C59" s="342"/>
      <c r="D59" s="359">
        <f t="shared" ca="1" si="8"/>
        <v>15.748497519017516</v>
      </c>
      <c r="E59" s="360">
        <f t="shared" ca="1" si="9"/>
        <v>74.351680071886548</v>
      </c>
      <c r="F59" s="357">
        <f t="shared" ca="1" si="10"/>
        <v>76.001233566427544</v>
      </c>
      <c r="G59" s="359">
        <f t="shared" ca="1" si="11"/>
        <v>7.7722287783802022</v>
      </c>
      <c r="H59" s="360">
        <f t="shared" ca="1" si="12"/>
        <v>41.437534183619078</v>
      </c>
      <c r="I59" s="357">
        <f t="shared" ca="1" si="13"/>
        <v>42.160132582833292</v>
      </c>
      <c r="J59" s="359">
        <f t="shared" ca="1" si="14"/>
        <v>1.9965970975148022</v>
      </c>
      <c r="K59" s="360">
        <f t="shared" ca="1" si="15"/>
        <v>11.066027849655297</v>
      </c>
      <c r="L59" s="357">
        <f t="shared" ca="1" si="0"/>
        <v>11.244704190824727</v>
      </c>
      <c r="M59" s="359">
        <f t="shared" ca="1" si="16"/>
        <v>1.3853856391888344</v>
      </c>
      <c r="N59" s="357">
        <f t="shared" ca="1" si="17"/>
        <v>79.376750123554075</v>
      </c>
      <c r="O59" s="343"/>
      <c r="P59" s="363">
        <f t="shared" ca="1" si="18"/>
        <v>3</v>
      </c>
      <c r="Q59" s="357">
        <f t="shared" ca="1" si="19"/>
        <v>792.68999999999994</v>
      </c>
      <c r="R59" s="359">
        <f t="shared" ca="1" si="20"/>
        <v>0.39781417820897108</v>
      </c>
      <c r="S59" s="360">
        <f t="shared" ca="1" si="21"/>
        <v>9.1929035195324467</v>
      </c>
      <c r="T59" s="357">
        <f t="shared" ca="1" si="1"/>
        <v>90.182383526613307</v>
      </c>
      <c r="U59" s="364">
        <f t="shared" ca="1" si="2"/>
        <v>0</v>
      </c>
      <c r="V59" s="359">
        <f t="shared" ca="1" si="3"/>
        <v>1.2236451612225996</v>
      </c>
      <c r="W59" s="357">
        <f t="shared" ca="1" si="4"/>
        <v>5.7772253012948251</v>
      </c>
      <c r="X59" s="343"/>
      <c r="Y59" s="367" t="str">
        <f t="shared" ca="1" si="22"/>
        <v/>
      </c>
      <c r="Z59" s="368" t="str">
        <f t="shared" ca="1" si="23"/>
        <v/>
      </c>
      <c r="AA59" s="369" t="str">
        <f t="shared" ca="1" si="24"/>
        <v/>
      </c>
      <c r="AB59" s="344"/>
      <c r="AC59" s="363" t="e">
        <f t="shared" ca="1" si="25"/>
        <v>#N/A</v>
      </c>
      <c r="AD59" s="376" t="e">
        <f t="shared" ca="1" si="26"/>
        <v>#N/A</v>
      </c>
      <c r="AE59" s="377">
        <f t="shared" ca="1" si="5"/>
        <v>11.066027849655297</v>
      </c>
      <c r="AF59" s="344"/>
      <c r="AG59" s="359">
        <f t="shared" ca="1" si="27"/>
        <v>75.979811983434814</v>
      </c>
      <c r="AH59" s="357">
        <f t="shared" ca="1" si="28"/>
        <v>85.622447796293969</v>
      </c>
    </row>
    <row r="60" spans="1:34" x14ac:dyDescent="0.2">
      <c r="A60" s="402">
        <f t="shared" ca="1" si="6"/>
        <v>0.01</v>
      </c>
      <c r="B60" s="357">
        <f t="shared" ca="1" si="7"/>
        <v>0.56000000000000028</v>
      </c>
      <c r="C60" s="342"/>
      <c r="D60" s="359">
        <f t="shared" ca="1" si="8"/>
        <v>15.763529801589108</v>
      </c>
      <c r="E60" s="360">
        <f t="shared" ca="1" si="9"/>
        <v>74.233049121873535</v>
      </c>
      <c r="F60" s="357">
        <f t="shared" ca="1" si="10"/>
        <v>75.888302482899675</v>
      </c>
      <c r="G60" s="359">
        <f t="shared" ca="1" si="11"/>
        <v>7.9298640763960933</v>
      </c>
      <c r="H60" s="360">
        <f t="shared" ca="1" si="12"/>
        <v>42.179864674837816</v>
      </c>
      <c r="I60" s="357">
        <f t="shared" ca="1" si="13"/>
        <v>42.918803900595229</v>
      </c>
      <c r="J60" s="359">
        <f t="shared" ca="1" si="14"/>
        <v>2.0751075617886836</v>
      </c>
      <c r="K60" s="360">
        <f t="shared" ca="1" si="15"/>
        <v>11.484114843947582</v>
      </c>
      <c r="L60" s="357">
        <f t="shared" ca="1" si="0"/>
        <v>11.670088480468765</v>
      </c>
      <c r="M60" s="359">
        <f t="shared" ca="1" si="16"/>
        <v>1.3849642678250069</v>
      </c>
      <c r="N60" s="357">
        <f t="shared" ca="1" si="17"/>
        <v>79.352607322799088</v>
      </c>
      <c r="O60" s="343"/>
      <c r="P60" s="363">
        <f t="shared" ca="1" si="18"/>
        <v>3</v>
      </c>
      <c r="Q60" s="357">
        <f t="shared" ca="1" si="19"/>
        <v>791.51</v>
      </c>
      <c r="R60" s="359">
        <f t="shared" ca="1" si="20"/>
        <v>0.39722199118720147</v>
      </c>
      <c r="S60" s="360">
        <f t="shared" ca="1" si="21"/>
        <v>9.1889312996205739</v>
      </c>
      <c r="T60" s="357">
        <f t="shared" ca="1" si="1"/>
        <v>90.143416049277832</v>
      </c>
      <c r="U60" s="364">
        <f t="shared" ca="1" si="2"/>
        <v>0</v>
      </c>
      <c r="V60" s="359">
        <f t="shared" ca="1" si="3"/>
        <v>1.2235940032630162</v>
      </c>
      <c r="W60" s="357">
        <f t="shared" ca="1" si="4"/>
        <v>5.9867680420438036</v>
      </c>
      <c r="X60" s="343"/>
      <c r="Y60" s="367" t="str">
        <f t="shared" ca="1" si="22"/>
        <v/>
      </c>
      <c r="Z60" s="368" t="str">
        <f t="shared" ca="1" si="23"/>
        <v/>
      </c>
      <c r="AA60" s="369" t="str">
        <f t="shared" ca="1" si="24"/>
        <v/>
      </c>
      <c r="AB60" s="344"/>
      <c r="AC60" s="363" t="e">
        <f t="shared" ca="1" si="25"/>
        <v>#N/A</v>
      </c>
      <c r="AD60" s="376" t="e">
        <f t="shared" ca="1" si="26"/>
        <v>#N/A</v>
      </c>
      <c r="AE60" s="377">
        <f t="shared" ca="1" si="5"/>
        <v>11.484114843947582</v>
      </c>
      <c r="AF60" s="344"/>
      <c r="AG60" s="359">
        <f t="shared" ca="1" si="27"/>
        <v>75.86675075630707</v>
      </c>
      <c r="AH60" s="357">
        <f t="shared" ca="1" si="28"/>
        <v>85.508613469680569</v>
      </c>
    </row>
    <row r="61" spans="1:34" x14ac:dyDescent="0.2">
      <c r="A61" s="402">
        <f t="shared" ca="1" si="6"/>
        <v>0.01</v>
      </c>
      <c r="B61" s="357">
        <f t="shared" ca="1" si="7"/>
        <v>0.57000000000000028</v>
      </c>
      <c r="C61" s="342"/>
      <c r="D61" s="359">
        <f t="shared" ca="1" si="8"/>
        <v>15.777812136825327</v>
      </c>
      <c r="E61" s="360">
        <f t="shared" ca="1" si="9"/>
        <v>74.114008581337529</v>
      </c>
      <c r="F61" s="357">
        <f t="shared" ca="1" si="10"/>
        <v>75.774835029972365</v>
      </c>
      <c r="G61" s="359">
        <f t="shared" ca="1" si="11"/>
        <v>8.087642197764346</v>
      </c>
      <c r="H61" s="360">
        <f t="shared" ca="1" si="12"/>
        <v>42.921004760651194</v>
      </c>
      <c r="I61" s="357">
        <f t="shared" ca="1" si="13"/>
        <v>43.676339200794985</v>
      </c>
      <c r="J61" s="359">
        <f t="shared" ca="1" si="14"/>
        <v>2.1551950931594859</v>
      </c>
      <c r="K61" s="360">
        <f t="shared" ca="1" si="15"/>
        <v>11.909619191125028</v>
      </c>
      <c r="L61" s="357">
        <f t="shared" ca="1" si="0"/>
        <v>12.103053134114232</v>
      </c>
      <c r="M61" s="359">
        <f t="shared" ca="1" si="16"/>
        <v>1.3845492746801624</v>
      </c>
      <c r="N61" s="357">
        <f t="shared" ca="1" si="17"/>
        <v>79.328829967072636</v>
      </c>
      <c r="O61" s="343"/>
      <c r="P61" s="363">
        <f t="shared" ca="1" si="18"/>
        <v>3</v>
      </c>
      <c r="Q61" s="357">
        <f t="shared" ca="1" si="19"/>
        <v>790.32999999999993</v>
      </c>
      <c r="R61" s="359">
        <f t="shared" ca="1" si="20"/>
        <v>0.39662980416543181</v>
      </c>
      <c r="S61" s="360">
        <f t="shared" ca="1" si="21"/>
        <v>9.1849650015789202</v>
      </c>
      <c r="T61" s="357">
        <f t="shared" ca="1" si="1"/>
        <v>90.104506665489211</v>
      </c>
      <c r="U61" s="364">
        <f t="shared" ca="1" si="2"/>
        <v>0</v>
      </c>
      <c r="V61" s="359">
        <f t="shared" ca="1" si="3"/>
        <v>1.2235419398961167</v>
      </c>
      <c r="W61" s="357">
        <f t="shared" ca="1" si="4"/>
        <v>6.1997073880073064</v>
      </c>
      <c r="X61" s="343"/>
      <c r="Y61" s="367" t="str">
        <f t="shared" ca="1" si="22"/>
        <v/>
      </c>
      <c r="Z61" s="368" t="str">
        <f t="shared" ca="1" si="23"/>
        <v/>
      </c>
      <c r="AA61" s="369" t="str">
        <f t="shared" ca="1" si="24"/>
        <v/>
      </c>
      <c r="AB61" s="344"/>
      <c r="AC61" s="363" t="e">
        <f t="shared" ca="1" si="25"/>
        <v>#N/A</v>
      </c>
      <c r="AD61" s="376" t="e">
        <f t="shared" ca="1" si="26"/>
        <v>#N/A</v>
      </c>
      <c r="AE61" s="377">
        <f t="shared" ca="1" si="5"/>
        <v>11.909619191125028</v>
      </c>
      <c r="AF61" s="344"/>
      <c r="AG61" s="359">
        <f t="shared" ca="1" si="27"/>
        <v>75.753153924530324</v>
      </c>
      <c r="AH61" s="357">
        <f t="shared" ca="1" si="28"/>
        <v>85.394253742189051</v>
      </c>
    </row>
    <row r="62" spans="1:34" x14ac:dyDescent="0.2">
      <c r="A62" s="402">
        <f t="shared" ca="1" si="6"/>
        <v>0.01</v>
      </c>
      <c r="B62" s="357">
        <f t="shared" ca="1" si="7"/>
        <v>0.58000000000000029</v>
      </c>
      <c r="C62" s="342"/>
      <c r="D62" s="359">
        <f t="shared" ca="1" si="8"/>
        <v>15.791365438601975</v>
      </c>
      <c r="E62" s="360">
        <f t="shared" ca="1" si="9"/>
        <v>73.994556951688082</v>
      </c>
      <c r="F62" s="357">
        <f t="shared" ca="1" si="10"/>
        <v>75.660833202470641</v>
      </c>
      <c r="G62" s="359">
        <f t="shared" ca="1" si="11"/>
        <v>8.2455558521503658</v>
      </c>
      <c r="H62" s="360">
        <f t="shared" ca="1" si="12"/>
        <v>43.660950330168077</v>
      </c>
      <c r="I62" s="357">
        <f t="shared" ca="1" si="13"/>
        <v>44.432733148483393</v>
      </c>
      <c r="J62" s="359">
        <f t="shared" ca="1" si="14"/>
        <v>2.2368610834090594</v>
      </c>
      <c r="K62" s="360">
        <f t="shared" ca="1" si="15"/>
        <v>12.342528966579124</v>
      </c>
      <c r="L62" s="357">
        <f t="shared" ca="1" si="0"/>
        <v>12.543586759667853</v>
      </c>
      <c r="M62" s="359">
        <f t="shared" ca="1" si="16"/>
        <v>1.3841404456840547</v>
      </c>
      <c r="N62" s="357">
        <f t="shared" ca="1" si="17"/>
        <v>79.30540579105309</v>
      </c>
      <c r="O62" s="343"/>
      <c r="P62" s="363">
        <f t="shared" ca="1" si="18"/>
        <v>3</v>
      </c>
      <c r="Q62" s="357">
        <f t="shared" ca="1" si="19"/>
        <v>789.15</v>
      </c>
      <c r="R62" s="359">
        <f t="shared" ca="1" si="20"/>
        <v>0.39603761714366215</v>
      </c>
      <c r="S62" s="360">
        <f t="shared" ca="1" si="21"/>
        <v>9.1810046254074837</v>
      </c>
      <c r="T62" s="357">
        <f t="shared" ca="1" si="1"/>
        <v>90.065655375247417</v>
      </c>
      <c r="U62" s="364">
        <f t="shared" ca="1" si="2"/>
        <v>0</v>
      </c>
      <c r="V62" s="359">
        <f t="shared" ca="1" si="3"/>
        <v>1.2234889726965072</v>
      </c>
      <c r="W62" s="357">
        <f t="shared" ca="1" si="4"/>
        <v>6.4160241167494103</v>
      </c>
      <c r="X62" s="343"/>
      <c r="Y62" s="367" t="str">
        <f t="shared" ca="1" si="22"/>
        <v/>
      </c>
      <c r="Z62" s="368" t="str">
        <f t="shared" ca="1" si="23"/>
        <v/>
      </c>
      <c r="AA62" s="369" t="str">
        <f t="shared" ca="1" si="24"/>
        <v/>
      </c>
      <c r="AB62" s="344"/>
      <c r="AC62" s="363" t="e">
        <f t="shared" ca="1" si="25"/>
        <v>#N/A</v>
      </c>
      <c r="AD62" s="376" t="e">
        <f t="shared" ca="1" si="26"/>
        <v>#N/A</v>
      </c>
      <c r="AE62" s="377">
        <f t="shared" ca="1" si="5"/>
        <v>12.342528966579124</v>
      </c>
      <c r="AF62" s="344"/>
      <c r="AG62" s="359">
        <f t="shared" ca="1" si="27"/>
        <v>75.639023441944119</v>
      </c>
      <c r="AH62" s="357">
        <f t="shared" ca="1" si="28"/>
        <v>85.279370238553028</v>
      </c>
    </row>
    <row r="63" spans="1:34" x14ac:dyDescent="0.2">
      <c r="A63" s="402">
        <f t="shared" ca="1" si="6"/>
        <v>0.01</v>
      </c>
      <c r="B63" s="357">
        <f t="shared" ca="1" si="7"/>
        <v>0.5900000000000003</v>
      </c>
      <c r="C63" s="342"/>
      <c r="D63" s="359">
        <f t="shared" ca="1" si="8"/>
        <v>15.80420957527158</v>
      </c>
      <c r="E63" s="360">
        <f t="shared" ca="1" si="9"/>
        <v>73.874692899575251</v>
      </c>
      <c r="F63" s="357">
        <f t="shared" ca="1" si="10"/>
        <v>75.546298991450669</v>
      </c>
      <c r="G63" s="359">
        <f t="shared" ca="1" si="11"/>
        <v>8.4035979479030818</v>
      </c>
      <c r="H63" s="360">
        <f t="shared" ca="1" si="12"/>
        <v>44.39969725916383</v>
      </c>
      <c r="I63" s="357">
        <f t="shared" ca="1" si="13"/>
        <v>45.187980428155903</v>
      </c>
      <c r="J63" s="359">
        <f t="shared" ca="1" si="14"/>
        <v>2.3201068524093267</v>
      </c>
      <c r="K63" s="360">
        <f t="shared" ca="1" si="15"/>
        <v>12.782832204525784</v>
      </c>
      <c r="L63" s="357">
        <f t="shared" ca="1" si="0"/>
        <v>12.991677912250527</v>
      </c>
      <c r="M63" s="359">
        <f t="shared" ca="1" si="16"/>
        <v>1.3837375774762883</v>
      </c>
      <c r="N63" s="357">
        <f t="shared" ca="1" si="17"/>
        <v>79.282323143048089</v>
      </c>
      <c r="O63" s="343"/>
      <c r="P63" s="363">
        <f t="shared" ca="1" si="18"/>
        <v>3</v>
      </c>
      <c r="Q63" s="357">
        <f t="shared" ca="1" si="19"/>
        <v>787.96999999999991</v>
      </c>
      <c r="R63" s="359">
        <f t="shared" ca="1" si="20"/>
        <v>0.39544543012189248</v>
      </c>
      <c r="S63" s="360">
        <f t="shared" ca="1" si="21"/>
        <v>9.1770501711062646</v>
      </c>
      <c r="T63" s="357">
        <f t="shared" ca="1" si="1"/>
        <v>90.026862178552463</v>
      </c>
      <c r="U63" s="364">
        <f t="shared" ca="1" si="2"/>
        <v>0</v>
      </c>
      <c r="V63" s="359">
        <f t="shared" ca="1" si="3"/>
        <v>1.2234351032455772</v>
      </c>
      <c r="W63" s="357">
        <f t="shared" ca="1" si="4"/>
        <v>6.6356989211748898</v>
      </c>
      <c r="X63" s="343"/>
      <c r="Y63" s="367" t="str">
        <f t="shared" ca="1" si="22"/>
        <v/>
      </c>
      <c r="Z63" s="368" t="str">
        <f t="shared" ca="1" si="23"/>
        <v/>
      </c>
      <c r="AA63" s="369" t="str">
        <f t="shared" ca="1" si="24"/>
        <v/>
      </c>
      <c r="AB63" s="344"/>
      <c r="AC63" s="363" t="e">
        <f t="shared" ca="1" si="25"/>
        <v>#N/A</v>
      </c>
      <c r="AD63" s="376" t="e">
        <f t="shared" ca="1" si="26"/>
        <v>#N/A</v>
      </c>
      <c r="AE63" s="377">
        <f t="shared" ca="1" si="5"/>
        <v>12.782832204525784</v>
      </c>
      <c r="AF63" s="344"/>
      <c r="AG63" s="359">
        <f t="shared" ca="1" si="27"/>
        <v>75.524361260484554</v>
      </c>
      <c r="AH63" s="357">
        <f t="shared" ca="1" si="28"/>
        <v>85.163964597682551</v>
      </c>
    </row>
    <row r="64" spans="1:34" x14ac:dyDescent="0.2">
      <c r="A64" s="402">
        <f t="shared" ca="1" si="6"/>
        <v>0.01</v>
      </c>
      <c r="B64" s="357">
        <f t="shared" ca="1" si="7"/>
        <v>0.60000000000000031</v>
      </c>
      <c r="C64" s="342"/>
      <c r="D64" s="359">
        <f t="shared" ca="1" si="8"/>
        <v>15.816363440219737</v>
      </c>
      <c r="E64" s="360">
        <f t="shared" ca="1" si="9"/>
        <v>73.754415246911108</v>
      </c>
      <c r="F64" s="357">
        <f t="shared" ca="1" si="10"/>
        <v>75.431234385279097</v>
      </c>
      <c r="G64" s="359">
        <f t="shared" ca="1" si="11"/>
        <v>8.5617615823052784</v>
      </c>
      <c r="H64" s="360">
        <f t="shared" ca="1" si="12"/>
        <v>45.137241411632942</v>
      </c>
      <c r="I64" s="357">
        <f t="shared" ca="1" si="13"/>
        <v>45.942075743747914</v>
      </c>
      <c r="J64" s="359">
        <f t="shared" ca="1" si="14"/>
        <v>2.4049336500603684</v>
      </c>
      <c r="K64" s="360">
        <f t="shared" ca="1" si="15"/>
        <v>13.230516897879768</v>
      </c>
      <c r="L64" s="357">
        <f t="shared" ca="1" si="0"/>
        <v>13.44731509433295</v>
      </c>
      <c r="M64" s="359">
        <f t="shared" ca="1" si="16"/>
        <v>1.3833404766967055</v>
      </c>
      <c r="N64" s="357">
        <f t="shared" ca="1" si="17"/>
        <v>79.25957094433663</v>
      </c>
      <c r="O64" s="343"/>
      <c r="P64" s="363">
        <f t="shared" ca="1" si="18"/>
        <v>3</v>
      </c>
      <c r="Q64" s="357">
        <f t="shared" ca="1" si="19"/>
        <v>786.79</v>
      </c>
      <c r="R64" s="359">
        <f t="shared" ca="1" si="20"/>
        <v>0.39485324310012287</v>
      </c>
      <c r="S64" s="360">
        <f t="shared" ca="1" si="21"/>
        <v>9.1731016386752628</v>
      </c>
      <c r="T64" s="357">
        <f t="shared" ca="1" si="1"/>
        <v>89.988127075404336</v>
      </c>
      <c r="U64" s="364">
        <f t="shared" ca="1" si="2"/>
        <v>0</v>
      </c>
      <c r="V64" s="359">
        <f t="shared" ca="1" si="3"/>
        <v>1.2233803331315036</v>
      </c>
      <c r="W64" s="357">
        <f t="shared" ca="1" si="4"/>
        <v>6.8587124106025676</v>
      </c>
      <c r="X64" s="343"/>
      <c r="Y64" s="367" t="str">
        <f t="shared" ca="1" si="22"/>
        <v/>
      </c>
      <c r="Z64" s="368" t="str">
        <f t="shared" ca="1" si="23"/>
        <v/>
      </c>
      <c r="AA64" s="369" t="str">
        <f t="shared" ca="1" si="24"/>
        <v/>
      </c>
      <c r="AB64" s="344"/>
      <c r="AC64" s="363" t="e">
        <f t="shared" ca="1" si="25"/>
        <v>#N/A</v>
      </c>
      <c r="AD64" s="376" t="e">
        <f t="shared" ca="1" si="26"/>
        <v>#N/A</v>
      </c>
      <c r="AE64" s="377">
        <f t="shared" ca="1" si="5"/>
        <v>13.230516897879768</v>
      </c>
      <c r="AF64" s="344"/>
      <c r="AG64" s="359">
        <f t="shared" ca="1" si="27"/>
        <v>75.40916933113958</v>
      </c>
      <c r="AH64" s="357">
        <f t="shared" ca="1" si="28"/>
        <v>85.048038472567427</v>
      </c>
    </row>
    <row r="65" spans="1:34" x14ac:dyDescent="0.2">
      <c r="A65" s="402">
        <f t="shared" ca="1" si="6"/>
        <v>0.01</v>
      </c>
      <c r="B65" s="357">
        <f t="shared" ca="1" si="7"/>
        <v>0.61000000000000032</v>
      </c>
      <c r="C65" s="342"/>
      <c r="D65" s="359">
        <f t="shared" ca="1" si="8"/>
        <v>15.827845016550386</v>
      </c>
      <c r="E65" s="360">
        <f t="shared" ca="1" si="9"/>
        <v>73.633722961692811</v>
      </c>
      <c r="F65" s="357">
        <f t="shared" ca="1" si="10"/>
        <v>75.315641370616149</v>
      </c>
      <c r="G65" s="359">
        <f t="shared" ca="1" si="11"/>
        <v>8.7200400324707825</v>
      </c>
      <c r="H65" s="360">
        <f t="shared" ca="1" si="12"/>
        <v>45.873578641249871</v>
      </c>
      <c r="I65" s="357">
        <f t="shared" ca="1" si="13"/>
        <v>46.69501381863838</v>
      </c>
      <c r="J65" s="359">
        <f t="shared" ca="1" si="14"/>
        <v>2.4913426581342488</v>
      </c>
      <c r="K65" s="360">
        <f t="shared" ca="1" si="15"/>
        <v>13.685570998144183</v>
      </c>
      <c r="L65" s="357">
        <f t="shared" ca="1" si="0"/>
        <v>13.910486755878983</v>
      </c>
      <c r="M65" s="359">
        <f t="shared" ca="1" si="16"/>
        <v>1.3829489593339055</v>
      </c>
      <c r="N65" s="357">
        <f t="shared" ca="1" si="17"/>
        <v>79.237138651842102</v>
      </c>
      <c r="O65" s="343"/>
      <c r="P65" s="363">
        <f t="shared" ca="1" si="18"/>
        <v>3</v>
      </c>
      <c r="Q65" s="357">
        <f t="shared" ca="1" si="19"/>
        <v>785.61</v>
      </c>
      <c r="R65" s="359">
        <f t="shared" ca="1" si="20"/>
        <v>0.39426105607835321</v>
      </c>
      <c r="S65" s="360">
        <f t="shared" ca="1" si="21"/>
        <v>9.1691590281144801</v>
      </c>
      <c r="T65" s="357">
        <f t="shared" ca="1" si="1"/>
        <v>89.949450065803049</v>
      </c>
      <c r="U65" s="364">
        <f t="shared" ca="1" si="2"/>
        <v>0</v>
      </c>
      <c r="V65" s="359">
        <f t="shared" ca="1" si="3"/>
        <v>1.223324663949251</v>
      </c>
      <c r="W65" s="357">
        <f t="shared" ca="1" si="4"/>
        <v>7.0850451118410938</v>
      </c>
      <c r="X65" s="343"/>
      <c r="Y65" s="367" t="str">
        <f t="shared" ca="1" si="22"/>
        <v/>
      </c>
      <c r="Z65" s="368" t="str">
        <f t="shared" ca="1" si="23"/>
        <v/>
      </c>
      <c r="AA65" s="369" t="str">
        <f t="shared" ca="1" si="24"/>
        <v/>
      </c>
      <c r="AB65" s="344"/>
      <c r="AC65" s="363" t="e">
        <f t="shared" ca="1" si="25"/>
        <v>#N/A</v>
      </c>
      <c r="AD65" s="376" t="e">
        <f t="shared" ca="1" si="26"/>
        <v>#N/A</v>
      </c>
      <c r="AE65" s="377">
        <f t="shared" ca="1" si="5"/>
        <v>13.685570998144183</v>
      </c>
      <c r="AF65" s="344"/>
      <c r="AG65" s="359">
        <f t="shared" ca="1" si="27"/>
        <v>75.293449604817923</v>
      </c>
      <c r="AH65" s="357">
        <f t="shared" ca="1" si="28"/>
        <v>84.931593530179796</v>
      </c>
    </row>
    <row r="66" spans="1:34" x14ac:dyDescent="0.2">
      <c r="A66" s="402">
        <f t="shared" ca="1" si="6"/>
        <v>0.01</v>
      </c>
      <c r="B66" s="357">
        <f t="shared" ca="1" si="7"/>
        <v>0.62000000000000033</v>
      </c>
      <c r="C66" s="342"/>
      <c r="D66" s="359">
        <f t="shared" ca="1" si="8"/>
        <v>15.838671436478911</v>
      </c>
      <c r="E66" s="360">
        <f t="shared" ca="1" si="9"/>
        <v>73.512615149550072</v>
      </c>
      <c r="F66" s="357">
        <f t="shared" ca="1" si="10"/>
        <v>75.199521933311459</v>
      </c>
      <c r="G66" s="359">
        <f t="shared" ca="1" si="11"/>
        <v>8.8784267468355722</v>
      </c>
      <c r="H66" s="360">
        <f t="shared" ca="1" si="12"/>
        <v>46.608704792745371</v>
      </c>
      <c r="I66" s="357">
        <f t="shared" ca="1" si="13"/>
        <v>47.446789395661014</v>
      </c>
      <c r="J66" s="359">
        <f t="shared" ca="1" si="14"/>
        <v>2.5793349920307804</v>
      </c>
      <c r="K66" s="360">
        <f t="shared" ca="1" si="15"/>
        <v>14.147982415314159</v>
      </c>
      <c r="L66" s="357">
        <f t="shared" ca="1" si="0"/>
        <v>14.381181294495702</v>
      </c>
      <c r="M66" s="359">
        <f t="shared" ca="1" si="16"/>
        <v>1.3825628501262559</v>
      </c>
      <c r="N66" s="357">
        <f t="shared" ca="1" si="17"/>
        <v>79.21501622381264</v>
      </c>
      <c r="O66" s="343"/>
      <c r="P66" s="363">
        <f t="shared" ca="1" si="18"/>
        <v>3</v>
      </c>
      <c r="Q66" s="357">
        <f t="shared" ca="1" si="19"/>
        <v>784.43</v>
      </c>
      <c r="R66" s="359">
        <f t="shared" ca="1" si="20"/>
        <v>0.39366886905658355</v>
      </c>
      <c r="S66" s="360">
        <f t="shared" ca="1" si="21"/>
        <v>9.1652223394239147</v>
      </c>
      <c r="T66" s="357">
        <f t="shared" ca="1" si="1"/>
        <v>89.910831149748603</v>
      </c>
      <c r="U66" s="364">
        <f t="shared" ca="1" si="2"/>
        <v>0</v>
      </c>
      <c r="V66" s="359">
        <f t="shared" ca="1" si="3"/>
        <v>1.223268097300571</v>
      </c>
      <c r="W66" s="357">
        <f t="shared" ca="1" si="4"/>
        <v>7.3146774702671271</v>
      </c>
      <c r="X66" s="343"/>
      <c r="Y66" s="367" t="str">
        <f t="shared" ca="1" si="22"/>
        <v/>
      </c>
      <c r="Z66" s="368" t="str">
        <f t="shared" ca="1" si="23"/>
        <v/>
      </c>
      <c r="AA66" s="369" t="str">
        <f t="shared" ca="1" si="24"/>
        <v/>
      </c>
      <c r="AB66" s="344"/>
      <c r="AC66" s="363" t="e">
        <f t="shared" ca="1" si="25"/>
        <v>#N/A</v>
      </c>
      <c r="AD66" s="376" t="e">
        <f t="shared" ca="1" si="26"/>
        <v>#N/A</v>
      </c>
      <c r="AE66" s="377">
        <f t="shared" ca="1" si="5"/>
        <v>14.147982415314159</v>
      </c>
      <c r="AF66" s="344"/>
      <c r="AG66" s="359">
        <f t="shared" ca="1" si="27"/>
        <v>75.177204033140015</v>
      </c>
      <c r="AH66" s="357">
        <f t="shared" ca="1" si="28"/>
        <v>84.814631451376158</v>
      </c>
    </row>
    <row r="67" spans="1:34" x14ac:dyDescent="0.2">
      <c r="A67" s="402">
        <f t="shared" ca="1" si="6"/>
        <v>0.01</v>
      </c>
      <c r="B67" s="357">
        <f t="shared" ca="1" si="7"/>
        <v>0.63000000000000034</v>
      </c>
      <c r="C67" s="342"/>
      <c r="D67" s="359">
        <f t="shared" ca="1" si="8"/>
        <v>15.848859035946072</v>
      </c>
      <c r="E67" s="360">
        <f t="shared" ca="1" si="9"/>
        <v>73.391091045947903</v>
      </c>
      <c r="F67" s="357">
        <f t="shared" ca="1" si="10"/>
        <v>75.082878059221358</v>
      </c>
      <c r="G67" s="359">
        <f t="shared" ca="1" si="11"/>
        <v>9.0369153371950333</v>
      </c>
      <c r="H67" s="360">
        <f t="shared" ca="1" si="12"/>
        <v>47.342615703204849</v>
      </c>
      <c r="I67" s="357">
        <f t="shared" ca="1" si="13"/>
        <v>48.197397237122352</v>
      </c>
      <c r="J67" s="359">
        <f t="shared" ca="1" si="14"/>
        <v>2.6689117024509335</v>
      </c>
      <c r="K67" s="360">
        <f t="shared" ca="1" si="15"/>
        <v>14.617739017793911</v>
      </c>
      <c r="L67" s="357">
        <f t="shared" ca="1" si="0"/>
        <v>14.859387055589274</v>
      </c>
      <c r="M67" s="359">
        <f t="shared" ca="1" si="16"/>
        <v>1.3821819820103789</v>
      </c>
      <c r="N67" s="357">
        <f t="shared" ca="1" si="17"/>
        <v>79.193194088221787</v>
      </c>
      <c r="O67" s="343"/>
      <c r="P67" s="363">
        <f t="shared" ca="1" si="18"/>
        <v>3</v>
      </c>
      <c r="Q67" s="357">
        <f t="shared" ca="1" si="19"/>
        <v>783.25</v>
      </c>
      <c r="R67" s="359">
        <f t="shared" ca="1" si="20"/>
        <v>0.39307668203481394</v>
      </c>
      <c r="S67" s="360">
        <f t="shared" ca="1" si="21"/>
        <v>9.1612915726035666</v>
      </c>
      <c r="T67" s="357">
        <f t="shared" ca="1" si="1"/>
        <v>89.872270327240997</v>
      </c>
      <c r="U67" s="364">
        <f t="shared" ca="1" si="2"/>
        <v>0</v>
      </c>
      <c r="V67" s="359">
        <f t="shared" ca="1" si="3"/>
        <v>1.2232106347939997</v>
      </c>
      <c r="W67" s="357">
        <f t="shared" ca="1" si="4"/>
        <v>7.5475898509059549</v>
      </c>
      <c r="X67" s="343"/>
      <c r="Y67" s="367" t="str">
        <f t="shared" ca="1" si="22"/>
        <v/>
      </c>
      <c r="Z67" s="368" t="str">
        <f t="shared" ca="1" si="23"/>
        <v/>
      </c>
      <c r="AA67" s="369" t="str">
        <f t="shared" ca="1" si="24"/>
        <v/>
      </c>
      <c r="AB67" s="344"/>
      <c r="AC67" s="363" t="e">
        <f t="shared" ca="1" si="25"/>
        <v>#N/A</v>
      </c>
      <c r="AD67" s="376" t="e">
        <f t="shared" ca="1" si="26"/>
        <v>#N/A</v>
      </c>
      <c r="AE67" s="377">
        <f t="shared" ca="1" si="5"/>
        <v>14.617739017793911</v>
      </c>
      <c r="AF67" s="344"/>
      <c r="AG67" s="359">
        <f t="shared" ca="1" si="27"/>
        <v>75.060434569158446</v>
      </c>
      <c r="AH67" s="357">
        <f t="shared" ca="1" si="28"/>
        <v>84.697153930798663</v>
      </c>
    </row>
    <row r="68" spans="1:34" x14ac:dyDescent="0.2">
      <c r="A68" s="402">
        <f t="shared" ca="1" si="6"/>
        <v>0.01</v>
      </c>
      <c r="B68" s="357">
        <f t="shared" ca="1" si="7"/>
        <v>0.64000000000000035</v>
      </c>
      <c r="C68" s="342"/>
      <c r="D68" s="359">
        <f t="shared" ca="1" si="8"/>
        <v>15.85842340490883</v>
      </c>
      <c r="E68" s="360">
        <f t="shared" ca="1" si="9"/>
        <v>73.26915000898326</v>
      </c>
      <c r="F68" s="357">
        <f t="shared" ca="1" si="10"/>
        <v>74.965711734954212</v>
      </c>
      <c r="G68" s="359">
        <f t="shared" ca="1" si="11"/>
        <v>9.1954995712441221</v>
      </c>
      <c r="H68" s="360">
        <f t="shared" ca="1" si="12"/>
        <v>48.075307203294685</v>
      </c>
      <c r="I68" s="357">
        <f t="shared" ca="1" si="13"/>
        <v>48.946832124826102</v>
      </c>
      <c r="J68" s="359">
        <f t="shared" ca="1" si="14"/>
        <v>2.7600737769931292</v>
      </c>
      <c r="K68" s="360">
        <f t="shared" ca="1" si="15"/>
        <v>15.094828632326408</v>
      </c>
      <c r="L68" s="357">
        <f t="shared" ref="L68:L131" ca="1" si="29">SQRT(pos_x^2+pos_z^2)</f>
        <v>15.345092332525935</v>
      </c>
      <c r="M68" s="359">
        <f t="shared" ca="1" si="16"/>
        <v>1.3818061956126564</v>
      </c>
      <c r="N68" s="357">
        <f t="shared" ca="1" si="17"/>
        <v>79.171663113633869</v>
      </c>
      <c r="O68" s="343"/>
      <c r="P68" s="363">
        <f t="shared" ca="1" si="18"/>
        <v>3</v>
      </c>
      <c r="Q68" s="357">
        <f t="shared" ca="1" si="19"/>
        <v>782.06999999999994</v>
      </c>
      <c r="R68" s="359">
        <f t="shared" ca="1" si="20"/>
        <v>0.39248449501304422</v>
      </c>
      <c r="S68" s="360">
        <f t="shared" ca="1" si="21"/>
        <v>9.1573667276534358</v>
      </c>
      <c r="T68" s="357">
        <f t="shared" ref="T68:T131" ca="1" si="30">m*g</f>
        <v>89.833767598280204</v>
      </c>
      <c r="U68" s="364">
        <f t="shared" ref="U68:U131" ca="1" si="31">IF(pos_xz&lt;L_rampe,Poids*COS(Beta),0)</f>
        <v>0</v>
      </c>
      <c r="V68" s="359">
        <f t="shared" ref="V68:V131" ca="1" si="32">Rho_moyen*(20000-Alt_rampe-pos_z)/(20000+Alt_rampe+pos_z)</f>
        <v>1.2231522780448538</v>
      </c>
      <c r="W68" s="357">
        <f t="shared" ref="W68:W131" ca="1" si="33">1/2*Rho*Sref*Cx*vit_xz^2</f>
        <v>7.783762539514524</v>
      </c>
      <c r="X68" s="343"/>
      <c r="Y68" s="367" t="str">
        <f t="shared" ca="1" si="22"/>
        <v/>
      </c>
      <c r="Z68" s="368" t="str">
        <f t="shared" ca="1" si="23"/>
        <v/>
      </c>
      <c r="AA68" s="369" t="str">
        <f t="shared" ca="1" si="24"/>
        <v/>
      </c>
      <c r="AB68" s="344"/>
      <c r="AC68" s="363" t="e">
        <f t="shared" ca="1" si="25"/>
        <v>#N/A</v>
      </c>
      <c r="AD68" s="376" t="e">
        <f t="shared" ca="1" si="26"/>
        <v>#N/A</v>
      </c>
      <c r="AE68" s="377">
        <f t="shared" ref="AE68:AE131" ca="1" si="34">IF(t&lt;T_para, pos_z, NA())</f>
        <v>15.094828632326408</v>
      </c>
      <c r="AF68" s="344"/>
      <c r="AG68" s="359">
        <f t="shared" ca="1" si="27"/>
        <v>74.943143168014274</v>
      </c>
      <c r="AH68" s="357">
        <f t="shared" ca="1" si="28"/>
        <v>84.579162676775795</v>
      </c>
    </row>
    <row r="69" spans="1:34" x14ac:dyDescent="0.2">
      <c r="A69" s="402">
        <f t="shared" ref="A69:A132" ca="1" si="35">IF(B68+0.01&lt;=T_ini+ROUNDUP(Temps_fin_propu,0), 0.01, IF(K68&gt;0, 0.1, 0.0001))</f>
        <v>0.01</v>
      </c>
      <c r="B69" s="357">
        <f t="shared" ref="B69:B132" ca="1" si="36">B68+pas</f>
        <v>0.65000000000000036</v>
      </c>
      <c r="C69" s="342"/>
      <c r="D69" s="359">
        <f t="shared" ref="D69:D132" ca="1" si="37">IF(AND(L68&lt;L_rampe,Poussee&lt;Poids*SIN(M68)),0,(-W68+Poussee)/m*COS(M68)-U68/m*SIN(M68))</f>
        <v>15.867379433713458</v>
      </c>
      <c r="E69" s="360">
        <f t="shared" ref="E69:E132" ca="1" si="38">IF(AND(L68&lt;L_rampe,Poussee&lt;Poids*SIN(M68)),0,(-W68+Poussee)/m*SIN(M68)+U68/m*COS(M68)-Poids/m)</f>
        <v>73.14679151272108</v>
      </c>
      <c r="F69" s="357">
        <f t="shared" ref="F69:F132" ca="1" si="39">SQRT(acc_x^2+acc_z^2)</f>
        <v>74.848024948551029</v>
      </c>
      <c r="G69" s="359">
        <f t="shared" ref="G69:G132" ca="1" si="40">G68+acc_x*pas</f>
        <v>9.3541733655812571</v>
      </c>
      <c r="H69" s="360">
        <f t="shared" ref="H69:H132" ca="1" si="41">H68+acc_z*pas</f>
        <v>48.806775118421896</v>
      </c>
      <c r="I69" s="357">
        <f t="shared" ref="I69:I132" ca="1" si="42">SQRT(vit_x^2+vit_z^2)</f>
        <v>49.695088860103233</v>
      </c>
      <c r="J69" s="359">
        <f t="shared" ref="J69:J132" ca="1" si="43">J68+0.5*(vit_x+G68)*pas*(K68&gt;=0)</f>
        <v>2.8528221416772559</v>
      </c>
      <c r="K69" s="360">
        <f t="shared" ref="K69:K132" ca="1" si="44">K68+0.5*(vit_z+H68)*pas</f>
        <v>15.57923904393499</v>
      </c>
      <c r="L69" s="357">
        <f t="shared" ca="1" si="29"/>
        <v>15.838285366797519</v>
      </c>
      <c r="M69" s="359">
        <f t="shared" ref="M69:M132" ca="1" si="45">IF(AND(L68&gt;L_rampe,G69&gt;0),ATAN2(G69,H69),$M$4)</f>
        <v>1.3814353387797695</v>
      </c>
      <c r="N69" s="357">
        <f t="shared" ref="N69:N132" ca="1" si="46">DEGREES(Beta)</f>
        <v>79.150414582305856</v>
      </c>
      <c r="O69" s="343"/>
      <c r="P69" s="363">
        <f t="shared" ref="P69:P132" ca="1" si="47">MATCH(t-pas/2-T_ini,CdP_t)</f>
        <v>3</v>
      </c>
      <c r="Q69" s="357">
        <f t="shared" ref="Q69:Q132" ca="1" si="48">(INDEX(CdP,2,i_P+1)-INDEX(CdP,2,i_P+0))/(INDEX(CdP,1,i_P+1)-INDEX(CdP,1,i_P+0))*(t-pas/2-T_ini-INDEX(CdP,1,i_P+0))+INDEX(CdP,2,i_P+0)</f>
        <v>780.89</v>
      </c>
      <c r="R69" s="359">
        <f t="shared" ref="R69:R132" ca="1" si="49">Poussee/(g*ISP)</f>
        <v>0.39189230799127461</v>
      </c>
      <c r="S69" s="360">
        <f t="shared" ref="S69:S132" ca="1" si="50">S68-Débit*pas</f>
        <v>9.1534478045735224</v>
      </c>
      <c r="T69" s="357">
        <f t="shared" ca="1" si="30"/>
        <v>89.795322962866265</v>
      </c>
      <c r="U69" s="364">
        <f t="shared" ca="1" si="31"/>
        <v>0</v>
      </c>
      <c r="V69" s="359">
        <f t="shared" ca="1" si="32"/>
        <v>1.2230930286752242</v>
      </c>
      <c r="W69" s="357">
        <f t="shared" ca="1" si="33"/>
        <v>8.0231757436668776</v>
      </c>
      <c r="X69" s="343"/>
      <c r="Y69" s="367" t="str">
        <f t="shared" ref="Y69:Y132" ca="1" si="51">IF(AND(pos_z&lt;=0,K68&gt;0),"Impact balistique","") &amp; IF(AND(H70&lt;0,vit_z&gt;=0),"Apogée","") &amp; IF(AND(Poussee=0,Q68&gt;0),"Fin de propulsion","") &amp; IF(AND(L70&gt;L_rampe,pos_xz&lt;=L_rampe),"Sortie de rampe","")</f>
        <v/>
      </c>
      <c r="Z69" s="368" t="str">
        <f t="shared" ref="Z69:Z132" ca="1" si="52">IF(ABS(t-T_para)&lt;pas/2,"Para","")</f>
        <v/>
      </c>
      <c r="AA69" s="369" t="str">
        <f t="shared" ref="AA69:AA132" ca="1" si="53">IF(ABS(t-T_satellite)&lt;pas/2,"Satellite","")</f>
        <v/>
      </c>
      <c r="AB69" s="344"/>
      <c r="AC69" s="363" t="e">
        <f t="shared" ref="AC69:AC132" ca="1" si="54">IF(ABS(t-ROUND(t,0))&lt;0.001,t,NA())</f>
        <v>#N/A</v>
      </c>
      <c r="AD69" s="376" t="e">
        <f t="shared" ref="AD69:AD132" ca="1" si="55">IF(ABS(t-ROUND(t,0))&lt;0.001,pos_x,NA())</f>
        <v>#N/A</v>
      </c>
      <c r="AE69" s="377">
        <f t="shared" ca="1" si="34"/>
        <v>15.57923904393499</v>
      </c>
      <c r="AF69" s="344"/>
      <c r="AG69" s="359">
        <f t="shared" ref="AG69:AG132" ca="1" si="56">IF(AND(L68&lt;L_rampe,Poussee&lt;Poids*SIN(M68)),0,(-W68+Poussee)/m-Poids*SIN(M68)/m)</f>
        <v>74.825331787535092</v>
      </c>
      <c r="AH69" s="357">
        <f t="shared" ref="AH69:AH132" ca="1" si="57">IF(AND(L68&lt;L_rampe,Poussee&lt;Poids*SIN(M68)), g*SIN(M68), (-W68+Poussee)/m)</f>
        <v>84.460659411222366</v>
      </c>
    </row>
    <row r="70" spans="1:34" x14ac:dyDescent="0.2">
      <c r="A70" s="402">
        <f t="shared" ca="1" si="35"/>
        <v>0.01</v>
      </c>
      <c r="B70" s="357">
        <f t="shared" ca="1" si="36"/>
        <v>0.66000000000000036</v>
      </c>
      <c r="C70" s="342"/>
      <c r="D70" s="359">
        <f t="shared" ca="1" si="37"/>
        <v>15.875741355913295</v>
      </c>
      <c r="E70" s="360">
        <f t="shared" ca="1" si="38"/>
        <v>73.024015141020712</v>
      </c>
      <c r="F70" s="357">
        <f t="shared" ca="1" si="39"/>
        <v>74.729819690106822</v>
      </c>
      <c r="G70" s="359">
        <f t="shared" ca="1" si="40"/>
        <v>9.5129307791403903</v>
      </c>
      <c r="H70" s="360">
        <f t="shared" ca="1" si="41"/>
        <v>49.537015269832104</v>
      </c>
      <c r="I70" s="357">
        <f t="shared" ca="1" si="42"/>
        <v>50.442162263847251</v>
      </c>
      <c r="J70" s="359">
        <f t="shared" ca="1" si="43"/>
        <v>2.9471576624008642</v>
      </c>
      <c r="K70" s="360">
        <f t="shared" ca="1" si="44"/>
        <v>16.07095799587626</v>
      </c>
      <c r="L70" s="357">
        <f t="shared" ca="1" si="29"/>
        <v>16.338954348190928</v>
      </c>
      <c r="M70" s="359">
        <f t="shared" ca="1" si="45"/>
        <v>1.3810692661447237</v>
      </c>
      <c r="N70" s="357">
        <f t="shared" ca="1" si="46"/>
        <v>79.129440165322492</v>
      </c>
      <c r="O70" s="343"/>
      <c r="P70" s="363">
        <f t="shared" ca="1" si="47"/>
        <v>3</v>
      </c>
      <c r="Q70" s="357">
        <f t="shared" ca="1" si="48"/>
        <v>779.70999999999992</v>
      </c>
      <c r="R70" s="359">
        <f t="shared" ca="1" si="49"/>
        <v>0.39130012096950489</v>
      </c>
      <c r="S70" s="360">
        <f t="shared" ca="1" si="50"/>
        <v>9.149534803363828</v>
      </c>
      <c r="T70" s="357">
        <f t="shared" ca="1" si="30"/>
        <v>89.756936420999153</v>
      </c>
      <c r="U70" s="364">
        <f t="shared" ca="1" si="31"/>
        <v>0</v>
      </c>
      <c r="V70" s="359">
        <f t="shared" ca="1" si="32"/>
        <v>1.2230328883139694</v>
      </c>
      <c r="W70" s="357">
        <f t="shared" ca="1" si="33"/>
        <v>8.2658095938419702</v>
      </c>
      <c r="X70" s="343"/>
      <c r="Y70" s="367" t="str">
        <f t="shared" ca="1" si="51"/>
        <v/>
      </c>
      <c r="Z70" s="368" t="str">
        <f t="shared" ca="1" si="52"/>
        <v/>
      </c>
      <c r="AA70" s="369" t="str">
        <f t="shared" ca="1" si="53"/>
        <v/>
      </c>
      <c r="AB70" s="344"/>
      <c r="AC70" s="363" t="e">
        <f t="shared" ca="1" si="54"/>
        <v>#N/A</v>
      </c>
      <c r="AD70" s="376" t="e">
        <f t="shared" ca="1" si="55"/>
        <v>#N/A</v>
      </c>
      <c r="AE70" s="377">
        <f t="shared" ca="1" si="34"/>
        <v>16.07095799587626</v>
      </c>
      <c r="AF70" s="344"/>
      <c r="AG70" s="359">
        <f t="shared" ca="1" si="56"/>
        <v>74.707002388780154</v>
      </c>
      <c r="AH70" s="357">
        <f t="shared" ca="1" si="57"/>
        <v>84.34164586953888</v>
      </c>
    </row>
    <row r="71" spans="1:34" x14ac:dyDescent="0.2">
      <c r="A71" s="402">
        <f t="shared" ca="1" si="35"/>
        <v>0.01</v>
      </c>
      <c r="B71" s="357">
        <f t="shared" ca="1" si="36"/>
        <v>0.67000000000000037</v>
      </c>
      <c r="C71" s="342"/>
      <c r="D71" s="359">
        <f t="shared" ca="1" si="37"/>
        <v>15.883522787853998</v>
      </c>
      <c r="E71" s="360">
        <f t="shared" ca="1" si="38"/>
        <v>72.900820581809029</v>
      </c>
      <c r="F71" s="357">
        <f t="shared" ca="1" si="39"/>
        <v>74.611097952338085</v>
      </c>
      <c r="G71" s="359">
        <f t="shared" ca="1" si="40"/>
        <v>9.6717660070189311</v>
      </c>
      <c r="H71" s="360">
        <f t="shared" ca="1" si="41"/>
        <v>50.266023475650194</v>
      </c>
      <c r="I71" s="357">
        <f t="shared" ca="1" si="42"/>
        <v>51.18804717655425</v>
      </c>
      <c r="J71" s="359">
        <f t="shared" ca="1" si="43"/>
        <v>3.0430811463316609</v>
      </c>
      <c r="K71" s="360">
        <f t="shared" ca="1" si="44"/>
        <v>16.569973189603672</v>
      </c>
      <c r="L71" s="357">
        <f t="shared" ca="1" si="29"/>
        <v>16.847087414961191</v>
      </c>
      <c r="M71" s="359">
        <f t="shared" ca="1" si="45"/>
        <v>1.3807078387251721</v>
      </c>
      <c r="N71" s="357">
        <f t="shared" ca="1" si="46"/>
        <v>79.108731899581883</v>
      </c>
      <c r="O71" s="343"/>
      <c r="P71" s="363">
        <f t="shared" ca="1" si="47"/>
        <v>3</v>
      </c>
      <c r="Q71" s="357">
        <f t="shared" ca="1" si="48"/>
        <v>778.53</v>
      </c>
      <c r="R71" s="359">
        <f t="shared" ca="1" si="49"/>
        <v>0.39070793394773529</v>
      </c>
      <c r="S71" s="360">
        <f t="shared" ca="1" si="50"/>
        <v>9.1456277240243509</v>
      </c>
      <c r="T71" s="357">
        <f t="shared" ca="1" si="30"/>
        <v>89.718607972678882</v>
      </c>
      <c r="U71" s="364">
        <f t="shared" ca="1" si="31"/>
        <v>0</v>
      </c>
      <c r="V71" s="359">
        <f t="shared" ca="1" si="32"/>
        <v>1.2229718585967075</v>
      </c>
      <c r="W71" s="357">
        <f t="shared" ca="1" si="33"/>
        <v>8.5116441445138395</v>
      </c>
      <c r="X71" s="343"/>
      <c r="Y71" s="367" t="str">
        <f t="shared" ca="1" si="51"/>
        <v/>
      </c>
      <c r="Z71" s="368" t="str">
        <f t="shared" ca="1" si="52"/>
        <v/>
      </c>
      <c r="AA71" s="369" t="str">
        <f t="shared" ca="1" si="53"/>
        <v/>
      </c>
      <c r="AB71" s="344"/>
      <c r="AC71" s="363" t="e">
        <f t="shared" ca="1" si="54"/>
        <v>#N/A</v>
      </c>
      <c r="AD71" s="376" t="e">
        <f t="shared" ca="1" si="55"/>
        <v>#N/A</v>
      </c>
      <c r="AE71" s="377">
        <f t="shared" ca="1" si="34"/>
        <v>16.569973189603672</v>
      </c>
      <c r="AF71" s="344"/>
      <c r="AG71" s="359">
        <f t="shared" ca="1" si="56"/>
        <v>74.588156936537302</v>
      </c>
      <c r="AH71" s="357">
        <f t="shared" ca="1" si="57"/>
        <v>84.222123800510289</v>
      </c>
    </row>
    <row r="72" spans="1:34" x14ac:dyDescent="0.2">
      <c r="A72" s="402">
        <f t="shared" ca="1" si="35"/>
        <v>0.01</v>
      </c>
      <c r="B72" s="357">
        <f t="shared" ca="1" si="36"/>
        <v>0.68000000000000038</v>
      </c>
      <c r="C72" s="342"/>
      <c r="D72" s="359">
        <f t="shared" ca="1" si="37"/>
        <v>15.890736765316181</v>
      </c>
      <c r="E72" s="360">
        <f t="shared" ca="1" si="38"/>
        <v>72.777207621760766</v>
      </c>
      <c r="F72" s="357">
        <f t="shared" ca="1" si="39"/>
        <v>74.49186173110084</v>
      </c>
      <c r="G72" s="359">
        <f t="shared" ca="1" si="40"/>
        <v>9.8306733746720933</v>
      </c>
      <c r="H72" s="360">
        <f t="shared" ca="1" si="41"/>
        <v>50.993795551867798</v>
      </c>
      <c r="I72" s="357">
        <f t="shared" ca="1" si="42"/>
        <v>51.932738458367268</v>
      </c>
      <c r="J72" s="359">
        <f t="shared" ca="1" si="43"/>
        <v>3.1405933432401163</v>
      </c>
      <c r="K72" s="360">
        <f t="shared" ca="1" si="44"/>
        <v>17.076272284741261</v>
      </c>
      <c r="L72" s="357">
        <f t="shared" ca="1" si="29"/>
        <v>17.362672654007696</v>
      </c>
      <c r="M72" s="359">
        <f t="shared" ca="1" si="45"/>
        <v>1.3803509235511877</v>
      </c>
      <c r="N72" s="357">
        <f t="shared" ca="1" si="46"/>
        <v>79.088282166468403</v>
      </c>
      <c r="O72" s="343"/>
      <c r="P72" s="363">
        <f t="shared" ca="1" si="47"/>
        <v>3</v>
      </c>
      <c r="Q72" s="357">
        <f t="shared" ca="1" si="48"/>
        <v>777.34999999999991</v>
      </c>
      <c r="R72" s="359">
        <f t="shared" ca="1" si="49"/>
        <v>0.39011574692596562</v>
      </c>
      <c r="S72" s="360">
        <f t="shared" ca="1" si="50"/>
        <v>9.1417265665550911</v>
      </c>
      <c r="T72" s="357">
        <f t="shared" ca="1" si="30"/>
        <v>89.680337617905451</v>
      </c>
      <c r="U72" s="364">
        <f t="shared" ca="1" si="31"/>
        <v>0</v>
      </c>
      <c r="V72" s="359">
        <f t="shared" ca="1" si="32"/>
        <v>1.2229099411658062</v>
      </c>
      <c r="W72" s="357">
        <f t="shared" ca="1" si="33"/>
        <v>8.7606593752440833</v>
      </c>
      <c r="X72" s="343"/>
      <c r="Y72" s="367" t="str">
        <f t="shared" ca="1" si="51"/>
        <v/>
      </c>
      <c r="Z72" s="368" t="str">
        <f t="shared" ca="1" si="52"/>
        <v/>
      </c>
      <c r="AA72" s="369" t="str">
        <f t="shared" ca="1" si="53"/>
        <v/>
      </c>
      <c r="AB72" s="344"/>
      <c r="AC72" s="363" t="e">
        <f t="shared" ca="1" si="54"/>
        <v>#N/A</v>
      </c>
      <c r="AD72" s="376" t="e">
        <f t="shared" ca="1" si="55"/>
        <v>#N/A</v>
      </c>
      <c r="AE72" s="377">
        <f t="shared" ca="1" si="34"/>
        <v>17.076272284741261</v>
      </c>
      <c r="AF72" s="344"/>
      <c r="AG72" s="359">
        <f t="shared" ca="1" si="56"/>
        <v>74.468797399775454</v>
      </c>
      <c r="AH72" s="357">
        <f t="shared" ca="1" si="57"/>
        <v>84.102094966203978</v>
      </c>
    </row>
    <row r="73" spans="1:34" x14ac:dyDescent="0.2">
      <c r="A73" s="402">
        <f t="shared" ca="1" si="35"/>
        <v>0.01</v>
      </c>
      <c r="B73" s="357">
        <f t="shared" ca="1" si="36"/>
        <v>0.69000000000000039</v>
      </c>
      <c r="C73" s="342"/>
      <c r="D73" s="359">
        <f t="shared" ca="1" si="37"/>
        <v>15.897395777474799</v>
      </c>
      <c r="E73" s="360">
        <f t="shared" ca="1" si="38"/>
        <v>72.653176141351224</v>
      </c>
      <c r="F73" s="357">
        <f t="shared" ca="1" si="39"/>
        <v>74.372113025863939</v>
      </c>
      <c r="G73" s="359">
        <f t="shared" ca="1" si="40"/>
        <v>9.9896473324468413</v>
      </c>
      <c r="H73" s="360">
        <f t="shared" ca="1" si="41"/>
        <v>51.72032731328131</v>
      </c>
      <c r="I73" s="357">
        <f t="shared" ca="1" si="42"/>
        <v>52.67623098912464</v>
      </c>
      <c r="J73" s="359">
        <f t="shared" ca="1" si="43"/>
        <v>3.2396949467757108</v>
      </c>
      <c r="K73" s="360">
        <f t="shared" ca="1" si="44"/>
        <v>17.589842899067008</v>
      </c>
      <c r="L73" s="357">
        <f t="shared" ca="1" si="29"/>
        <v>17.885698101053315</v>
      </c>
      <c r="M73" s="359">
        <f t="shared" ca="1" si="45"/>
        <v>1.3799983933199202</v>
      </c>
      <c r="N73" s="357">
        <f t="shared" ca="1" si="46"/>
        <v>79.06808367206601</v>
      </c>
      <c r="O73" s="343"/>
      <c r="P73" s="363">
        <f t="shared" ca="1" si="47"/>
        <v>3</v>
      </c>
      <c r="Q73" s="357">
        <f t="shared" ca="1" si="48"/>
        <v>776.17</v>
      </c>
      <c r="R73" s="359">
        <f t="shared" ca="1" si="49"/>
        <v>0.38952355990419596</v>
      </c>
      <c r="S73" s="360">
        <f t="shared" ca="1" si="50"/>
        <v>9.1378313309560486</v>
      </c>
      <c r="T73" s="357">
        <f t="shared" ca="1" si="30"/>
        <v>89.642125356678847</v>
      </c>
      <c r="U73" s="364">
        <f t="shared" ca="1" si="31"/>
        <v>0</v>
      </c>
      <c r="V73" s="359">
        <f t="shared" ca="1" si="32"/>
        <v>1.2228471376703725</v>
      </c>
      <c r="W73" s="357">
        <f t="shared" ca="1" si="33"/>
        <v>9.0128351917766505</v>
      </c>
      <c r="X73" s="343"/>
      <c r="Y73" s="367" t="str">
        <f t="shared" ca="1" si="51"/>
        <v/>
      </c>
      <c r="Z73" s="368" t="str">
        <f t="shared" ca="1" si="52"/>
        <v/>
      </c>
      <c r="AA73" s="369" t="str">
        <f t="shared" ca="1" si="53"/>
        <v/>
      </c>
      <c r="AB73" s="344"/>
      <c r="AC73" s="363" t="e">
        <f t="shared" ca="1" si="54"/>
        <v>#N/A</v>
      </c>
      <c r="AD73" s="376" t="e">
        <f t="shared" ca="1" si="55"/>
        <v>#N/A</v>
      </c>
      <c r="AE73" s="377">
        <f t="shared" ca="1" si="34"/>
        <v>17.589842899067008</v>
      </c>
      <c r="AF73" s="344"/>
      <c r="AG73" s="359">
        <f t="shared" ca="1" si="56"/>
        <v>74.348925752057127</v>
      </c>
      <c r="AH73" s="357">
        <f t="shared" ca="1" si="57"/>
        <v>83.981561141867275</v>
      </c>
    </row>
    <row r="74" spans="1:34" x14ac:dyDescent="0.2">
      <c r="A74" s="402">
        <f t="shared" ca="1" si="35"/>
        <v>0.01</v>
      </c>
      <c r="B74" s="357">
        <f t="shared" ca="1" si="36"/>
        <v>0.7000000000000004</v>
      </c>
      <c r="C74" s="342"/>
      <c r="D74" s="359">
        <f t="shared" ca="1" si="37"/>
        <v>15.903511798408543</v>
      </c>
      <c r="E74" s="360">
        <f t="shared" ca="1" si="38"/>
        <v>72.528726110249053</v>
      </c>
      <c r="F74" s="357">
        <f t="shared" ca="1" si="39"/>
        <v>74.251853840140868</v>
      </c>
      <c r="G74" s="359">
        <f t="shared" ca="1" si="40"/>
        <v>10.148682450430927</v>
      </c>
      <c r="H74" s="360">
        <f t="shared" ca="1" si="41"/>
        <v>52.445614574383796</v>
      </c>
      <c r="I74" s="357">
        <f t="shared" ca="1" si="42"/>
        <v>53.41851966841184</v>
      </c>
      <c r="J74" s="359">
        <f t="shared" ca="1" si="43"/>
        <v>3.3403865956900995</v>
      </c>
      <c r="K74" s="360">
        <f t="shared" ca="1" si="44"/>
        <v>18.110672608505332</v>
      </c>
      <c r="L74" s="357">
        <f t="shared" ca="1" si="29"/>
        <v>18.416151740826081</v>
      </c>
      <c r="M74" s="359">
        <f t="shared" ca="1" si="45"/>
        <v>1.3796501260748337</v>
      </c>
      <c r="N74" s="357">
        <f t="shared" ca="1" si="46"/>
        <v>79.048129428779902</v>
      </c>
      <c r="O74" s="343"/>
      <c r="P74" s="363">
        <f t="shared" ca="1" si="47"/>
        <v>3</v>
      </c>
      <c r="Q74" s="357">
        <f t="shared" ca="1" si="48"/>
        <v>774.99</v>
      </c>
      <c r="R74" s="359">
        <f t="shared" ca="1" si="49"/>
        <v>0.38893137288242635</v>
      </c>
      <c r="S74" s="360">
        <f t="shared" ca="1" si="50"/>
        <v>9.1339420172272252</v>
      </c>
      <c r="T74" s="357">
        <f t="shared" ca="1" si="30"/>
        <v>89.603971188999083</v>
      </c>
      <c r="U74" s="364">
        <f t="shared" ca="1" si="31"/>
        <v>0</v>
      </c>
      <c r="V74" s="359">
        <f t="shared" ca="1" si="32"/>
        <v>1.2227834497662382</v>
      </c>
      <c r="W74" s="357">
        <f t="shared" ca="1" si="33"/>
        <v>9.268151427134816</v>
      </c>
      <c r="X74" s="343"/>
      <c r="Y74" s="367" t="str">
        <f t="shared" ca="1" si="51"/>
        <v/>
      </c>
      <c r="Z74" s="368" t="str">
        <f t="shared" ca="1" si="52"/>
        <v/>
      </c>
      <c r="AA74" s="369" t="str">
        <f t="shared" ca="1" si="53"/>
        <v/>
      </c>
      <c r="AB74" s="344"/>
      <c r="AC74" s="363" t="e">
        <f t="shared" ca="1" si="54"/>
        <v>#N/A</v>
      </c>
      <c r="AD74" s="376" t="e">
        <f t="shared" ca="1" si="55"/>
        <v>#N/A</v>
      </c>
      <c r="AE74" s="377">
        <f t="shared" ca="1" si="34"/>
        <v>18.110672608505332</v>
      </c>
      <c r="AF74" s="344"/>
      <c r="AG74" s="359">
        <f t="shared" ca="1" si="56"/>
        <v>74.228543971913709</v>
      </c>
      <c r="AH74" s="357">
        <f t="shared" ca="1" si="57"/>
        <v>83.860524115824177</v>
      </c>
    </row>
    <row r="75" spans="1:34" x14ac:dyDescent="0.2">
      <c r="A75" s="402">
        <f t="shared" ca="1" si="35"/>
        <v>0.01</v>
      </c>
      <c r="B75" s="357">
        <f t="shared" ca="1" si="36"/>
        <v>0.71000000000000041</v>
      </c>
      <c r="C75" s="342"/>
      <c r="D75" s="359">
        <f t="shared" ca="1" si="37"/>
        <v>15.909096316368895</v>
      </c>
      <c r="E75" s="360">
        <f t="shared" ca="1" si="38"/>
        <v>72.403857583020951</v>
      </c>
      <c r="F75" s="357">
        <f t="shared" ca="1" si="39"/>
        <v>74.131086181883788</v>
      </c>
      <c r="G75" s="359">
        <f t="shared" ca="1" si="40"/>
        <v>10.307773413594616</v>
      </c>
      <c r="H75" s="360">
        <f t="shared" ca="1" si="41"/>
        <v>53.169653150214003</v>
      </c>
      <c r="I75" s="357">
        <f t="shared" ca="1" si="42"/>
        <v>54.159599415616711</v>
      </c>
      <c r="J75" s="359">
        <f t="shared" ca="1" si="43"/>
        <v>3.4426688750102272</v>
      </c>
      <c r="K75" s="360">
        <f t="shared" ca="1" si="44"/>
        <v>18.63874894712832</v>
      </c>
      <c r="L75" s="357">
        <f t="shared" ca="1" si="29"/>
        <v>18.95402150724329</v>
      </c>
      <c r="M75" s="359">
        <f t="shared" ca="1" si="45"/>
        <v>1.3793060049074439</v>
      </c>
      <c r="N75" s="357">
        <f t="shared" ca="1" si="46"/>
        <v>79.028412738247354</v>
      </c>
      <c r="O75" s="343"/>
      <c r="P75" s="363">
        <f t="shared" ca="1" si="47"/>
        <v>3</v>
      </c>
      <c r="Q75" s="357">
        <f t="shared" ca="1" si="48"/>
        <v>773.81</v>
      </c>
      <c r="R75" s="359">
        <f t="shared" ca="1" si="49"/>
        <v>0.38833918586065669</v>
      </c>
      <c r="S75" s="360">
        <f t="shared" ca="1" si="50"/>
        <v>9.1300586253686191</v>
      </c>
      <c r="T75" s="357">
        <f t="shared" ca="1" si="30"/>
        <v>89.565875114866159</v>
      </c>
      <c r="U75" s="364">
        <f t="shared" ca="1" si="31"/>
        <v>0</v>
      </c>
      <c r="V75" s="359">
        <f t="shared" ca="1" si="32"/>
        <v>1.2227188791159507</v>
      </c>
      <c r="W75" s="357">
        <f t="shared" ca="1" si="33"/>
        <v>9.5265878427204118</v>
      </c>
      <c r="X75" s="343"/>
      <c r="Y75" s="367" t="str">
        <f t="shared" ca="1" si="51"/>
        <v/>
      </c>
      <c r="Z75" s="368" t="str">
        <f t="shared" ca="1" si="52"/>
        <v/>
      </c>
      <c r="AA75" s="369" t="str">
        <f t="shared" ca="1" si="53"/>
        <v/>
      </c>
      <c r="AB75" s="344"/>
      <c r="AC75" s="363" t="e">
        <f t="shared" ca="1" si="54"/>
        <v>#N/A</v>
      </c>
      <c r="AD75" s="376" t="e">
        <f t="shared" ca="1" si="55"/>
        <v>#N/A</v>
      </c>
      <c r="AE75" s="377">
        <f t="shared" ca="1" si="34"/>
        <v>18.63874894712832</v>
      </c>
      <c r="AF75" s="344"/>
      <c r="AG75" s="359">
        <f t="shared" ca="1" si="56"/>
        <v>74.107654043186926</v>
      </c>
      <c r="AH75" s="357">
        <f t="shared" ca="1" si="57"/>
        <v>83.738985689371447</v>
      </c>
    </row>
    <row r="76" spans="1:34" x14ac:dyDescent="0.2">
      <c r="A76" s="402">
        <f t="shared" ca="1" si="35"/>
        <v>0.01</v>
      </c>
      <c r="B76" s="357">
        <f t="shared" ca="1" si="36"/>
        <v>0.72000000000000042</v>
      </c>
      <c r="C76" s="342"/>
      <c r="D76" s="359">
        <f t="shared" ca="1" si="37"/>
        <v>15.914160360998308</v>
      </c>
      <c r="E76" s="360">
        <f t="shared" ca="1" si="38"/>
        <v>72.278570695122426</v>
      </c>
      <c r="F76" s="357">
        <f t="shared" ca="1" si="39"/>
        <v>74.009812063843128</v>
      </c>
      <c r="G76" s="359">
        <f t="shared" ca="1" si="40"/>
        <v>10.466915017204599</v>
      </c>
      <c r="H76" s="360">
        <f t="shared" ca="1" si="41"/>
        <v>53.892438857165224</v>
      </c>
      <c r="I76" s="357">
        <f t="shared" ca="1" si="42"/>
        <v>54.899465169987543</v>
      </c>
      <c r="J76" s="359">
        <f t="shared" ca="1" si="43"/>
        <v>3.5465423171642234</v>
      </c>
      <c r="K76" s="360">
        <f t="shared" ca="1" si="44"/>
        <v>19.174059407165217</v>
      </c>
      <c r="L76" s="357">
        <f t="shared" ca="1" si="29"/>
        <v>19.499295283597753</v>
      </c>
      <c r="M76" s="359">
        <f t="shared" ca="1" si="45"/>
        <v>1.3789659176796858</v>
      </c>
      <c r="N76" s="357">
        <f t="shared" ca="1" si="46"/>
        <v>79.0089271754305</v>
      </c>
      <c r="O76" s="343"/>
      <c r="P76" s="363">
        <f t="shared" ca="1" si="47"/>
        <v>3</v>
      </c>
      <c r="Q76" s="357">
        <f t="shared" ca="1" si="48"/>
        <v>772.63</v>
      </c>
      <c r="R76" s="359">
        <f t="shared" ca="1" si="49"/>
        <v>0.38774699883888702</v>
      </c>
      <c r="S76" s="360">
        <f t="shared" ca="1" si="50"/>
        <v>9.1261811553802303</v>
      </c>
      <c r="T76" s="357">
        <f t="shared" ca="1" si="30"/>
        <v>89.527837134280063</v>
      </c>
      <c r="U76" s="364">
        <f t="shared" ca="1" si="31"/>
        <v>0</v>
      </c>
      <c r="V76" s="359">
        <f t="shared" ca="1" si="32"/>
        <v>1.2226534273887553</v>
      </c>
      <c r="W76" s="357">
        <f t="shared" ca="1" si="33"/>
        <v>9.7881241294151309</v>
      </c>
      <c r="X76" s="343"/>
      <c r="Y76" s="367" t="str">
        <f t="shared" ca="1" si="51"/>
        <v/>
      </c>
      <c r="Z76" s="368" t="str">
        <f t="shared" ca="1" si="52"/>
        <v/>
      </c>
      <c r="AA76" s="369" t="str">
        <f t="shared" ca="1" si="53"/>
        <v/>
      </c>
      <c r="AB76" s="344"/>
      <c r="AC76" s="363" t="e">
        <f t="shared" ca="1" si="54"/>
        <v>#N/A</v>
      </c>
      <c r="AD76" s="376" t="e">
        <f t="shared" ca="1" si="55"/>
        <v>#N/A</v>
      </c>
      <c r="AE76" s="377">
        <f t="shared" ca="1" si="34"/>
        <v>19.174059407165217</v>
      </c>
      <c r="AF76" s="344"/>
      <c r="AG76" s="359">
        <f t="shared" ca="1" si="56"/>
        <v>73.986257955339298</v>
      </c>
      <c r="AH76" s="357">
        <f t="shared" ca="1" si="57"/>
        <v>83.616947676674272</v>
      </c>
    </row>
    <row r="77" spans="1:34" x14ac:dyDescent="0.2">
      <c r="A77" s="402">
        <f t="shared" ca="1" si="35"/>
        <v>0.01</v>
      </c>
      <c r="B77" s="357">
        <f t="shared" ca="1" si="36"/>
        <v>0.73000000000000043</v>
      </c>
      <c r="C77" s="342"/>
      <c r="D77" s="359">
        <f t="shared" ca="1" si="37"/>
        <v>15.918714528667627</v>
      </c>
      <c r="E77" s="360">
        <f t="shared" ca="1" si="38"/>
        <v>72.152865659150706</v>
      </c>
      <c r="F77" s="357">
        <f t="shared" ca="1" si="39"/>
        <v>73.88803350389469</v>
      </c>
      <c r="G77" s="359">
        <f t="shared" ca="1" si="40"/>
        <v>10.626102162491275</v>
      </c>
      <c r="H77" s="360">
        <f t="shared" ca="1" si="41"/>
        <v>54.613967513756734</v>
      </c>
      <c r="I77" s="357">
        <f t="shared" ca="1" si="42"/>
        <v>55.638111890693935</v>
      </c>
      <c r="J77" s="359">
        <f t="shared" ca="1" si="43"/>
        <v>3.652007403062703</v>
      </c>
      <c r="K77" s="360">
        <f t="shared" ca="1" si="44"/>
        <v>19.716591439019826</v>
      </c>
      <c r="L77" s="357">
        <f t="shared" ca="1" si="29"/>
        <v>20.051960902746014</v>
      </c>
      <c r="M77" s="359">
        <f t="shared" ca="1" si="45"/>
        <v>1.3786297567652124</v>
      </c>
      <c r="N77" s="357">
        <f t="shared" ca="1" si="46"/>
        <v>78.989666573793926</v>
      </c>
      <c r="O77" s="343"/>
      <c r="P77" s="363">
        <f t="shared" ca="1" si="47"/>
        <v>3</v>
      </c>
      <c r="Q77" s="357">
        <f t="shared" ca="1" si="48"/>
        <v>771.44999999999993</v>
      </c>
      <c r="R77" s="359">
        <f t="shared" ca="1" si="49"/>
        <v>0.38715481181711736</v>
      </c>
      <c r="S77" s="360">
        <f t="shared" ca="1" si="50"/>
        <v>9.1223096072620589</v>
      </c>
      <c r="T77" s="357">
        <f t="shared" ca="1" si="30"/>
        <v>89.489857247240806</v>
      </c>
      <c r="U77" s="364">
        <f t="shared" ca="1" si="31"/>
        <v>0</v>
      </c>
      <c r="V77" s="359">
        <f t="shared" ca="1" si="32"/>
        <v>1.2225870962605807</v>
      </c>
      <c r="W77" s="357">
        <f t="shared" ca="1" si="33"/>
        <v>10.05273990868397</v>
      </c>
      <c r="X77" s="343"/>
      <c r="Y77" s="367" t="str">
        <f t="shared" ca="1" si="51"/>
        <v/>
      </c>
      <c r="Z77" s="368" t="str">
        <f t="shared" ca="1" si="52"/>
        <v/>
      </c>
      <c r="AA77" s="369" t="str">
        <f t="shared" ca="1" si="53"/>
        <v/>
      </c>
      <c r="AB77" s="344"/>
      <c r="AC77" s="363" t="e">
        <f t="shared" ca="1" si="54"/>
        <v>#N/A</v>
      </c>
      <c r="AD77" s="376" t="e">
        <f t="shared" ca="1" si="55"/>
        <v>#N/A</v>
      </c>
      <c r="AE77" s="377">
        <f t="shared" ca="1" si="34"/>
        <v>19.716591439019826</v>
      </c>
      <c r="AF77" s="344"/>
      <c r="AG77" s="359">
        <f t="shared" ca="1" si="56"/>
        <v>73.86435770373572</v>
      </c>
      <c r="AH77" s="357">
        <f t="shared" ca="1" si="57"/>
        <v>83.494411904661021</v>
      </c>
    </row>
    <row r="78" spans="1:34" x14ac:dyDescent="0.2">
      <c r="A78" s="402">
        <f t="shared" ca="1" si="35"/>
        <v>0.01</v>
      </c>
      <c r="B78" s="357">
        <f t="shared" ca="1" si="36"/>
        <v>0.74000000000000044</v>
      </c>
      <c r="C78" s="342"/>
      <c r="D78" s="359">
        <f t="shared" ca="1" si="37"/>
        <v>15.922769006087412</v>
      </c>
      <c r="E78" s="360">
        <f t="shared" ca="1" si="38"/>
        <v>72.026742761339378</v>
      </c>
      <c r="F78" s="357">
        <f t="shared" ca="1" si="39"/>
        <v>73.765752525337746</v>
      </c>
      <c r="G78" s="359">
        <f t="shared" ca="1" si="40"/>
        <v>10.785329852552149</v>
      </c>
      <c r="H78" s="360">
        <f t="shared" ca="1" si="41"/>
        <v>55.334234941370127</v>
      </c>
      <c r="I78" s="357">
        <f t="shared" ca="1" si="42"/>
        <v>56.375534556890003</v>
      </c>
      <c r="J78" s="359">
        <f t="shared" ca="1" si="43"/>
        <v>3.7590645631379203</v>
      </c>
      <c r="K78" s="360">
        <f t="shared" ca="1" si="44"/>
        <v>20.266332451295462</v>
      </c>
      <c r="L78" s="357">
        <f t="shared" ca="1" si="29"/>
        <v>20.612006147298491</v>
      </c>
      <c r="M78" s="359">
        <f t="shared" ca="1" si="45"/>
        <v>1.378297418808091</v>
      </c>
      <c r="N78" s="357">
        <f t="shared" ca="1" si="46"/>
        <v>78.970625011478859</v>
      </c>
      <c r="O78" s="343"/>
      <c r="P78" s="363">
        <f t="shared" ca="1" si="47"/>
        <v>3</v>
      </c>
      <c r="Q78" s="357">
        <f t="shared" ca="1" si="48"/>
        <v>770.27</v>
      </c>
      <c r="R78" s="359">
        <f t="shared" ca="1" si="49"/>
        <v>0.38656262479534775</v>
      </c>
      <c r="S78" s="360">
        <f t="shared" ca="1" si="50"/>
        <v>9.1184439810141047</v>
      </c>
      <c r="T78" s="357">
        <f t="shared" ca="1" si="30"/>
        <v>89.451935453748376</v>
      </c>
      <c r="U78" s="364">
        <f t="shared" ca="1" si="31"/>
        <v>0</v>
      </c>
      <c r="V78" s="359">
        <f t="shared" ca="1" si="32"/>
        <v>1.2225198874140257</v>
      </c>
      <c r="W78" s="357">
        <f t="shared" ca="1" si="33"/>
        <v>10.320414733680686</v>
      </c>
      <c r="X78" s="343"/>
      <c r="Y78" s="367" t="str">
        <f t="shared" ca="1" si="51"/>
        <v/>
      </c>
      <c r="Z78" s="368" t="str">
        <f t="shared" ca="1" si="52"/>
        <v/>
      </c>
      <c r="AA78" s="369" t="str">
        <f t="shared" ca="1" si="53"/>
        <v/>
      </c>
      <c r="AB78" s="344"/>
      <c r="AC78" s="363" t="e">
        <f t="shared" ca="1" si="54"/>
        <v>#N/A</v>
      </c>
      <c r="AD78" s="376" t="e">
        <f t="shared" ca="1" si="55"/>
        <v>#N/A</v>
      </c>
      <c r="AE78" s="377">
        <f t="shared" ca="1" si="34"/>
        <v>20.266332451295462</v>
      </c>
      <c r="AF78" s="344"/>
      <c r="AG78" s="359">
        <f t="shared" ca="1" si="56"/>
        <v>73.741955289898755</v>
      </c>
      <c r="AH78" s="357">
        <f t="shared" ca="1" si="57"/>
        <v>83.371380212917501</v>
      </c>
    </row>
    <row r="79" spans="1:34" x14ac:dyDescent="0.2">
      <c r="A79" s="402">
        <f t="shared" ca="1" si="35"/>
        <v>0.01</v>
      </c>
      <c r="B79" s="357">
        <f t="shared" ca="1" si="36"/>
        <v>0.75000000000000044</v>
      </c>
      <c r="C79" s="342"/>
      <c r="D79" s="359">
        <f t="shared" ca="1" si="37"/>
        <v>15.926333592332872</v>
      </c>
      <c r="E79" s="360">
        <f t="shared" ca="1" si="38"/>
        <v>71.90020235827518</v>
      </c>
      <c r="F79" s="357">
        <f t="shared" ca="1" si="39"/>
        <v>73.642971157166045</v>
      </c>
      <c r="G79" s="359">
        <f t="shared" ca="1" si="40"/>
        <v>10.944593188475478</v>
      </c>
      <c r="H79" s="360">
        <f t="shared" ca="1" si="41"/>
        <v>56.05323696495288</v>
      </c>
      <c r="I79" s="357">
        <f t="shared" ca="1" si="42"/>
        <v>57.111728167779901</v>
      </c>
      <c r="J79" s="359">
        <f t="shared" ca="1" si="43"/>
        <v>3.8677141783430584</v>
      </c>
      <c r="K79" s="360">
        <f t="shared" ca="1" si="44"/>
        <v>20.823269810827078</v>
      </c>
      <c r="L79" s="357">
        <f t="shared" ca="1" si="29"/>
        <v>21.179418749811294</v>
      </c>
      <c r="M79" s="359">
        <f t="shared" ca="1" si="45"/>
        <v>1.3779688044975096</v>
      </c>
      <c r="N79" s="357">
        <f t="shared" ca="1" si="46"/>
        <v>78.951796798394952</v>
      </c>
      <c r="O79" s="343"/>
      <c r="P79" s="363">
        <f t="shared" ca="1" si="47"/>
        <v>3</v>
      </c>
      <c r="Q79" s="357">
        <f t="shared" ca="1" si="48"/>
        <v>769.08999999999992</v>
      </c>
      <c r="R79" s="359">
        <f t="shared" ca="1" si="49"/>
        <v>0.38597043777357803</v>
      </c>
      <c r="S79" s="360">
        <f t="shared" ca="1" si="50"/>
        <v>9.1145842766363696</v>
      </c>
      <c r="T79" s="357">
        <f t="shared" ca="1" si="30"/>
        <v>89.414071753802787</v>
      </c>
      <c r="U79" s="364">
        <f t="shared" ca="1" si="31"/>
        <v>0</v>
      </c>
      <c r="V79" s="359">
        <f t="shared" ca="1" si="32"/>
        <v>1.2224518025383377</v>
      </c>
      <c r="W79" s="357">
        <f t="shared" ca="1" si="33"/>
        <v>10.591128090355186</v>
      </c>
      <c r="X79" s="343"/>
      <c r="Y79" s="367" t="str">
        <f t="shared" ca="1" si="51"/>
        <v/>
      </c>
      <c r="Z79" s="368" t="str">
        <f t="shared" ca="1" si="52"/>
        <v/>
      </c>
      <c r="AA79" s="369" t="str">
        <f t="shared" ca="1" si="53"/>
        <v/>
      </c>
      <c r="AB79" s="344"/>
      <c r="AC79" s="363" t="e">
        <f t="shared" ca="1" si="54"/>
        <v>#N/A</v>
      </c>
      <c r="AD79" s="376" t="e">
        <f t="shared" ca="1" si="55"/>
        <v>#N/A</v>
      </c>
      <c r="AE79" s="377">
        <f t="shared" ca="1" si="34"/>
        <v>20.823269810827078</v>
      </c>
      <c r="AF79" s="344"/>
      <c r="AG79" s="359">
        <f t="shared" ca="1" si="56"/>
        <v>73.61905272173972</v>
      </c>
      <c r="AH79" s="357">
        <f t="shared" ca="1" si="57"/>
        <v>83.247854453580658</v>
      </c>
    </row>
    <row r="80" spans="1:34" x14ac:dyDescent="0.2">
      <c r="A80" s="402">
        <f t="shared" ca="1" si="35"/>
        <v>0.01</v>
      </c>
      <c r="B80" s="357">
        <f t="shared" ca="1" si="36"/>
        <v>0.76000000000000045</v>
      </c>
      <c r="C80" s="342"/>
      <c r="D80" s="359">
        <f t="shared" ca="1" si="37"/>
        <v>15.929417719408658</v>
      </c>
      <c r="E80" s="360">
        <f t="shared" ca="1" si="38"/>
        <v>71.773244873819564</v>
      </c>
      <c r="F80" s="357">
        <f t="shared" ca="1" si="39"/>
        <v>73.519691434313543</v>
      </c>
      <c r="G80" s="359">
        <f t="shared" ca="1" si="40"/>
        <v>11.103887365669564</v>
      </c>
      <c r="H80" s="360">
        <f t="shared" ca="1" si="41"/>
        <v>56.770969413691077</v>
      </c>
      <c r="I80" s="357">
        <f t="shared" ca="1" si="42"/>
        <v>57.846687742685177</v>
      </c>
      <c r="J80" s="359">
        <f t="shared" ca="1" si="43"/>
        <v>3.9779565811137836</v>
      </c>
      <c r="K80" s="360">
        <f t="shared" ca="1" si="44"/>
        <v>21.387390842720297</v>
      </c>
      <c r="L80" s="357">
        <f t="shared" ca="1" si="29"/>
        <v>21.754186392979683</v>
      </c>
      <c r="M80" s="359">
        <f t="shared" ca="1" si="45"/>
        <v>1.377643818357227</v>
      </c>
      <c r="N80" s="357">
        <f t="shared" ca="1" si="46"/>
        <v>78.933176464156517</v>
      </c>
      <c r="O80" s="343"/>
      <c r="P80" s="363">
        <f t="shared" ca="1" si="47"/>
        <v>3</v>
      </c>
      <c r="Q80" s="357">
        <f t="shared" ca="1" si="48"/>
        <v>767.91</v>
      </c>
      <c r="R80" s="359">
        <f t="shared" ca="1" si="49"/>
        <v>0.38537825075180843</v>
      </c>
      <c r="S80" s="360">
        <f t="shared" ca="1" si="50"/>
        <v>9.1107304941288518</v>
      </c>
      <c r="T80" s="357">
        <f t="shared" ca="1" si="30"/>
        <v>89.376266147404039</v>
      </c>
      <c r="U80" s="364">
        <f t="shared" ca="1" si="31"/>
        <v>0</v>
      </c>
      <c r="V80" s="359">
        <f t="shared" ca="1" si="32"/>
        <v>1.2223828433293975</v>
      </c>
      <c r="W80" s="357">
        <f t="shared" ca="1" si="33"/>
        <v>10.864859398562842</v>
      </c>
      <c r="X80" s="343"/>
      <c r="Y80" s="367" t="str">
        <f t="shared" ca="1" si="51"/>
        <v/>
      </c>
      <c r="Z80" s="368" t="str">
        <f t="shared" ca="1" si="52"/>
        <v/>
      </c>
      <c r="AA80" s="369" t="str">
        <f t="shared" ca="1" si="53"/>
        <v/>
      </c>
      <c r="AB80" s="344"/>
      <c r="AC80" s="363" t="e">
        <f t="shared" ca="1" si="54"/>
        <v>#N/A</v>
      </c>
      <c r="AD80" s="376" t="e">
        <f t="shared" ca="1" si="55"/>
        <v>#N/A</v>
      </c>
      <c r="AE80" s="377">
        <f t="shared" ca="1" si="34"/>
        <v>21.387390842720297</v>
      </c>
      <c r="AF80" s="344"/>
      <c r="AG80" s="359">
        <f t="shared" ca="1" si="56"/>
        <v>73.495652013767199</v>
      </c>
      <c r="AH80" s="357">
        <f t="shared" ca="1" si="57"/>
        <v>83.123836491231657</v>
      </c>
    </row>
    <row r="81" spans="1:34" x14ac:dyDescent="0.2">
      <c r="A81" s="402">
        <f t="shared" ca="1" si="35"/>
        <v>0.01</v>
      </c>
      <c r="B81" s="357">
        <f t="shared" ca="1" si="36"/>
        <v>0.77000000000000046</v>
      </c>
      <c r="C81" s="342"/>
      <c r="D81" s="359">
        <f t="shared" ca="1" si="37"/>
        <v>15.932030471468801</v>
      </c>
      <c r="E81" s="360">
        <f t="shared" ca="1" si="38"/>
        <v>71.645870796219072</v>
      </c>
      <c r="F81" s="357">
        <f t="shared" ca="1" si="39"/>
        <v>73.395915397877062</v>
      </c>
      <c r="G81" s="359">
        <f t="shared" ca="1" si="40"/>
        <v>11.263207670384253</v>
      </c>
      <c r="H81" s="360">
        <f t="shared" ca="1" si="41"/>
        <v>57.487428121653267</v>
      </c>
      <c r="I81" s="357">
        <f t="shared" ca="1" si="42"/>
        <v>58.580408321114099</v>
      </c>
      <c r="J81" s="359">
        <f t="shared" ca="1" si="43"/>
        <v>4.0897920562940531</v>
      </c>
      <c r="K81" s="360">
        <f t="shared" ca="1" si="44"/>
        <v>21.95868283039702</v>
      </c>
      <c r="L81" s="357">
        <f t="shared" ca="1" si="29"/>
        <v>22.336296709833054</v>
      </c>
      <c r="M81" s="359">
        <f t="shared" ca="1" si="45"/>
        <v>1.3773223685486224</v>
      </c>
      <c r="N81" s="357">
        <f t="shared" ca="1" si="46"/>
        <v>78.914758746798185</v>
      </c>
      <c r="O81" s="343"/>
      <c r="P81" s="363">
        <f t="shared" ca="1" si="47"/>
        <v>3</v>
      </c>
      <c r="Q81" s="357">
        <f t="shared" ca="1" si="48"/>
        <v>766.7299999999999</v>
      </c>
      <c r="R81" s="359">
        <f t="shared" ca="1" si="49"/>
        <v>0.38478606373003871</v>
      </c>
      <c r="S81" s="360">
        <f t="shared" ca="1" si="50"/>
        <v>9.1068826334915514</v>
      </c>
      <c r="T81" s="357">
        <f t="shared" ca="1" si="30"/>
        <v>89.338518634552116</v>
      </c>
      <c r="U81" s="364">
        <f t="shared" ca="1" si="31"/>
        <v>0</v>
      </c>
      <c r="V81" s="359">
        <f t="shared" ca="1" si="32"/>
        <v>1.2223130114896996</v>
      </c>
      <c r="W81" s="357">
        <f t="shared" ca="1" si="33"/>
        <v>11.141588013175674</v>
      </c>
      <c r="X81" s="343"/>
      <c r="Y81" s="367" t="str">
        <f t="shared" ca="1" si="51"/>
        <v/>
      </c>
      <c r="Z81" s="368" t="str">
        <f t="shared" ca="1" si="52"/>
        <v/>
      </c>
      <c r="AA81" s="369" t="str">
        <f t="shared" ca="1" si="53"/>
        <v/>
      </c>
      <c r="AB81" s="344"/>
      <c r="AC81" s="363" t="e">
        <f t="shared" ca="1" si="54"/>
        <v>#N/A</v>
      </c>
      <c r="AD81" s="376" t="e">
        <f t="shared" ca="1" si="55"/>
        <v>#N/A</v>
      </c>
      <c r="AE81" s="377">
        <f t="shared" ca="1" si="34"/>
        <v>21.95868283039702</v>
      </c>
      <c r="AF81" s="344"/>
      <c r="AG81" s="359">
        <f t="shared" ca="1" si="56"/>
        <v>73.371755187274701</v>
      </c>
      <c r="AH81" s="357">
        <f t="shared" ca="1" si="57"/>
        <v>82.999328202788163</v>
      </c>
    </row>
    <row r="82" spans="1:34" x14ac:dyDescent="0.2">
      <c r="A82" s="402">
        <f t="shared" ca="1" si="35"/>
        <v>0.01</v>
      </c>
      <c r="B82" s="357">
        <f t="shared" ca="1" si="36"/>
        <v>0.78000000000000047</v>
      </c>
      <c r="C82" s="342"/>
      <c r="D82" s="359">
        <f t="shared" ca="1" si="37"/>
        <v>15.934180602796207</v>
      </c>
      <c r="E82" s="360">
        <f t="shared" ca="1" si="38"/>
        <v>71.518080675390621</v>
      </c>
      <c r="F82" s="357">
        <f t="shared" ca="1" si="39"/>
        <v>73.271645095317794</v>
      </c>
      <c r="G82" s="359">
        <f t="shared" ca="1" si="40"/>
        <v>11.422549476412215</v>
      </c>
      <c r="H82" s="360">
        <f t="shared" ca="1" si="41"/>
        <v>58.202608928407173</v>
      </c>
      <c r="I82" s="357">
        <f t="shared" ca="1" si="42"/>
        <v>59.312884962832378</v>
      </c>
      <c r="J82" s="359">
        <f t="shared" ca="1" si="43"/>
        <v>4.2032208420280357</v>
      </c>
      <c r="K82" s="360">
        <f t="shared" ca="1" si="44"/>
        <v>22.537133015647321</v>
      </c>
      <c r="L82" s="357">
        <f t="shared" ca="1" si="29"/>
        <v>22.925737283931337</v>
      </c>
      <c r="M82" s="359">
        <f t="shared" ca="1" si="45"/>
        <v>1.3770043666862979</v>
      </c>
      <c r="N82" s="357">
        <f t="shared" ca="1" si="46"/>
        <v>78.896538582209686</v>
      </c>
      <c r="O82" s="343"/>
      <c r="P82" s="363">
        <f t="shared" ca="1" si="47"/>
        <v>3</v>
      </c>
      <c r="Q82" s="357">
        <f t="shared" ca="1" si="48"/>
        <v>765.55</v>
      </c>
      <c r="R82" s="359">
        <f t="shared" ca="1" si="49"/>
        <v>0.3841938767082691</v>
      </c>
      <c r="S82" s="360">
        <f t="shared" ca="1" si="50"/>
        <v>9.1030406947244682</v>
      </c>
      <c r="T82" s="357">
        <f t="shared" ca="1" si="30"/>
        <v>89.300829215247035</v>
      </c>
      <c r="U82" s="364">
        <f t="shared" ca="1" si="31"/>
        <v>0</v>
      </c>
      <c r="V82" s="359">
        <f t="shared" ca="1" si="32"/>
        <v>1.2222423087283334</v>
      </c>
      <c r="W82" s="357">
        <f t="shared" ca="1" si="33"/>
        <v>11.421293225195226</v>
      </c>
      <c r="X82" s="343"/>
      <c r="Y82" s="367" t="str">
        <f t="shared" ca="1" si="51"/>
        <v/>
      </c>
      <c r="Z82" s="368" t="str">
        <f t="shared" ca="1" si="52"/>
        <v/>
      </c>
      <c r="AA82" s="369" t="str">
        <f t="shared" ca="1" si="53"/>
        <v/>
      </c>
      <c r="AB82" s="344"/>
      <c r="AC82" s="363" t="e">
        <f t="shared" ca="1" si="54"/>
        <v>#N/A</v>
      </c>
      <c r="AD82" s="376" t="e">
        <f t="shared" ca="1" si="55"/>
        <v>#N/A</v>
      </c>
      <c r="AE82" s="377">
        <f t="shared" ca="1" si="34"/>
        <v>22.537133015647321</v>
      </c>
      <c r="AF82" s="344"/>
      <c r="AG82" s="359">
        <f t="shared" ca="1" si="56"/>
        <v>73.247364270509337</v>
      </c>
      <c r="AH82" s="357">
        <f t="shared" ca="1" si="57"/>
        <v>82.874331477396382</v>
      </c>
    </row>
    <row r="83" spans="1:34" x14ac:dyDescent="0.2">
      <c r="A83" s="402">
        <f t="shared" ca="1" si="35"/>
        <v>0.01</v>
      </c>
      <c r="B83" s="357">
        <f t="shared" ca="1" si="36"/>
        <v>0.79000000000000048</v>
      </c>
      <c r="C83" s="342"/>
      <c r="D83" s="359">
        <f t="shared" ca="1" si="37"/>
        <v>15.935876554636698</v>
      </c>
      <c r="E83" s="360">
        <f t="shared" ca="1" si="38"/>
        <v>71.389875120367648</v>
      </c>
      <c r="F83" s="357">
        <f t="shared" ca="1" si="39"/>
        <v>73.14688258064254</v>
      </c>
      <c r="G83" s="359">
        <f t="shared" ca="1" si="40"/>
        <v>11.581908241958581</v>
      </c>
      <c r="H83" s="360">
        <f t="shared" ca="1" si="41"/>
        <v>58.916507679610852</v>
      </c>
      <c r="I83" s="357">
        <f t="shared" ca="1" si="42"/>
        <v>60.044112747935515</v>
      </c>
      <c r="J83" s="359">
        <f t="shared" ca="1" si="43"/>
        <v>4.3182431306198898</v>
      </c>
      <c r="K83" s="360">
        <f t="shared" ca="1" si="44"/>
        <v>23.122728598687409</v>
      </c>
      <c r="L83" s="357">
        <f t="shared" ca="1" si="29"/>
        <v>23.522495649562835</v>
      </c>
      <c r="M83" s="359">
        <f t="shared" ca="1" si="45"/>
        <v>1.3766897276652843</v>
      </c>
      <c r="N83" s="357">
        <f t="shared" ca="1" si="46"/>
        <v>78.878511094235478</v>
      </c>
      <c r="O83" s="343"/>
      <c r="P83" s="363">
        <f t="shared" ca="1" si="47"/>
        <v>3</v>
      </c>
      <c r="Q83" s="357">
        <f t="shared" ca="1" si="48"/>
        <v>764.36999999999989</v>
      </c>
      <c r="R83" s="359">
        <f t="shared" ca="1" si="49"/>
        <v>0.38360168968649944</v>
      </c>
      <c r="S83" s="360">
        <f t="shared" ca="1" si="50"/>
        <v>9.0992046778276023</v>
      </c>
      <c r="T83" s="357">
        <f t="shared" ca="1" si="30"/>
        <v>89.263197889488779</v>
      </c>
      <c r="U83" s="364">
        <f t="shared" ca="1" si="31"/>
        <v>0</v>
      </c>
      <c r="V83" s="359">
        <f t="shared" ca="1" si="32"/>
        <v>1.2221707367609616</v>
      </c>
      <c r="W83" s="357">
        <f t="shared" ca="1" si="33"/>
        <v>11.70395426286721</v>
      </c>
      <c r="X83" s="343"/>
      <c r="Y83" s="367" t="str">
        <f t="shared" ca="1" si="51"/>
        <v/>
      </c>
      <c r="Z83" s="368" t="str">
        <f t="shared" ca="1" si="52"/>
        <v/>
      </c>
      <c r="AA83" s="369" t="str">
        <f t="shared" ca="1" si="53"/>
        <v/>
      </c>
      <c r="AB83" s="344"/>
      <c r="AC83" s="363" t="e">
        <f t="shared" ca="1" si="54"/>
        <v>#N/A</v>
      </c>
      <c r="AD83" s="376" t="e">
        <f t="shared" ca="1" si="55"/>
        <v>#N/A</v>
      </c>
      <c r="AE83" s="377">
        <f t="shared" ca="1" si="34"/>
        <v>23.122728598687409</v>
      </c>
      <c r="AF83" s="344"/>
      <c r="AG83" s="359">
        <f t="shared" ca="1" si="56"/>
        <v>73.12248129882245</v>
      </c>
      <c r="AH83" s="357">
        <f t="shared" ca="1" si="57"/>
        <v>82.748848216322145</v>
      </c>
    </row>
    <row r="84" spans="1:34" x14ac:dyDescent="0.2">
      <c r="A84" s="402">
        <f t="shared" ca="1" si="35"/>
        <v>0.01</v>
      </c>
      <c r="B84" s="357">
        <f t="shared" ca="1" si="36"/>
        <v>0.80000000000000049</v>
      </c>
      <c r="C84" s="342"/>
      <c r="D84" s="359">
        <f t="shared" ca="1" si="37"/>
        <v>15.93712647097443</v>
      </c>
      <c r="E84" s="360">
        <f t="shared" ca="1" si="38"/>
        <v>71.261254796896011</v>
      </c>
      <c r="F84" s="357">
        <f t="shared" ca="1" si="39"/>
        <v>73.021629914566887</v>
      </c>
      <c r="G84" s="359">
        <f t="shared" ca="1" si="40"/>
        <v>11.741279506668326</v>
      </c>
      <c r="H84" s="360">
        <f t="shared" ca="1" si="41"/>
        <v>59.629120227579811</v>
      </c>
      <c r="I84" s="357">
        <f t="shared" ca="1" si="42"/>
        <v>60.77408677692226</v>
      </c>
      <c r="J84" s="359">
        <f t="shared" ca="1" si="43"/>
        <v>4.4348590693630241</v>
      </c>
      <c r="K84" s="360">
        <f t="shared" ca="1" si="44"/>
        <v>23.715456738223363</v>
      </c>
      <c r="L84" s="357">
        <f t="shared" ca="1" si="29"/>
        <v>24.126559291943298</v>
      </c>
      <c r="M84" s="359">
        <f t="shared" ca="1" si="45"/>
        <v>1.3763783694989806</v>
      </c>
      <c r="N84" s="357">
        <f t="shared" ca="1" si="46"/>
        <v>78.860671585389341</v>
      </c>
      <c r="O84" s="343"/>
      <c r="P84" s="363">
        <f t="shared" ca="1" si="47"/>
        <v>3</v>
      </c>
      <c r="Q84" s="357">
        <f t="shared" ca="1" si="48"/>
        <v>763.18999999999994</v>
      </c>
      <c r="R84" s="359">
        <f t="shared" ca="1" si="49"/>
        <v>0.38300950266472977</v>
      </c>
      <c r="S84" s="360">
        <f t="shared" ca="1" si="50"/>
        <v>9.0953745828009556</v>
      </c>
      <c r="T84" s="357">
        <f t="shared" ca="1" si="30"/>
        <v>89.225624657277379</v>
      </c>
      <c r="U84" s="364">
        <f t="shared" ca="1" si="31"/>
        <v>0</v>
      </c>
      <c r="V84" s="359">
        <f t="shared" ca="1" si="32"/>
        <v>1.2220982973097985</v>
      </c>
      <c r="W84" s="357">
        <f t="shared" ca="1" si="33"/>
        <v>11.989550292797704</v>
      </c>
      <c r="X84" s="343"/>
      <c r="Y84" s="367" t="str">
        <f t="shared" ca="1" si="51"/>
        <v/>
      </c>
      <c r="Z84" s="368" t="str">
        <f t="shared" ca="1" si="52"/>
        <v/>
      </c>
      <c r="AA84" s="369" t="str">
        <f t="shared" ca="1" si="53"/>
        <v/>
      </c>
      <c r="AB84" s="344"/>
      <c r="AC84" s="363" t="e">
        <f t="shared" ca="1" si="54"/>
        <v>#N/A</v>
      </c>
      <c r="AD84" s="376" t="e">
        <f t="shared" ca="1" si="55"/>
        <v>#N/A</v>
      </c>
      <c r="AE84" s="377">
        <f t="shared" ca="1" si="34"/>
        <v>23.715456738223363</v>
      </c>
      <c r="AF84" s="344"/>
      <c r="AG84" s="359">
        <f t="shared" ca="1" si="56"/>
        <v>72.997108314803867</v>
      </c>
      <c r="AH84" s="357">
        <f t="shared" ca="1" si="57"/>
        <v>82.622880332841632</v>
      </c>
    </row>
    <row r="85" spans="1:34" x14ac:dyDescent="0.2">
      <c r="A85" s="402">
        <f t="shared" ca="1" si="35"/>
        <v>0.01</v>
      </c>
      <c r="B85" s="357">
        <f t="shared" ca="1" si="36"/>
        <v>0.8100000000000005</v>
      </c>
      <c r="C85" s="342"/>
      <c r="D85" s="359">
        <f t="shared" ca="1" si="37"/>
        <v>15.93793821332774</v>
      </c>
      <c r="E85" s="360">
        <f t="shared" ca="1" si="38"/>
        <v>71.132220425168228</v>
      </c>
      <c r="F85" s="357">
        <f t="shared" ca="1" si="39"/>
        <v>72.895889164661213</v>
      </c>
      <c r="G85" s="359">
        <f t="shared" ca="1" si="40"/>
        <v>11.900658888801603</v>
      </c>
      <c r="H85" s="360">
        <f t="shared" ca="1" si="41"/>
        <v>60.340442431831491</v>
      </c>
      <c r="I85" s="357">
        <f t="shared" ca="1" si="42"/>
        <v>61.502802170769279</v>
      </c>
      <c r="J85" s="359">
        <f t="shared" ca="1" si="43"/>
        <v>4.5530687613403735</v>
      </c>
      <c r="K85" s="360">
        <f t="shared" ca="1" si="44"/>
        <v>24.31530455152042</v>
      </c>
      <c r="L85" s="357">
        <f t="shared" ca="1" si="29"/>
        <v>24.73791564741628</v>
      </c>
      <c r="M85" s="359">
        <f t="shared" ca="1" si="45"/>
        <v>1.3760702131670335</v>
      </c>
      <c r="N85" s="357">
        <f t="shared" ca="1" si="46"/>
        <v>78.843015528138537</v>
      </c>
      <c r="O85" s="343"/>
      <c r="P85" s="363">
        <f t="shared" ca="1" si="47"/>
        <v>3</v>
      </c>
      <c r="Q85" s="357">
        <f t="shared" ca="1" si="48"/>
        <v>762.01</v>
      </c>
      <c r="R85" s="359">
        <f t="shared" ca="1" si="49"/>
        <v>0.38241731564296016</v>
      </c>
      <c r="S85" s="360">
        <f t="shared" ca="1" si="50"/>
        <v>9.0915504096445261</v>
      </c>
      <c r="T85" s="357">
        <f t="shared" ca="1" si="30"/>
        <v>89.188109518612805</v>
      </c>
      <c r="U85" s="364">
        <f t="shared" ca="1" si="31"/>
        <v>0</v>
      </c>
      <c r="V85" s="359">
        <f t="shared" ca="1" si="32"/>
        <v>1.2220249921035911</v>
      </c>
      <c r="W85" s="357">
        <f t="shared" ca="1" si="33"/>
        <v>12.278060421070968</v>
      </c>
      <c r="X85" s="343"/>
      <c r="Y85" s="367" t="str">
        <f t="shared" ca="1" si="51"/>
        <v/>
      </c>
      <c r="Z85" s="368" t="str">
        <f t="shared" ca="1" si="52"/>
        <v/>
      </c>
      <c r="AA85" s="369" t="str">
        <f t="shared" ca="1" si="53"/>
        <v/>
      </c>
      <c r="AB85" s="344"/>
      <c r="AC85" s="363" t="e">
        <f t="shared" ca="1" si="54"/>
        <v>#N/A</v>
      </c>
      <c r="AD85" s="376" t="e">
        <f t="shared" ca="1" si="55"/>
        <v>#N/A</v>
      </c>
      <c r="AE85" s="377">
        <f t="shared" ca="1" si="34"/>
        <v>24.31530455152042</v>
      </c>
      <c r="AF85" s="344"/>
      <c r="AG85" s="359">
        <f t="shared" ca="1" si="56"/>
        <v>72.871247368400759</v>
      </c>
      <c r="AH85" s="357">
        <f t="shared" ca="1" si="57"/>
        <v>82.496429752131533</v>
      </c>
    </row>
    <row r="86" spans="1:34" x14ac:dyDescent="0.2">
      <c r="A86" s="402">
        <f t="shared" ca="1" si="35"/>
        <v>0.01</v>
      </c>
      <c r="B86" s="357">
        <f t="shared" ca="1" si="36"/>
        <v>0.82000000000000051</v>
      </c>
      <c r="C86" s="342"/>
      <c r="D86" s="359">
        <f t="shared" ca="1" si="37"/>
        <v>15.938319374637722</v>
      </c>
      <c r="E86" s="360">
        <f t="shared" ca="1" si="38"/>
        <v>71.002772777685863</v>
      </c>
      <c r="F86" s="357">
        <f t="shared" ca="1" si="39"/>
        <v>72.769662405480759</v>
      </c>
      <c r="G86" s="359">
        <f t="shared" ca="1" si="40"/>
        <v>12.06004208254798</v>
      </c>
      <c r="H86" s="360">
        <f t="shared" ca="1" si="41"/>
        <v>61.050470159608352</v>
      </c>
      <c r="I86" s="357">
        <f t="shared" ca="1" si="42"/>
        <v>62.230254071006797</v>
      </c>
      <c r="J86" s="359">
        <f t="shared" ca="1" si="43"/>
        <v>4.6728722661971211</v>
      </c>
      <c r="K86" s="360">
        <f t="shared" ca="1" si="44"/>
        <v>24.922259114477619</v>
      </c>
      <c r="L86" s="357">
        <f t="shared" ca="1" si="29"/>
        <v>25.356552103654728</v>
      </c>
      <c r="M86" s="359">
        <f t="shared" ca="1" si="45"/>
        <v>1.3757651824724328</v>
      </c>
      <c r="N86" s="357">
        <f t="shared" ca="1" si="46"/>
        <v>78.825538556715983</v>
      </c>
      <c r="O86" s="343"/>
      <c r="P86" s="363">
        <f t="shared" ca="1" si="47"/>
        <v>3</v>
      </c>
      <c r="Q86" s="357">
        <f t="shared" ca="1" si="48"/>
        <v>760.82999999999993</v>
      </c>
      <c r="R86" s="359">
        <f t="shared" ca="1" si="49"/>
        <v>0.3818251286211905</v>
      </c>
      <c r="S86" s="360">
        <f t="shared" ca="1" si="50"/>
        <v>9.0877321583583139</v>
      </c>
      <c r="T86" s="357">
        <f t="shared" ca="1" si="30"/>
        <v>89.150652473495057</v>
      </c>
      <c r="U86" s="364">
        <f t="shared" ca="1" si="31"/>
        <v>0</v>
      </c>
      <c r="V86" s="359">
        <f t="shared" ca="1" si="32"/>
        <v>1.2219508228775928</v>
      </c>
      <c r="W86" s="357">
        <f t="shared" ca="1" si="33"/>
        <v>12.569463694368681</v>
      </c>
      <c r="X86" s="343"/>
      <c r="Y86" s="367" t="str">
        <f t="shared" ca="1" si="51"/>
        <v/>
      </c>
      <c r="Z86" s="368" t="str">
        <f t="shared" ca="1" si="52"/>
        <v/>
      </c>
      <c r="AA86" s="369" t="str">
        <f t="shared" ca="1" si="53"/>
        <v/>
      </c>
      <c r="AB86" s="344"/>
      <c r="AC86" s="363" t="e">
        <f t="shared" ca="1" si="54"/>
        <v>#N/A</v>
      </c>
      <c r="AD86" s="376" t="e">
        <f t="shared" ca="1" si="55"/>
        <v>#N/A</v>
      </c>
      <c r="AE86" s="377">
        <f t="shared" ca="1" si="34"/>
        <v>24.922259114477619</v>
      </c>
      <c r="AF86" s="344"/>
      <c r="AG86" s="359">
        <f t="shared" ca="1" si="56"/>
        <v>72.744900517022188</v>
      </c>
      <c r="AH86" s="357">
        <f t="shared" ca="1" si="57"/>
        <v>82.369498411158474</v>
      </c>
    </row>
    <row r="87" spans="1:34" x14ac:dyDescent="0.2">
      <c r="A87" s="402">
        <f t="shared" ca="1" si="35"/>
        <v>0.01</v>
      </c>
      <c r="B87" s="357">
        <f t="shared" ca="1" si="36"/>
        <v>0.83000000000000052</v>
      </c>
      <c r="C87" s="342"/>
      <c r="D87" s="359">
        <f t="shared" ca="1" si="37"/>
        <v>15.938277292315577</v>
      </c>
      <c r="E87" s="360">
        <f t="shared" ca="1" si="38"/>
        <v>70.872912677241445</v>
      </c>
      <c r="F87" s="357">
        <f t="shared" ca="1" si="39"/>
        <v>72.642951718681104</v>
      </c>
      <c r="G87" s="359">
        <f t="shared" ca="1" si="40"/>
        <v>12.219424855471136</v>
      </c>
      <c r="H87" s="360">
        <f t="shared" ca="1" si="41"/>
        <v>61.759199286380763</v>
      </c>
      <c r="I87" s="357">
        <f t="shared" ca="1" si="42"/>
        <v>62.956437639795027</v>
      </c>
      <c r="J87" s="359">
        <f t="shared" ca="1" si="43"/>
        <v>4.7942696008872163</v>
      </c>
      <c r="K87" s="360">
        <f t="shared" ca="1" si="44"/>
        <v>25.536307461707565</v>
      </c>
      <c r="L87" s="357">
        <f t="shared" ca="1" si="29"/>
        <v>25.982455999863692</v>
      </c>
      <c r="M87" s="359">
        <f t="shared" ca="1" si="45"/>
        <v>1.3754632039071575</v>
      </c>
      <c r="N87" s="357">
        <f t="shared" ca="1" si="46"/>
        <v>78.808236459422289</v>
      </c>
      <c r="O87" s="343"/>
      <c r="P87" s="363">
        <f t="shared" ca="1" si="47"/>
        <v>3</v>
      </c>
      <c r="Q87" s="357">
        <f t="shared" ca="1" si="48"/>
        <v>759.65</v>
      </c>
      <c r="R87" s="359">
        <f t="shared" ca="1" si="49"/>
        <v>0.38123294159942084</v>
      </c>
      <c r="S87" s="360">
        <f t="shared" ca="1" si="50"/>
        <v>9.0839198289423191</v>
      </c>
      <c r="T87" s="357">
        <f t="shared" ca="1" si="30"/>
        <v>89.11325352192415</v>
      </c>
      <c r="U87" s="364">
        <f t="shared" ca="1" si="31"/>
        <v>0</v>
      </c>
      <c r="V87" s="359">
        <f t="shared" ca="1" si="32"/>
        <v>1.2218757913735436</v>
      </c>
      <c r="W87" s="357">
        <f t="shared" ca="1" si="33"/>
        <v>12.863739101090561</v>
      </c>
      <c r="X87" s="343"/>
      <c r="Y87" s="367" t="str">
        <f t="shared" ca="1" si="51"/>
        <v/>
      </c>
      <c r="Z87" s="368" t="str">
        <f t="shared" ca="1" si="52"/>
        <v/>
      </c>
      <c r="AA87" s="369" t="str">
        <f t="shared" ca="1" si="53"/>
        <v/>
      </c>
      <c r="AB87" s="344"/>
      <c r="AC87" s="363" t="e">
        <f t="shared" ca="1" si="54"/>
        <v>#N/A</v>
      </c>
      <c r="AD87" s="376" t="e">
        <f t="shared" ca="1" si="55"/>
        <v>#N/A</v>
      </c>
      <c r="AE87" s="377">
        <f t="shared" ca="1" si="34"/>
        <v>25.536307461707565</v>
      </c>
      <c r="AF87" s="344"/>
      <c r="AG87" s="359">
        <f t="shared" ca="1" si="56"/>
        <v>72.618069825630556</v>
      </c>
      <c r="AH87" s="357">
        <f t="shared" ca="1" si="57"/>
        <v>82.242088258568131</v>
      </c>
    </row>
    <row r="88" spans="1:34" x14ac:dyDescent="0.2">
      <c r="A88" s="402">
        <f t="shared" ca="1" si="35"/>
        <v>0.01</v>
      </c>
      <c r="B88" s="357">
        <f t="shared" ca="1" si="36"/>
        <v>0.84000000000000052</v>
      </c>
      <c r="C88" s="342"/>
      <c r="D88" s="359">
        <f t="shared" ca="1" si="37"/>
        <v>15.937819060509355</v>
      </c>
      <c r="E88" s="360">
        <f t="shared" ca="1" si="38"/>
        <v>70.742640995010575</v>
      </c>
      <c r="F88" s="357">
        <f t="shared" ca="1" si="39"/>
        <v>72.515759193119436</v>
      </c>
      <c r="G88" s="359">
        <f t="shared" ca="1" si="40"/>
        <v>12.378803046076229</v>
      </c>
      <c r="H88" s="360">
        <f t="shared" ca="1" si="41"/>
        <v>62.466625696330865</v>
      </c>
      <c r="I88" s="357">
        <f t="shared" ca="1" si="42"/>
        <v>63.681348060001447</v>
      </c>
      <c r="J88" s="359">
        <f t="shared" ca="1" si="43"/>
        <v>4.9172607403949531</v>
      </c>
      <c r="K88" s="360">
        <f t="shared" ca="1" si="44"/>
        <v>26.157436586621124</v>
      </c>
      <c r="L88" s="357">
        <f t="shared" ca="1" si="29"/>
        <v>26.615614626984193</v>
      </c>
      <c r="M88" s="359">
        <f t="shared" ca="1" si="45"/>
        <v>1.3751642065257634</v>
      </c>
      <c r="N88" s="357">
        <f t="shared" ca="1" si="46"/>
        <v>78.791105171382938</v>
      </c>
      <c r="O88" s="343"/>
      <c r="P88" s="363">
        <f t="shared" ca="1" si="47"/>
        <v>3</v>
      </c>
      <c r="Q88" s="357">
        <f t="shared" ca="1" si="48"/>
        <v>758.46999999999991</v>
      </c>
      <c r="R88" s="359">
        <f t="shared" ca="1" si="49"/>
        <v>0.38064075457765117</v>
      </c>
      <c r="S88" s="360">
        <f t="shared" ca="1" si="50"/>
        <v>9.0801134213965433</v>
      </c>
      <c r="T88" s="357">
        <f t="shared" ca="1" si="30"/>
        <v>89.075912663900098</v>
      </c>
      <c r="U88" s="364">
        <f t="shared" ca="1" si="31"/>
        <v>0</v>
      </c>
      <c r="V88" s="359">
        <f t="shared" ca="1" si="32"/>
        <v>1.2217998993396437</v>
      </c>
      <c r="W88" s="357">
        <f t="shared" ca="1" si="33"/>
        <v>13.160865572476364</v>
      </c>
      <c r="X88" s="343"/>
      <c r="Y88" s="367" t="str">
        <f t="shared" ca="1" si="51"/>
        <v/>
      </c>
      <c r="Z88" s="368" t="str">
        <f t="shared" ca="1" si="52"/>
        <v/>
      </c>
      <c r="AA88" s="369" t="str">
        <f t="shared" ca="1" si="53"/>
        <v/>
      </c>
      <c r="AB88" s="344"/>
      <c r="AC88" s="363" t="e">
        <f t="shared" ca="1" si="54"/>
        <v>#N/A</v>
      </c>
      <c r="AD88" s="376" t="e">
        <f t="shared" ca="1" si="55"/>
        <v>#N/A</v>
      </c>
      <c r="AE88" s="377">
        <f t="shared" ca="1" si="34"/>
        <v>26.157436586621124</v>
      </c>
      <c r="AF88" s="344"/>
      <c r="AG88" s="359">
        <f t="shared" ca="1" si="56"/>
        <v>72.490757366820347</v>
      </c>
      <c r="AH88" s="357">
        <f t="shared" ca="1" si="57"/>
        <v>82.114201254573459</v>
      </c>
    </row>
    <row r="89" spans="1:34" x14ac:dyDescent="0.2">
      <c r="A89" s="402">
        <f t="shared" ca="1" si="35"/>
        <v>0.01</v>
      </c>
      <c r="B89" s="357">
        <f t="shared" ca="1" si="36"/>
        <v>0.85000000000000053</v>
      </c>
      <c r="C89" s="342"/>
      <c r="D89" s="359">
        <f t="shared" ca="1" si="37"/>
        <v>15.936951541645536</v>
      </c>
      <c r="E89" s="360">
        <f t="shared" ca="1" si="38"/>
        <v>70.611958648747688</v>
      </c>
      <c r="F89" s="357">
        <f t="shared" ca="1" si="39"/>
        <v>72.38808692494375</v>
      </c>
      <c r="G89" s="359">
        <f t="shared" ca="1" si="40"/>
        <v>12.538172561492685</v>
      </c>
      <c r="H89" s="360">
        <f t="shared" ca="1" si="41"/>
        <v>63.17274528281834</v>
      </c>
      <c r="I89" s="357">
        <f t="shared" ca="1" si="42"/>
        <v>64.404980535278597</v>
      </c>
      <c r="J89" s="359">
        <f t="shared" ca="1" si="43"/>
        <v>5.0418456184327978</v>
      </c>
      <c r="K89" s="360">
        <f t="shared" ca="1" si="44"/>
        <v>26.785633441516868</v>
      </c>
      <c r="L89" s="357">
        <f t="shared" ca="1" si="29"/>
        <v>27.256015227898168</v>
      </c>
      <c r="M89" s="359">
        <f t="shared" ca="1" si="45"/>
        <v>1.3748681218263552</v>
      </c>
      <c r="N89" s="357">
        <f t="shared" ca="1" si="46"/>
        <v>78.774140767728454</v>
      </c>
      <c r="O89" s="343"/>
      <c r="P89" s="363">
        <f t="shared" ca="1" si="47"/>
        <v>3</v>
      </c>
      <c r="Q89" s="357">
        <f t="shared" ca="1" si="48"/>
        <v>757.29</v>
      </c>
      <c r="R89" s="359">
        <f t="shared" ca="1" si="49"/>
        <v>0.38004856755588157</v>
      </c>
      <c r="S89" s="360">
        <f t="shared" ca="1" si="50"/>
        <v>9.0763129357209849</v>
      </c>
      <c r="T89" s="357">
        <f t="shared" ca="1" si="30"/>
        <v>89.038629899422872</v>
      </c>
      <c r="U89" s="364">
        <f t="shared" ca="1" si="31"/>
        <v>0</v>
      </c>
      <c r="V89" s="359">
        <f t="shared" ca="1" si="32"/>
        <v>1.2217231485305298</v>
      </c>
      <c r="W89" s="357">
        <f t="shared" ca="1" si="33"/>
        <v>13.460821983729028</v>
      </c>
      <c r="X89" s="343"/>
      <c r="Y89" s="367" t="str">
        <f t="shared" ca="1" si="51"/>
        <v/>
      </c>
      <c r="Z89" s="368" t="str">
        <f t="shared" ca="1" si="52"/>
        <v/>
      </c>
      <c r="AA89" s="369" t="str">
        <f t="shared" ca="1" si="53"/>
        <v/>
      </c>
      <c r="AB89" s="344"/>
      <c r="AC89" s="363" t="e">
        <f t="shared" ca="1" si="54"/>
        <v>#N/A</v>
      </c>
      <c r="AD89" s="376" t="e">
        <f t="shared" ca="1" si="55"/>
        <v>#N/A</v>
      </c>
      <c r="AE89" s="377">
        <f t="shared" ca="1" si="34"/>
        <v>26.785633441516868</v>
      </c>
      <c r="AF89" s="344"/>
      <c r="AG89" s="359">
        <f t="shared" ca="1" si="56"/>
        <v>72.362965220885769</v>
      </c>
      <c r="AH89" s="357">
        <f t="shared" ca="1" si="57"/>
        <v>81.985839370842825</v>
      </c>
    </row>
    <row r="90" spans="1:34" x14ac:dyDescent="0.2">
      <c r="A90" s="402">
        <f t="shared" ca="1" si="35"/>
        <v>0.01</v>
      </c>
      <c r="B90" s="357">
        <f t="shared" ca="1" si="36"/>
        <v>0.86000000000000054</v>
      </c>
      <c r="C90" s="342"/>
      <c r="D90" s="359">
        <f t="shared" ca="1" si="37"/>
        <v>15.935681377296355</v>
      </c>
      <c r="E90" s="360">
        <f t="shared" ca="1" si="38"/>
        <v>70.480866601077096</v>
      </c>
      <c r="F90" s="357">
        <f t="shared" ca="1" si="39"/>
        <v>72.259937017669301</v>
      </c>
      <c r="G90" s="359">
        <f t="shared" ca="1" si="40"/>
        <v>12.697529375265649</v>
      </c>
      <c r="H90" s="360">
        <f t="shared" ca="1" si="41"/>
        <v>63.87755394882911</v>
      </c>
      <c r="I90" s="357">
        <f t="shared" ca="1" si="42"/>
        <v>65.127330290142467</v>
      </c>
      <c r="J90" s="359">
        <f t="shared" ca="1" si="43"/>
        <v>5.1680241281165893</v>
      </c>
      <c r="K90" s="360">
        <f t="shared" ca="1" si="44"/>
        <v>27.420884937675105</v>
      </c>
      <c r="L90" s="357">
        <f t="shared" ca="1" si="29"/>
        <v>27.903644997634498</v>
      </c>
      <c r="M90" s="359">
        <f t="shared" ca="1" si="45"/>
        <v>1.3745748836384255</v>
      </c>
      <c r="N90" s="357">
        <f t="shared" ca="1" si="46"/>
        <v>78.757339457168015</v>
      </c>
      <c r="O90" s="343"/>
      <c r="P90" s="363">
        <f t="shared" ca="1" si="47"/>
        <v>3</v>
      </c>
      <c r="Q90" s="357">
        <f t="shared" ca="1" si="48"/>
        <v>756.1099999999999</v>
      </c>
      <c r="R90" s="359">
        <f t="shared" ca="1" si="49"/>
        <v>0.37945638053411185</v>
      </c>
      <c r="S90" s="360">
        <f t="shared" ca="1" si="50"/>
        <v>9.0725183719156437</v>
      </c>
      <c r="T90" s="357">
        <f t="shared" ca="1" si="30"/>
        <v>89.001405228492473</v>
      </c>
      <c r="U90" s="364">
        <f t="shared" ca="1" si="31"/>
        <v>0</v>
      </c>
      <c r="V90" s="359">
        <f t="shared" ca="1" si="32"/>
        <v>1.2216455407072497</v>
      </c>
      <c r="W90" s="357">
        <f t="shared" ca="1" si="33"/>
        <v>13.763587155139042</v>
      </c>
      <c r="X90" s="343"/>
      <c r="Y90" s="367" t="str">
        <f t="shared" ca="1" si="51"/>
        <v/>
      </c>
      <c r="Z90" s="368" t="str">
        <f t="shared" ca="1" si="52"/>
        <v/>
      </c>
      <c r="AA90" s="369" t="str">
        <f t="shared" ca="1" si="53"/>
        <v/>
      </c>
      <c r="AB90" s="344"/>
      <c r="AC90" s="363" t="e">
        <f t="shared" ca="1" si="54"/>
        <v>#N/A</v>
      </c>
      <c r="AD90" s="376" t="e">
        <f t="shared" ca="1" si="55"/>
        <v>#N/A</v>
      </c>
      <c r="AE90" s="377">
        <f t="shared" ca="1" si="34"/>
        <v>27.420884937675105</v>
      </c>
      <c r="AF90" s="344"/>
      <c r="AG90" s="359">
        <f t="shared" ca="1" si="56"/>
        <v>72.234695475877217</v>
      </c>
      <c r="AH90" s="357">
        <f t="shared" ca="1" si="57"/>
        <v>81.857004590387177</v>
      </c>
    </row>
    <row r="91" spans="1:34" x14ac:dyDescent="0.2">
      <c r="A91" s="402">
        <f t="shared" ca="1" si="35"/>
        <v>0.01</v>
      </c>
      <c r="B91" s="357">
        <f t="shared" ca="1" si="36"/>
        <v>0.87000000000000055</v>
      </c>
      <c r="C91" s="342"/>
      <c r="D91" s="359">
        <f t="shared" ca="1" si="37"/>
        <v>15.934014998419872</v>
      </c>
      <c r="E91" s="360">
        <f t="shared" ca="1" si="38"/>
        <v>70.349365857873664</v>
      </c>
      <c r="F91" s="357">
        <f t="shared" ca="1" si="39"/>
        <v>72.131311582244436</v>
      </c>
      <c r="G91" s="359">
        <f t="shared" ca="1" si="40"/>
        <v>12.856869525249849</v>
      </c>
      <c r="H91" s="360">
        <f t="shared" ca="1" si="41"/>
        <v>64.581047607407854</v>
      </c>
      <c r="I91" s="357">
        <f t="shared" ca="1" si="42"/>
        <v>65.848392570051232</v>
      </c>
      <c r="J91" s="359">
        <f t="shared" ca="1" si="43"/>
        <v>5.2957961226191665</v>
      </c>
      <c r="K91" s="360">
        <f t="shared" ca="1" si="44"/>
        <v>28.063177945456289</v>
      </c>
      <c r="L91" s="357">
        <f t="shared" ca="1" si="29"/>
        <v>28.558491083576044</v>
      </c>
      <c r="M91" s="359">
        <f t="shared" ca="1" si="45"/>
        <v>1.3742844280170945</v>
      </c>
      <c r="N91" s="357">
        <f t="shared" ca="1" si="46"/>
        <v>78.7406975759299</v>
      </c>
      <c r="O91" s="343"/>
      <c r="P91" s="363">
        <f t="shared" ca="1" si="47"/>
        <v>3</v>
      </c>
      <c r="Q91" s="357">
        <f t="shared" ca="1" si="48"/>
        <v>754.93</v>
      </c>
      <c r="R91" s="359">
        <f t="shared" ca="1" si="49"/>
        <v>0.37886419351234224</v>
      </c>
      <c r="S91" s="360">
        <f t="shared" ca="1" si="50"/>
        <v>9.0687297299805198</v>
      </c>
      <c r="T91" s="357">
        <f t="shared" ca="1" si="30"/>
        <v>88.9642386511089</v>
      </c>
      <c r="U91" s="364">
        <f t="shared" ca="1" si="31"/>
        <v>0</v>
      </c>
      <c r="V91" s="359">
        <f t="shared" ca="1" si="32"/>
        <v>1.2215670776372387</v>
      </c>
      <c r="W91" s="357">
        <f t="shared" ca="1" si="33"/>
        <v>14.06913985320984</v>
      </c>
      <c r="X91" s="343"/>
      <c r="Y91" s="367" t="str">
        <f t="shared" ca="1" si="51"/>
        <v/>
      </c>
      <c r="Z91" s="368" t="str">
        <f t="shared" ca="1" si="52"/>
        <v/>
      </c>
      <c r="AA91" s="369" t="str">
        <f t="shared" ca="1" si="53"/>
        <v/>
      </c>
      <c r="AB91" s="344"/>
      <c r="AC91" s="363" t="e">
        <f t="shared" ca="1" si="54"/>
        <v>#N/A</v>
      </c>
      <c r="AD91" s="376" t="e">
        <f t="shared" ca="1" si="55"/>
        <v>#N/A</v>
      </c>
      <c r="AE91" s="377">
        <f t="shared" ca="1" si="34"/>
        <v>28.063177945456289</v>
      </c>
      <c r="AF91" s="344"/>
      <c r="AG91" s="359">
        <f t="shared" ca="1" si="56"/>
        <v>72.105950227647966</v>
      </c>
      <c r="AH91" s="357">
        <f t="shared" ca="1" si="57"/>
        <v>81.727698907446992</v>
      </c>
    </row>
    <row r="92" spans="1:34" x14ac:dyDescent="0.2">
      <c r="A92" s="402">
        <f t="shared" ca="1" si="35"/>
        <v>0.01</v>
      </c>
      <c r="B92" s="357">
        <f t="shared" ca="1" si="36"/>
        <v>0.88000000000000056</v>
      </c>
      <c r="C92" s="342"/>
      <c r="D92" s="359">
        <f t="shared" ca="1" si="37"/>
        <v>15.931958635015459</v>
      </c>
      <c r="E92" s="360">
        <f t="shared" ca="1" si="38"/>
        <v>70.217457466726628</v>
      </c>
      <c r="F92" s="357">
        <f t="shared" ca="1" si="39"/>
        <v>72.002212737105566</v>
      </c>
      <c r="G92" s="359">
        <f t="shared" ca="1" si="40"/>
        <v>13.016189111600003</v>
      </c>
      <c r="H92" s="360">
        <f t="shared" ca="1" si="41"/>
        <v>65.283222182075122</v>
      </c>
      <c r="I92" s="357">
        <f t="shared" ca="1" si="42"/>
        <v>66.568162641484392</v>
      </c>
      <c r="J92" s="359">
        <f t="shared" ca="1" si="43"/>
        <v>5.4251614158034158</v>
      </c>
      <c r="K92" s="360">
        <f t="shared" ca="1" si="44"/>
        <v>28.712499294403703</v>
      </c>
      <c r="L92" s="357">
        <f t="shared" ca="1" si="29"/>
        <v>29.220540585667734</v>
      </c>
      <c r="M92" s="359">
        <f t="shared" ca="1" si="45"/>
        <v>1.3739966931433103</v>
      </c>
      <c r="N92" s="357">
        <f t="shared" ca="1" si="46"/>
        <v>78.724211582043338</v>
      </c>
      <c r="O92" s="343"/>
      <c r="P92" s="363">
        <f t="shared" ca="1" si="47"/>
        <v>3</v>
      </c>
      <c r="Q92" s="357">
        <f t="shared" ca="1" si="48"/>
        <v>753.74999999999989</v>
      </c>
      <c r="R92" s="359">
        <f t="shared" ca="1" si="49"/>
        <v>0.37827200649057252</v>
      </c>
      <c r="S92" s="360">
        <f t="shared" ca="1" si="50"/>
        <v>9.0649470099156133</v>
      </c>
      <c r="T92" s="357">
        <f t="shared" ca="1" si="30"/>
        <v>88.927130167272168</v>
      </c>
      <c r="U92" s="364">
        <f t="shared" ca="1" si="31"/>
        <v>0</v>
      </c>
      <c r="V92" s="359">
        <f t="shared" ca="1" si="32"/>
        <v>1.2214877610942907</v>
      </c>
      <c r="W92" s="357">
        <f t="shared" ca="1" si="33"/>
        <v>14.37745879178418</v>
      </c>
      <c r="X92" s="343"/>
      <c r="Y92" s="367" t="str">
        <f t="shared" ca="1" si="51"/>
        <v/>
      </c>
      <c r="Z92" s="368" t="str">
        <f t="shared" ca="1" si="52"/>
        <v/>
      </c>
      <c r="AA92" s="369" t="str">
        <f t="shared" ca="1" si="53"/>
        <v/>
      </c>
      <c r="AB92" s="344"/>
      <c r="AC92" s="363" t="e">
        <f t="shared" ca="1" si="54"/>
        <v>#N/A</v>
      </c>
      <c r="AD92" s="376" t="e">
        <f t="shared" ca="1" si="55"/>
        <v>#N/A</v>
      </c>
      <c r="AE92" s="377">
        <f t="shared" ca="1" si="34"/>
        <v>28.712499294403703</v>
      </c>
      <c r="AF92" s="344"/>
      <c r="AG92" s="359">
        <f t="shared" ca="1" si="56"/>
        <v>71.976731579891222</v>
      </c>
      <c r="AH92" s="357">
        <f t="shared" ca="1" si="57"/>
        <v>81.597924327378479</v>
      </c>
    </row>
    <row r="93" spans="1:34" x14ac:dyDescent="0.2">
      <c r="A93" s="402">
        <f t="shared" ca="1" si="35"/>
        <v>0.01</v>
      </c>
      <c r="B93" s="357">
        <f t="shared" ca="1" si="36"/>
        <v>0.89000000000000057</v>
      </c>
      <c r="C93" s="342"/>
      <c r="D93" s="359">
        <f t="shared" ca="1" si="37"/>
        <v>15.929518325234769</v>
      </c>
      <c r="E93" s="360">
        <f t="shared" ca="1" si="38"/>
        <v>70.085142515481365</v>
      </c>
      <c r="F93" s="357">
        <f t="shared" ca="1" si="39"/>
        <v>71.872642608222804</v>
      </c>
      <c r="G93" s="359">
        <f t="shared" ca="1" si="40"/>
        <v>13.17548429485235</v>
      </c>
      <c r="H93" s="360">
        <f t="shared" ca="1" si="41"/>
        <v>65.984073607229931</v>
      </c>
      <c r="I93" s="357">
        <f t="shared" ca="1" si="42"/>
        <v>67.286635792022167</v>
      </c>
      <c r="J93" s="359">
        <f t="shared" ca="1" si="43"/>
        <v>5.5561197828356779</v>
      </c>
      <c r="K93" s="360">
        <f t="shared" ca="1" si="44"/>
        <v>29.368835773350227</v>
      </c>
      <c r="L93" s="357">
        <f t="shared" ca="1" si="29"/>
        <v>29.889780556625606</v>
      </c>
      <c r="M93" s="359">
        <f t="shared" ca="1" si="45"/>
        <v>1.373711619229613</v>
      </c>
      <c r="N93" s="357">
        <f t="shared" ca="1" si="46"/>
        <v>78.707878049939211</v>
      </c>
      <c r="O93" s="343"/>
      <c r="P93" s="363">
        <f t="shared" ca="1" si="47"/>
        <v>3</v>
      </c>
      <c r="Q93" s="357">
        <f t="shared" ca="1" si="48"/>
        <v>752.56999999999994</v>
      </c>
      <c r="R93" s="359">
        <f t="shared" ca="1" si="49"/>
        <v>0.37767981946880291</v>
      </c>
      <c r="S93" s="360">
        <f t="shared" ca="1" si="50"/>
        <v>9.0611702117209258</v>
      </c>
      <c r="T93" s="357">
        <f t="shared" ca="1" si="30"/>
        <v>88.89007977698229</v>
      </c>
      <c r="U93" s="364">
        <f t="shared" ca="1" si="31"/>
        <v>0</v>
      </c>
      <c r="V93" s="359">
        <f t="shared" ca="1" si="32"/>
        <v>1.2214075928585328</v>
      </c>
      <c r="W93" s="357">
        <f t="shared" ca="1" si="33"/>
        <v>14.688522633171445</v>
      </c>
      <c r="X93" s="343"/>
      <c r="Y93" s="367" t="str">
        <f t="shared" ca="1" si="51"/>
        <v/>
      </c>
      <c r="Z93" s="368" t="str">
        <f t="shared" ca="1" si="52"/>
        <v/>
      </c>
      <c r="AA93" s="369" t="str">
        <f t="shared" ca="1" si="53"/>
        <v/>
      </c>
      <c r="AB93" s="344"/>
      <c r="AC93" s="363" t="e">
        <f t="shared" ca="1" si="54"/>
        <v>#N/A</v>
      </c>
      <c r="AD93" s="376" t="e">
        <f t="shared" ca="1" si="55"/>
        <v>#N/A</v>
      </c>
      <c r="AE93" s="377">
        <f t="shared" ca="1" si="34"/>
        <v>29.368835773350227</v>
      </c>
      <c r="AF93" s="344"/>
      <c r="AG93" s="359">
        <f t="shared" ca="1" si="56"/>
        <v>71.847041644168669</v>
      </c>
      <c r="AH93" s="357">
        <f t="shared" ca="1" si="57"/>
        <v>81.46768286653959</v>
      </c>
    </row>
    <row r="94" spans="1:34" x14ac:dyDescent="0.2">
      <c r="A94" s="402">
        <f t="shared" ca="1" si="35"/>
        <v>0.01</v>
      </c>
      <c r="B94" s="357">
        <f t="shared" ca="1" si="36"/>
        <v>0.90000000000000058</v>
      </c>
      <c r="C94" s="342"/>
      <c r="D94" s="359">
        <f t="shared" ca="1" si="37"/>
        <v>15.926699923984293</v>
      </c>
      <c r="E94" s="360">
        <f t="shared" ca="1" si="38"/>
        <v>69.952422130853378</v>
      </c>
      <c r="F94" s="357">
        <f t="shared" ca="1" si="39"/>
        <v>71.742603329135932</v>
      </c>
      <c r="G94" s="359">
        <f t="shared" ca="1" si="40"/>
        <v>13.334751294092193</v>
      </c>
      <c r="H94" s="360">
        <f t="shared" ca="1" si="41"/>
        <v>66.683597828538467</v>
      </c>
      <c r="I94" s="357">
        <f t="shared" ca="1" si="42"/>
        <v>68.00380733042492</v>
      </c>
      <c r="J94" s="359">
        <f t="shared" ca="1" si="43"/>
        <v>5.6886709607804002</v>
      </c>
      <c r="K94" s="360">
        <f t="shared" ca="1" si="44"/>
        <v>30.032174130529068</v>
      </c>
      <c r="L94" s="357">
        <f t="shared" ca="1" si="29"/>
        <v>30.566198002146841</v>
      </c>
      <c r="M94" s="359">
        <f t="shared" ca="1" si="45"/>
        <v>1.3734291484310928</v>
      </c>
      <c r="N94" s="357">
        <f t="shared" ca="1" si="46"/>
        <v>78.691693665348311</v>
      </c>
      <c r="O94" s="343"/>
      <c r="P94" s="363">
        <f t="shared" ca="1" si="47"/>
        <v>3</v>
      </c>
      <c r="Q94" s="357">
        <f t="shared" ca="1" si="48"/>
        <v>751.38999999999987</v>
      </c>
      <c r="R94" s="359">
        <f t="shared" ca="1" si="49"/>
        <v>0.37708763244703325</v>
      </c>
      <c r="S94" s="360">
        <f t="shared" ca="1" si="50"/>
        <v>9.0573993353964557</v>
      </c>
      <c r="T94" s="357">
        <f t="shared" ca="1" si="30"/>
        <v>88.853087480239239</v>
      </c>
      <c r="U94" s="364">
        <f t="shared" ca="1" si="31"/>
        <v>0</v>
      </c>
      <c r="V94" s="359">
        <f t="shared" ca="1" si="32"/>
        <v>1.2213265747163986</v>
      </c>
      <c r="W94" s="357">
        <f t="shared" ca="1" si="33"/>
        <v>15.002309989275721</v>
      </c>
      <c r="X94" s="343"/>
      <c r="Y94" s="367" t="str">
        <f t="shared" ca="1" si="51"/>
        <v/>
      </c>
      <c r="Z94" s="368" t="str">
        <f t="shared" ca="1" si="52"/>
        <v/>
      </c>
      <c r="AA94" s="369" t="str">
        <f t="shared" ca="1" si="53"/>
        <v/>
      </c>
      <c r="AB94" s="344"/>
      <c r="AC94" s="363" t="e">
        <f t="shared" ca="1" si="54"/>
        <v>#N/A</v>
      </c>
      <c r="AD94" s="376" t="e">
        <f t="shared" ca="1" si="55"/>
        <v>#N/A</v>
      </c>
      <c r="AE94" s="377">
        <f t="shared" ca="1" si="34"/>
        <v>30.032174130529068</v>
      </c>
      <c r="AF94" s="344"/>
      <c r="AG94" s="359">
        <f t="shared" ca="1" si="56"/>
        <v>71.71688253993041</v>
      </c>
      <c r="AH94" s="357">
        <f t="shared" ca="1" si="57"/>
        <v>81.336976552175159</v>
      </c>
    </row>
    <row r="95" spans="1:34" x14ac:dyDescent="0.2">
      <c r="A95" s="402">
        <f t="shared" ca="1" si="35"/>
        <v>0.01</v>
      </c>
      <c r="B95" s="357">
        <f t="shared" ca="1" si="36"/>
        <v>0.91000000000000059</v>
      </c>
      <c r="C95" s="342"/>
      <c r="D95" s="359">
        <f t="shared" ca="1" si="37"/>
        <v>15.923509111053416</v>
      </c>
      <c r="E95" s="360">
        <f t="shared" ca="1" si="38"/>
        <v>69.819297477110666</v>
      </c>
      <c r="F95" s="357">
        <f t="shared" ca="1" si="39"/>
        <v>71.612097040982349</v>
      </c>
      <c r="G95" s="359">
        <f t="shared" ca="1" si="40"/>
        <v>13.493986385202728</v>
      </c>
      <c r="H95" s="360">
        <f t="shared" ca="1" si="41"/>
        <v>67.38179080330957</v>
      </c>
      <c r="I95" s="357">
        <f t="shared" ca="1" si="42"/>
        <v>68.719672586712832</v>
      </c>
      <c r="J95" s="359">
        <f t="shared" ca="1" si="43"/>
        <v>5.8228146491768751</v>
      </c>
      <c r="K95" s="360">
        <f t="shared" ca="1" si="44"/>
        <v>30.702501073688307</v>
      </c>
      <c r="L95" s="357">
        <f t="shared" ca="1" si="29"/>
        <v>31.249779881120769</v>
      </c>
      <c r="M95" s="359">
        <f t="shared" ca="1" si="45"/>
        <v>1.3731492247611974</v>
      </c>
      <c r="N95" s="357">
        <f t="shared" ca="1" si="46"/>
        <v>78.675655220477481</v>
      </c>
      <c r="O95" s="343"/>
      <c r="P95" s="363">
        <f t="shared" ca="1" si="47"/>
        <v>3</v>
      </c>
      <c r="Q95" s="357">
        <f t="shared" ca="1" si="48"/>
        <v>750.20999999999992</v>
      </c>
      <c r="R95" s="359">
        <f t="shared" ca="1" si="49"/>
        <v>0.37649544542526359</v>
      </c>
      <c r="S95" s="360">
        <f t="shared" ca="1" si="50"/>
        <v>9.0536343809422029</v>
      </c>
      <c r="T95" s="357">
        <f t="shared" ca="1" si="30"/>
        <v>88.816153277043014</v>
      </c>
      <c r="U95" s="364">
        <f t="shared" ca="1" si="31"/>
        <v>0</v>
      </c>
      <c r="V95" s="359">
        <f t="shared" ca="1" si="32"/>
        <v>1.2212447084605995</v>
      </c>
      <c r="W95" s="357">
        <f t="shared" ca="1" si="33"/>
        <v>15.318799422724615</v>
      </c>
      <c r="X95" s="343"/>
      <c r="Y95" s="367" t="str">
        <f t="shared" ca="1" si="51"/>
        <v/>
      </c>
      <c r="Z95" s="368" t="str">
        <f t="shared" ca="1" si="52"/>
        <v/>
      </c>
      <c r="AA95" s="369" t="str">
        <f t="shared" ca="1" si="53"/>
        <v/>
      </c>
      <c r="AB95" s="344"/>
      <c r="AC95" s="363" t="e">
        <f t="shared" ca="1" si="54"/>
        <v>#N/A</v>
      </c>
      <c r="AD95" s="376" t="e">
        <f t="shared" ca="1" si="55"/>
        <v>#N/A</v>
      </c>
      <c r="AE95" s="377">
        <f t="shared" ca="1" si="34"/>
        <v>30.702501073688307</v>
      </c>
      <c r="AF95" s="344"/>
      <c r="AG95" s="359">
        <f t="shared" ca="1" si="56"/>
        <v>71.586256394527496</v>
      </c>
      <c r="AH95" s="357">
        <f t="shared" ca="1" si="57"/>
        <v>81.205807422301916</v>
      </c>
    </row>
    <row r="96" spans="1:34" x14ac:dyDescent="0.2">
      <c r="A96" s="402">
        <f t="shared" ca="1" si="35"/>
        <v>0.01</v>
      </c>
      <c r="B96" s="357">
        <f t="shared" ca="1" si="36"/>
        <v>0.9200000000000006</v>
      </c>
      <c r="C96" s="342"/>
      <c r="D96" s="359">
        <f t="shared" ca="1" si="37"/>
        <v>15.91995139879913</v>
      </c>
      <c r="E96" s="360">
        <f t="shared" ca="1" si="38"/>
        <v>69.685769754819006</v>
      </c>
      <c r="F96" s="357">
        <f t="shared" ca="1" si="39"/>
        <v>71.481125892516374</v>
      </c>
      <c r="G96" s="359">
        <f t="shared" ca="1" si="40"/>
        <v>13.653185899190719</v>
      </c>
      <c r="H96" s="360">
        <f t="shared" ca="1" si="41"/>
        <v>68.078648500857767</v>
      </c>
      <c r="I96" s="357">
        <f t="shared" ca="1" si="42"/>
        <v>69.434226912245549</v>
      </c>
      <c r="J96" s="359">
        <f t="shared" ca="1" si="43"/>
        <v>5.9585505105988421</v>
      </c>
      <c r="K96" s="360">
        <f t="shared" ca="1" si="44"/>
        <v>31.379803270209145</v>
      </c>
      <c r="L96" s="357">
        <f t="shared" ca="1" si="29"/>
        <v>31.940513105840775</v>
      </c>
      <c r="M96" s="359">
        <f t="shared" ca="1" si="45"/>
        <v>1.3728717940120803</v>
      </c>
      <c r="N96" s="357">
        <f t="shared" ca="1" si="46"/>
        <v>78.659759609445928</v>
      </c>
      <c r="O96" s="343"/>
      <c r="P96" s="363">
        <f t="shared" ca="1" si="47"/>
        <v>3</v>
      </c>
      <c r="Q96" s="357">
        <f t="shared" ca="1" si="48"/>
        <v>749.03</v>
      </c>
      <c r="R96" s="359">
        <f t="shared" ca="1" si="49"/>
        <v>0.37590325840349398</v>
      </c>
      <c r="S96" s="360">
        <f t="shared" ca="1" si="50"/>
        <v>9.0498753483581673</v>
      </c>
      <c r="T96" s="357">
        <f t="shared" ca="1" si="30"/>
        <v>88.77927716739363</v>
      </c>
      <c r="U96" s="364">
        <f t="shared" ca="1" si="31"/>
        <v>0</v>
      </c>
      <c r="V96" s="359">
        <f t="shared" ca="1" si="32"/>
        <v>1.2211619958900952</v>
      </c>
      <c r="W96" s="357">
        <f t="shared" ca="1" si="33"/>
        <v>15.637969447998717</v>
      </c>
      <c r="X96" s="343"/>
      <c r="Y96" s="367" t="str">
        <f t="shared" ca="1" si="51"/>
        <v/>
      </c>
      <c r="Z96" s="368" t="str">
        <f t="shared" ca="1" si="52"/>
        <v/>
      </c>
      <c r="AA96" s="369" t="str">
        <f t="shared" ca="1" si="53"/>
        <v/>
      </c>
      <c r="AB96" s="344"/>
      <c r="AC96" s="363" t="e">
        <f t="shared" ca="1" si="54"/>
        <v>#N/A</v>
      </c>
      <c r="AD96" s="376" t="e">
        <f t="shared" ca="1" si="55"/>
        <v>#N/A</v>
      </c>
      <c r="AE96" s="377">
        <f t="shared" ca="1" si="34"/>
        <v>31.379803270209145</v>
      </c>
      <c r="AF96" s="344"/>
      <c r="AG96" s="359">
        <f t="shared" ca="1" si="56"/>
        <v>71.455165343216919</v>
      </c>
      <c r="AH96" s="357">
        <f t="shared" ca="1" si="57"/>
        <v>81.074177525592717</v>
      </c>
    </row>
    <row r="97" spans="1:34" x14ac:dyDescent="0.2">
      <c r="A97" s="402">
        <f t="shared" ca="1" si="35"/>
        <v>0.01</v>
      </c>
      <c r="B97" s="357">
        <f t="shared" ca="1" si="36"/>
        <v>0.9300000000000006</v>
      </c>
      <c r="C97" s="342"/>
      <c r="D97" s="359">
        <f t="shared" ca="1" si="37"/>
        <v>15.916032139415881</v>
      </c>
      <c r="E97" s="360">
        <f t="shared" ca="1" si="38"/>
        <v>69.551840199647117</v>
      </c>
      <c r="F97" s="357">
        <f t="shared" ca="1" si="39"/>
        <v>71.349692040121425</v>
      </c>
      <c r="G97" s="359">
        <f t="shared" ca="1" si="40"/>
        <v>13.812346220584878</v>
      </c>
      <c r="H97" s="360">
        <f t="shared" ca="1" si="41"/>
        <v>68.774166902854233</v>
      </c>
      <c r="I97" s="357">
        <f t="shared" ca="1" si="42"/>
        <v>70.147465679801684</v>
      </c>
      <c r="J97" s="359">
        <f t="shared" ca="1" si="43"/>
        <v>6.0958781711977199</v>
      </c>
      <c r="K97" s="360">
        <f t="shared" ca="1" si="44"/>
        <v>32.064067347227706</v>
      </c>
      <c r="L97" s="357">
        <f t="shared" ca="1" si="29"/>
        <v>32.638384542217139</v>
      </c>
      <c r="M97" s="359">
        <f t="shared" ca="1" si="45"/>
        <v>1.3725968036791922</v>
      </c>
      <c r="N97" s="357">
        <f t="shared" ca="1" si="46"/>
        <v>78.644003823964539</v>
      </c>
      <c r="O97" s="343"/>
      <c r="P97" s="363">
        <f t="shared" ca="1" si="47"/>
        <v>3</v>
      </c>
      <c r="Q97" s="357">
        <f t="shared" ca="1" si="48"/>
        <v>747.84999999999991</v>
      </c>
      <c r="R97" s="359">
        <f t="shared" ca="1" si="49"/>
        <v>0.37531107138172431</v>
      </c>
      <c r="S97" s="360">
        <f t="shared" ca="1" si="50"/>
        <v>9.0461222376443509</v>
      </c>
      <c r="T97" s="357">
        <f t="shared" ca="1" si="30"/>
        <v>88.742459151291087</v>
      </c>
      <c r="U97" s="364">
        <f t="shared" ca="1" si="31"/>
        <v>0</v>
      </c>
      <c r="V97" s="359">
        <f t="shared" ca="1" si="32"/>
        <v>1.2210784388100699</v>
      </c>
      <c r="W97" s="357">
        <f t="shared" ca="1" si="33"/>
        <v>15.959798532561621</v>
      </c>
      <c r="X97" s="343"/>
      <c r="Y97" s="367" t="str">
        <f t="shared" ca="1" si="51"/>
        <v/>
      </c>
      <c r="Z97" s="368" t="str">
        <f t="shared" ca="1" si="52"/>
        <v/>
      </c>
      <c r="AA97" s="369" t="str">
        <f t="shared" ca="1" si="53"/>
        <v/>
      </c>
      <c r="AB97" s="344"/>
      <c r="AC97" s="363" t="e">
        <f t="shared" ca="1" si="54"/>
        <v>#N/A</v>
      </c>
      <c r="AD97" s="376" t="e">
        <f t="shared" ca="1" si="55"/>
        <v>#N/A</v>
      </c>
      <c r="AE97" s="377">
        <f t="shared" ca="1" si="34"/>
        <v>32.064067347227706</v>
      </c>
      <c r="AF97" s="344"/>
      <c r="AG97" s="359">
        <f t="shared" ca="1" si="56"/>
        <v>71.323611529159948</v>
      </c>
      <c r="AH97" s="357">
        <f t="shared" ca="1" si="57"/>
        <v>80.94208892126052</v>
      </c>
    </row>
    <row r="98" spans="1:34" x14ac:dyDescent="0.2">
      <c r="A98" s="402">
        <f t="shared" ca="1" si="35"/>
        <v>0.01</v>
      </c>
      <c r="B98" s="357">
        <f t="shared" ca="1" si="36"/>
        <v>0.94000000000000061</v>
      </c>
      <c r="C98" s="342"/>
      <c r="D98" s="359">
        <f t="shared" ca="1" si="37"/>
        <v>15.911756531817394</v>
      </c>
      <c r="E98" s="360">
        <f t="shared" ca="1" si="38"/>
        <v>69.41751008122732</v>
      </c>
      <c r="F98" s="357">
        <f t="shared" ca="1" si="39"/>
        <v>71.217797647815033</v>
      </c>
      <c r="G98" s="359">
        <f t="shared" ca="1" si="40"/>
        <v>13.971463785903053</v>
      </c>
      <c r="H98" s="360">
        <f t="shared" ca="1" si="41"/>
        <v>69.468342003666507</v>
      </c>
      <c r="I98" s="357">
        <f t="shared" ca="1" si="42"/>
        <v>70.859384283658414</v>
      </c>
      <c r="J98" s="359">
        <f t="shared" ca="1" si="43"/>
        <v>6.2347972212301599</v>
      </c>
      <c r="K98" s="360">
        <f t="shared" ca="1" si="44"/>
        <v>32.75527989176031</v>
      </c>
      <c r="L98" s="357">
        <f t="shared" ca="1" si="29"/>
        <v>33.343381009990821</v>
      </c>
      <c r="M98" s="359">
        <f t="shared" ca="1" si="45"/>
        <v>1.3723242028898508</v>
      </c>
      <c r="N98" s="357">
        <f t="shared" ca="1" si="46"/>
        <v>78.62838494924334</v>
      </c>
      <c r="O98" s="343"/>
      <c r="P98" s="363">
        <f t="shared" ca="1" si="47"/>
        <v>3</v>
      </c>
      <c r="Q98" s="357">
        <f t="shared" ca="1" si="48"/>
        <v>746.67</v>
      </c>
      <c r="R98" s="359">
        <f t="shared" ca="1" si="49"/>
        <v>0.37471888435995465</v>
      </c>
      <c r="S98" s="360">
        <f t="shared" ca="1" si="50"/>
        <v>9.0423750488007517</v>
      </c>
      <c r="T98" s="357">
        <f t="shared" ca="1" si="30"/>
        <v>88.705699228735384</v>
      </c>
      <c r="U98" s="364">
        <f t="shared" ca="1" si="31"/>
        <v>0</v>
      </c>
      <c r="V98" s="359">
        <f t="shared" ca="1" si="32"/>
        <v>1.2209940390318967</v>
      </c>
      <c r="W98" s="357">
        <f t="shared" ca="1" si="33"/>
        <v>16.284265097990367</v>
      </c>
      <c r="X98" s="343"/>
      <c r="Y98" s="367" t="str">
        <f t="shared" ca="1" si="51"/>
        <v/>
      </c>
      <c r="Z98" s="368" t="str">
        <f t="shared" ca="1" si="52"/>
        <v/>
      </c>
      <c r="AA98" s="369" t="str">
        <f t="shared" ca="1" si="53"/>
        <v/>
      </c>
      <c r="AB98" s="344"/>
      <c r="AC98" s="363" t="e">
        <f t="shared" ca="1" si="54"/>
        <v>#N/A</v>
      </c>
      <c r="AD98" s="376" t="e">
        <f t="shared" ca="1" si="55"/>
        <v>#N/A</v>
      </c>
      <c r="AE98" s="377">
        <f t="shared" ca="1" si="34"/>
        <v>32.75527989176031</v>
      </c>
      <c r="AF98" s="344"/>
      <c r="AG98" s="359">
        <f t="shared" ca="1" si="56"/>
        <v>71.191597103414082</v>
      </c>
      <c r="AH98" s="357">
        <f t="shared" ca="1" si="57"/>
        <v>80.80954367894185</v>
      </c>
    </row>
    <row r="99" spans="1:34" x14ac:dyDescent="0.2">
      <c r="A99" s="402">
        <f t="shared" ca="1" si="35"/>
        <v>0.01</v>
      </c>
      <c r="B99" s="357">
        <f t="shared" ca="1" si="36"/>
        <v>0.95000000000000062</v>
      </c>
      <c r="C99" s="342"/>
      <c r="D99" s="359">
        <f t="shared" ca="1" si="37"/>
        <v>15.907129628154896</v>
      </c>
      <c r="E99" s="360">
        <f t="shared" ca="1" si="38"/>
        <v>69.282780702068436</v>
      </c>
      <c r="F99" s="357">
        <f t="shared" ca="1" si="39"/>
        <v>71.085444887246993</v>
      </c>
      <c r="G99" s="359">
        <f t="shared" ca="1" si="40"/>
        <v>14.130535082184602</v>
      </c>
      <c r="H99" s="360">
        <f t="shared" ca="1" si="41"/>
        <v>70.161169810687198</v>
      </c>
      <c r="I99" s="357">
        <f t="shared" ca="1" si="42"/>
        <v>71.569978139670653</v>
      </c>
      <c r="J99" s="359">
        <f t="shared" ca="1" si="43"/>
        <v>6.3753072155705981</v>
      </c>
      <c r="K99" s="360">
        <f t="shared" ca="1" si="44"/>
        <v>33.453427450832081</v>
      </c>
      <c r="L99" s="357">
        <f t="shared" ca="1" si="29"/>
        <v>34.055489282948088</v>
      </c>
      <c r="M99" s="359">
        <f t="shared" ca="1" si="45"/>
        <v>1.3720539423355342</v>
      </c>
      <c r="N99" s="357">
        <f t="shared" ca="1" si="46"/>
        <v>78.612900160112133</v>
      </c>
      <c r="O99" s="343"/>
      <c r="P99" s="363">
        <f t="shared" ca="1" si="47"/>
        <v>3</v>
      </c>
      <c r="Q99" s="357">
        <f t="shared" ca="1" si="48"/>
        <v>745.4899999999999</v>
      </c>
      <c r="R99" s="359">
        <f t="shared" ca="1" si="49"/>
        <v>0.37412669733818499</v>
      </c>
      <c r="S99" s="360">
        <f t="shared" ca="1" si="50"/>
        <v>9.0386337818273699</v>
      </c>
      <c r="T99" s="357">
        <f t="shared" ca="1" si="30"/>
        <v>88.668997399726507</v>
      </c>
      <c r="U99" s="364">
        <f t="shared" ca="1" si="31"/>
        <v>0</v>
      </c>
      <c r="V99" s="359">
        <f t="shared" ca="1" si="32"/>
        <v>1.2209087983731135</v>
      </c>
      <c r="W99" s="357">
        <f t="shared" ca="1" si="33"/>
        <v>16.611347521106296</v>
      </c>
      <c r="X99" s="343"/>
      <c r="Y99" s="367" t="str">
        <f t="shared" ca="1" si="51"/>
        <v/>
      </c>
      <c r="Z99" s="368" t="str">
        <f t="shared" ca="1" si="52"/>
        <v/>
      </c>
      <c r="AA99" s="369" t="str">
        <f t="shared" ca="1" si="53"/>
        <v/>
      </c>
      <c r="AB99" s="344"/>
      <c r="AC99" s="363" t="e">
        <f t="shared" ca="1" si="54"/>
        <v>#N/A</v>
      </c>
      <c r="AD99" s="376" t="e">
        <f t="shared" ca="1" si="55"/>
        <v>#N/A</v>
      </c>
      <c r="AE99" s="377">
        <f t="shared" ca="1" si="34"/>
        <v>33.453427450832081</v>
      </c>
      <c r="AF99" s="344"/>
      <c r="AG99" s="359">
        <f t="shared" ca="1" si="56"/>
        <v>71.059124224918875</v>
      </c>
      <c r="AH99" s="357">
        <f t="shared" ca="1" si="57"/>
        <v>80.676543878579807</v>
      </c>
    </row>
    <row r="100" spans="1:34" x14ac:dyDescent="0.2">
      <c r="A100" s="402">
        <f t="shared" ca="1" si="35"/>
        <v>0.01</v>
      </c>
      <c r="B100" s="357">
        <f t="shared" ca="1" si="36"/>
        <v>0.96000000000000063</v>
      </c>
      <c r="C100" s="342"/>
      <c r="D100" s="359">
        <f t="shared" ca="1" si="37"/>
        <v>15.902156339994697</v>
      </c>
      <c r="E100" s="360">
        <f t="shared" ca="1" si="38"/>
        <v>69.147653396517612</v>
      </c>
      <c r="F100" s="357">
        <f t="shared" ca="1" si="39"/>
        <v>70.952635937691326</v>
      </c>
      <c r="G100" s="359">
        <f t="shared" ca="1" si="40"/>
        <v>14.289556645584549</v>
      </c>
      <c r="H100" s="360">
        <f t="shared" ca="1" si="41"/>
        <v>70.852646344652371</v>
      </c>
      <c r="I100" s="357">
        <f t="shared" ca="1" si="42"/>
        <v>72.279242685350198</v>
      </c>
      <c r="J100" s="359">
        <f t="shared" ca="1" si="43"/>
        <v>6.5174076742094442</v>
      </c>
      <c r="K100" s="360">
        <f t="shared" ca="1" si="44"/>
        <v>34.158496531608776</v>
      </c>
      <c r="L100" s="357">
        <f t="shared" ca="1" si="29"/>
        <v>34.774696089136036</v>
      </c>
      <c r="M100" s="359">
        <f t="shared" ca="1" si="45"/>
        <v>1.3717859742076712</v>
      </c>
      <c r="N100" s="357">
        <f t="shared" ca="1" si="46"/>
        <v>78.597546717341572</v>
      </c>
      <c r="O100" s="343"/>
      <c r="P100" s="363">
        <f t="shared" ca="1" si="47"/>
        <v>3</v>
      </c>
      <c r="Q100" s="357">
        <f t="shared" ca="1" si="48"/>
        <v>744.31</v>
      </c>
      <c r="R100" s="359">
        <f t="shared" ca="1" si="49"/>
        <v>0.37353451031641538</v>
      </c>
      <c r="S100" s="360">
        <f t="shared" ca="1" si="50"/>
        <v>9.0348984367242053</v>
      </c>
      <c r="T100" s="357">
        <f t="shared" ca="1" si="30"/>
        <v>88.632353664264457</v>
      </c>
      <c r="U100" s="364">
        <f t="shared" ca="1" si="31"/>
        <v>0</v>
      </c>
      <c r="V100" s="359">
        <f t="shared" ca="1" si="32"/>
        <v>1.2208227186573906</v>
      </c>
      <c r="W100" s="357">
        <f t="shared" ca="1" si="33"/>
        <v>16.941024135106129</v>
      </c>
      <c r="X100" s="343"/>
      <c r="Y100" s="367" t="str">
        <f t="shared" ca="1" si="51"/>
        <v/>
      </c>
      <c r="Z100" s="368" t="str">
        <f t="shared" ca="1" si="52"/>
        <v/>
      </c>
      <c r="AA100" s="369" t="str">
        <f t="shared" ca="1" si="53"/>
        <v/>
      </c>
      <c r="AB100" s="344"/>
      <c r="AC100" s="363" t="e">
        <f t="shared" ca="1" si="54"/>
        <v>#N/A</v>
      </c>
      <c r="AD100" s="376" t="e">
        <f t="shared" ca="1" si="55"/>
        <v>#N/A</v>
      </c>
      <c r="AE100" s="377">
        <f t="shared" ca="1" si="34"/>
        <v>34.158496531608776</v>
      </c>
      <c r="AF100" s="344"/>
      <c r="AG100" s="359">
        <f t="shared" ca="1" si="56"/>
        <v>70.926195060476147</v>
      </c>
      <c r="AH100" s="357">
        <f t="shared" ca="1" si="57"/>
        <v>80.543091610306618</v>
      </c>
    </row>
    <row r="101" spans="1:34" x14ac:dyDescent="0.2">
      <c r="A101" s="402">
        <f t="shared" ca="1" si="35"/>
        <v>0.01</v>
      </c>
      <c r="B101" s="357">
        <f t="shared" ca="1" si="36"/>
        <v>0.97000000000000064</v>
      </c>
      <c r="C101" s="342"/>
      <c r="D101" s="359">
        <f t="shared" ca="1" si="37"/>
        <v>15.896841444176149</v>
      </c>
      <c r="E101" s="360">
        <f t="shared" ca="1" si="38"/>
        <v>69.012129529768202</v>
      </c>
      <c r="F101" s="357">
        <f t="shared" ca="1" si="39"/>
        <v>70.819372986032434</v>
      </c>
      <c r="G101" s="359">
        <f t="shared" ca="1" si="40"/>
        <v>14.448525060026309</v>
      </c>
      <c r="H101" s="360">
        <f t="shared" ca="1" si="41"/>
        <v>71.542767639950057</v>
      </c>
      <c r="I101" s="357">
        <f t="shared" ca="1" si="42"/>
        <v>72.987173379944593</v>
      </c>
      <c r="J101" s="359">
        <f t="shared" ca="1" si="43"/>
        <v>6.6610980827374986</v>
      </c>
      <c r="K101" s="360">
        <f t="shared" ca="1" si="44"/>
        <v>34.870473601531785</v>
      </c>
      <c r="L101" s="357">
        <f t="shared" ca="1" si="29"/>
        <v>35.500988111079025</v>
      </c>
      <c r="M101" s="359">
        <f t="shared" ca="1" si="45"/>
        <v>1.3715202521367102</v>
      </c>
      <c r="N101" s="357">
        <f t="shared" ca="1" si="46"/>
        <v>78.58232196415203</v>
      </c>
      <c r="O101" s="343"/>
      <c r="P101" s="363">
        <f t="shared" ca="1" si="47"/>
        <v>3</v>
      </c>
      <c r="Q101" s="357">
        <f t="shared" ca="1" si="48"/>
        <v>743.12999999999988</v>
      </c>
      <c r="R101" s="359">
        <f t="shared" ca="1" si="49"/>
        <v>0.37294232329464566</v>
      </c>
      <c r="S101" s="360">
        <f t="shared" ca="1" si="50"/>
        <v>9.0311690134912581</v>
      </c>
      <c r="T101" s="357">
        <f t="shared" ca="1" si="30"/>
        <v>88.595768022349247</v>
      </c>
      <c r="U101" s="364">
        <f t="shared" ca="1" si="31"/>
        <v>0</v>
      </c>
      <c r="V101" s="359">
        <f t="shared" ca="1" si="32"/>
        <v>1.2207358017144998</v>
      </c>
      <c r="W101" s="357">
        <f t="shared" ca="1" si="33"/>
        <v>17.273273230693349</v>
      </c>
      <c r="X101" s="343"/>
      <c r="Y101" s="367" t="str">
        <f t="shared" ca="1" si="51"/>
        <v/>
      </c>
      <c r="Z101" s="368" t="str">
        <f t="shared" ca="1" si="52"/>
        <v/>
      </c>
      <c r="AA101" s="369" t="str">
        <f t="shared" ca="1" si="53"/>
        <v/>
      </c>
      <c r="AB101" s="344"/>
      <c r="AC101" s="363" t="e">
        <f t="shared" ca="1" si="54"/>
        <v>#N/A</v>
      </c>
      <c r="AD101" s="376" t="e">
        <f t="shared" ca="1" si="55"/>
        <v>#N/A</v>
      </c>
      <c r="AE101" s="377">
        <f t="shared" ca="1" si="34"/>
        <v>34.870473601531785</v>
      </c>
      <c r="AF101" s="344"/>
      <c r="AG101" s="359">
        <f t="shared" ca="1" si="56"/>
        <v>70.792811784724734</v>
      </c>
      <c r="AH101" s="357">
        <f t="shared" ca="1" si="57"/>
        <v>80.409188974325772</v>
      </c>
    </row>
    <row r="102" spans="1:34" x14ac:dyDescent="0.2">
      <c r="A102" s="402">
        <f t="shared" ca="1" si="35"/>
        <v>0.01</v>
      </c>
      <c r="B102" s="357">
        <f t="shared" ca="1" si="36"/>
        <v>0.98000000000000065</v>
      </c>
      <c r="C102" s="342"/>
      <c r="D102" s="359">
        <f t="shared" ca="1" si="37"/>
        <v>15.891189588369617</v>
      </c>
      <c r="E102" s="360">
        <f t="shared" ca="1" si="38"/>
        <v>68.876210496910815</v>
      </c>
      <c r="F102" s="357">
        <f t="shared" ca="1" si="39"/>
        <v>70.685658226745502</v>
      </c>
      <c r="G102" s="359">
        <f t="shared" ca="1" si="40"/>
        <v>14.607436955910005</v>
      </c>
      <c r="H102" s="360">
        <f t="shared" ca="1" si="41"/>
        <v>72.231529744919172</v>
      </c>
      <c r="I102" s="357">
        <f t="shared" ca="1" si="42"/>
        <v>73.693765704515528</v>
      </c>
      <c r="J102" s="359">
        <f t="shared" ca="1" si="43"/>
        <v>6.8063778928171805</v>
      </c>
      <c r="K102" s="360">
        <f t="shared" ca="1" si="44"/>
        <v>35.589345088456128</v>
      </c>
      <c r="L102" s="357">
        <f t="shared" ca="1" si="29"/>
        <v>36.234351985995922</v>
      </c>
      <c r="M102" s="359">
        <f t="shared" ca="1" si="45"/>
        <v>1.3712567311342672</v>
      </c>
      <c r="N102" s="357">
        <f t="shared" ca="1" si="46"/>
        <v>78.567223322898982</v>
      </c>
      <c r="O102" s="343"/>
      <c r="P102" s="363">
        <f t="shared" ca="1" si="47"/>
        <v>3</v>
      </c>
      <c r="Q102" s="357">
        <f t="shared" ca="1" si="48"/>
        <v>741.94999999999993</v>
      </c>
      <c r="R102" s="359">
        <f t="shared" ca="1" si="49"/>
        <v>0.37235013627287605</v>
      </c>
      <c r="S102" s="360">
        <f t="shared" ca="1" si="50"/>
        <v>9.02744551212853</v>
      </c>
      <c r="T102" s="357">
        <f t="shared" ca="1" si="30"/>
        <v>88.559240473980879</v>
      </c>
      <c r="U102" s="364">
        <f t="shared" ca="1" si="31"/>
        <v>0</v>
      </c>
      <c r="V102" s="359">
        <f t="shared" ca="1" si="32"/>
        <v>1.2206480493802847</v>
      </c>
      <c r="W102" s="357">
        <f t="shared" ca="1" si="33"/>
        <v>17.608073057209545</v>
      </c>
      <c r="X102" s="343"/>
      <c r="Y102" s="367" t="str">
        <f t="shared" ca="1" si="51"/>
        <v/>
      </c>
      <c r="Z102" s="368" t="str">
        <f t="shared" ca="1" si="52"/>
        <v/>
      </c>
      <c r="AA102" s="369" t="str">
        <f t="shared" ca="1" si="53"/>
        <v/>
      </c>
      <c r="AB102" s="344"/>
      <c r="AC102" s="363" t="e">
        <f t="shared" ca="1" si="54"/>
        <v>#N/A</v>
      </c>
      <c r="AD102" s="376" t="e">
        <f t="shared" ca="1" si="55"/>
        <v>#N/A</v>
      </c>
      <c r="AE102" s="377">
        <f t="shared" ca="1" si="34"/>
        <v>35.589345088456128</v>
      </c>
      <c r="AF102" s="344"/>
      <c r="AG102" s="359">
        <f t="shared" ca="1" si="56"/>
        <v>70.658976580110462</v>
      </c>
      <c r="AH102" s="357">
        <f t="shared" ca="1" si="57"/>
        <v>80.274838080793813</v>
      </c>
    </row>
    <row r="103" spans="1:34" x14ac:dyDescent="0.2">
      <c r="A103" s="402">
        <f t="shared" ca="1" si="35"/>
        <v>0.01</v>
      </c>
      <c r="B103" s="357">
        <f t="shared" ca="1" si="36"/>
        <v>0.99000000000000066</v>
      </c>
      <c r="C103" s="342"/>
      <c r="D103" s="359">
        <f t="shared" ca="1" si="37"/>
        <v>15.885205296352865</v>
      </c>
      <c r="E103" s="360">
        <f t="shared" ca="1" si="38"/>
        <v>68.739897722025034</v>
      </c>
      <c r="F103" s="357">
        <f t="shared" ca="1" si="39"/>
        <v>70.551493861871833</v>
      </c>
      <c r="G103" s="359">
        <f t="shared" ca="1" si="40"/>
        <v>14.766289008873533</v>
      </c>
      <c r="H103" s="360">
        <f t="shared" ca="1" si="41"/>
        <v>72.918928722139427</v>
      </c>
      <c r="I103" s="357">
        <f t="shared" ca="1" si="42"/>
        <v>74.399015162016966</v>
      </c>
      <c r="J103" s="359">
        <f t="shared" ca="1" si="43"/>
        <v>6.9532465226410984</v>
      </c>
      <c r="K103" s="360">
        <f t="shared" ca="1" si="44"/>
        <v>36.315097380791421</v>
      </c>
      <c r="L103" s="357">
        <f t="shared" ca="1" si="29"/>
        <v>36.974774306018212</v>
      </c>
      <c r="M103" s="359">
        <f t="shared" ca="1" si="45"/>
        <v>1.3709953675381688</v>
      </c>
      <c r="N103" s="357">
        <f t="shared" ca="1" si="46"/>
        <v>78.552248291924172</v>
      </c>
      <c r="O103" s="343"/>
      <c r="P103" s="363">
        <f t="shared" ca="1" si="47"/>
        <v>3</v>
      </c>
      <c r="Q103" s="357">
        <f t="shared" ca="1" si="48"/>
        <v>740.77</v>
      </c>
      <c r="R103" s="359">
        <f t="shared" ca="1" si="49"/>
        <v>0.37175794925110639</v>
      </c>
      <c r="S103" s="360">
        <f t="shared" ca="1" si="50"/>
        <v>9.0237279326360191</v>
      </c>
      <c r="T103" s="357">
        <f t="shared" ca="1" si="30"/>
        <v>88.52277101915935</v>
      </c>
      <c r="U103" s="364">
        <f t="shared" ca="1" si="31"/>
        <v>0</v>
      </c>
      <c r="V103" s="359">
        <f t="shared" ca="1" si="32"/>
        <v>1.2205594634966304</v>
      </c>
      <c r="W103" s="357">
        <f t="shared" ca="1" si="33"/>
        <v>17.945401823765859</v>
      </c>
      <c r="X103" s="343"/>
      <c r="Y103" s="367" t="str">
        <f t="shared" ca="1" si="51"/>
        <v/>
      </c>
      <c r="Z103" s="368" t="str">
        <f t="shared" ca="1" si="52"/>
        <v/>
      </c>
      <c r="AA103" s="369" t="str">
        <f t="shared" ca="1" si="53"/>
        <v/>
      </c>
      <c r="AB103" s="344"/>
      <c r="AC103" s="363" t="e">
        <f t="shared" ca="1" si="54"/>
        <v>#N/A</v>
      </c>
      <c r="AD103" s="376" t="e">
        <f t="shared" ca="1" si="55"/>
        <v>#N/A</v>
      </c>
      <c r="AE103" s="377">
        <f t="shared" ca="1" si="34"/>
        <v>36.315097380791421</v>
      </c>
      <c r="AF103" s="344"/>
      <c r="AG103" s="359">
        <f t="shared" ca="1" si="56"/>
        <v>70.524691636851173</v>
      </c>
      <c r="AH103" s="357">
        <f t="shared" ca="1" si="57"/>
        <v>80.140041049701694</v>
      </c>
    </row>
    <row r="104" spans="1:34" x14ac:dyDescent="0.2">
      <c r="A104" s="402">
        <f t="shared" ca="1" si="35"/>
        <v>0.01</v>
      </c>
      <c r="B104" s="357">
        <f t="shared" ca="1" si="36"/>
        <v>1.0000000000000007</v>
      </c>
      <c r="C104" s="342"/>
      <c r="D104" s="359">
        <f t="shared" ca="1" si="37"/>
        <v>15.878892973022504</v>
      </c>
      <c r="E104" s="360">
        <f t="shared" ca="1" si="38"/>
        <v>68.603192657309251</v>
      </c>
      <c r="F104" s="357">
        <f t="shared" ca="1" si="39"/>
        <v>70.416882100989056</v>
      </c>
      <c r="G104" s="359">
        <f t="shared" ca="1" si="40"/>
        <v>14.925077938603758</v>
      </c>
      <c r="H104" s="360">
        <f t="shared" ca="1" si="41"/>
        <v>73.60496064871252</v>
      </c>
      <c r="I104" s="357">
        <f t="shared" ca="1" si="42"/>
        <v>75.102917277372896</v>
      </c>
      <c r="J104" s="359">
        <f t="shared" ca="1" si="43"/>
        <v>7.1017033573784847</v>
      </c>
      <c r="K104" s="360">
        <f t="shared" ca="1" si="44"/>
        <v>37.047716827645679</v>
      </c>
      <c r="L104" s="357">
        <f t="shared" ca="1" si="29"/>
        <v>37.722241618408916</v>
      </c>
      <c r="M104" s="359">
        <f t="shared" ca="1" si="45"/>
        <v>1.370736118960217</v>
      </c>
      <c r="N104" s="357">
        <f t="shared" ca="1" si="46"/>
        <v>78.537394442562771</v>
      </c>
      <c r="O104" s="343"/>
      <c r="P104" s="363">
        <f t="shared" ca="1" si="47"/>
        <v>3</v>
      </c>
      <c r="Q104" s="357">
        <f t="shared" ca="1" si="48"/>
        <v>739.58999999999992</v>
      </c>
      <c r="R104" s="359">
        <f t="shared" ca="1" si="49"/>
        <v>0.37116576222933673</v>
      </c>
      <c r="S104" s="360">
        <f t="shared" ca="1" si="50"/>
        <v>9.0200162750137256</v>
      </c>
      <c r="T104" s="357">
        <f t="shared" ca="1" si="30"/>
        <v>88.486359657884648</v>
      </c>
      <c r="U104" s="364">
        <f t="shared" ca="1" si="31"/>
        <v>0</v>
      </c>
      <c r="V104" s="359">
        <f t="shared" ca="1" si="32"/>
        <v>1.2204700459114293</v>
      </c>
      <c r="W104" s="357">
        <f t="shared" ca="1" si="33"/>
        <v>18.285237700374324</v>
      </c>
      <c r="X104" s="343"/>
      <c r="Y104" s="367" t="str">
        <f t="shared" ca="1" si="51"/>
        <v/>
      </c>
      <c r="Z104" s="368" t="str">
        <f t="shared" ca="1" si="52"/>
        <v/>
      </c>
      <c r="AA104" s="369" t="str">
        <f t="shared" ca="1" si="53"/>
        <v/>
      </c>
      <c r="AB104" s="344"/>
      <c r="AC104" s="363">
        <f t="shared" ca="1" si="54"/>
        <v>1.0000000000000007</v>
      </c>
      <c r="AD104" s="376">
        <f t="shared" ca="1" si="55"/>
        <v>7.1017033573784847</v>
      </c>
      <c r="AE104" s="377">
        <f t="shared" ca="1" si="34"/>
        <v>37.047716827645679</v>
      </c>
      <c r="AF104" s="344"/>
      <c r="AG104" s="359">
        <f t="shared" ca="1" si="56"/>
        <v>70.389959152897205</v>
      </c>
      <c r="AH104" s="357">
        <f t="shared" ca="1" si="57"/>
        <v>80.004800010755616</v>
      </c>
    </row>
    <row r="105" spans="1:34" x14ac:dyDescent="0.2">
      <c r="A105" s="402">
        <f t="shared" ca="1" si="35"/>
        <v>0.01</v>
      </c>
      <c r="B105" s="357">
        <f t="shared" ca="1" si="36"/>
        <v>1.0100000000000007</v>
      </c>
      <c r="C105" s="342"/>
      <c r="D105" s="359">
        <f t="shared" ca="1" si="37"/>
        <v>15.867626448216777</v>
      </c>
      <c r="E105" s="360">
        <f t="shared" ca="1" si="38"/>
        <v>68.44326106261704</v>
      </c>
      <c r="F105" s="357">
        <f t="shared" ca="1" si="39"/>
        <v>70.258533673751685</v>
      </c>
      <c r="G105" s="359">
        <f t="shared" ca="1" si="40"/>
        <v>15.083754203085926</v>
      </c>
      <c r="H105" s="360">
        <f t="shared" ca="1" si="41"/>
        <v>74.289393259338695</v>
      </c>
      <c r="I105" s="357">
        <f t="shared" ca="1" si="42"/>
        <v>75.805234593000179</v>
      </c>
      <c r="J105" s="359">
        <f t="shared" ca="1" si="43"/>
        <v>7.2517475180869333</v>
      </c>
      <c r="K105" s="360">
        <f t="shared" ca="1" si="44"/>
        <v>37.787188597185938</v>
      </c>
      <c r="L105" s="357">
        <f t="shared" ca="1" si="29"/>
        <v>38.476739260823273</v>
      </c>
      <c r="M105" s="359">
        <f t="shared" ca="1" si="45"/>
        <v>1.3704789434460287</v>
      </c>
      <c r="N105" s="357">
        <f t="shared" ca="1" si="46"/>
        <v>78.522659371005673</v>
      </c>
      <c r="O105" s="343"/>
      <c r="P105" s="363">
        <f t="shared" ca="1" si="47"/>
        <v>4</v>
      </c>
      <c r="Q105" s="357">
        <f t="shared" ca="1" si="48"/>
        <v>738.19999999999982</v>
      </c>
      <c r="R105" s="359">
        <f t="shared" ca="1" si="49"/>
        <v>0.37046818599182835</v>
      </c>
      <c r="S105" s="360">
        <f t="shared" ca="1" si="50"/>
        <v>9.0163115931538069</v>
      </c>
      <c r="T105" s="357">
        <f t="shared" ca="1" si="30"/>
        <v>88.450016728838847</v>
      </c>
      <c r="U105" s="364">
        <f t="shared" ca="1" si="31"/>
        <v>0</v>
      </c>
      <c r="V105" s="359">
        <f t="shared" ca="1" si="32"/>
        <v>1.2203797986178939</v>
      </c>
      <c r="W105" s="357">
        <f t="shared" ca="1" si="33"/>
        <v>18.627444309693505</v>
      </c>
      <c r="X105" s="343"/>
      <c r="Y105" s="367" t="str">
        <f t="shared" ca="1" si="51"/>
        <v/>
      </c>
      <c r="Z105" s="368" t="str">
        <f t="shared" ca="1" si="52"/>
        <v/>
      </c>
      <c r="AA105" s="369" t="str">
        <f t="shared" ca="1" si="53"/>
        <v/>
      </c>
      <c r="AB105" s="344"/>
      <c r="AC105" s="363" t="e">
        <f t="shared" ca="1" si="54"/>
        <v>#N/A</v>
      </c>
      <c r="AD105" s="376" t="e">
        <f t="shared" ca="1" si="55"/>
        <v>#N/A</v>
      </c>
      <c r="AE105" s="377">
        <f t="shared" ca="1" si="34"/>
        <v>37.787188597185938</v>
      </c>
      <c r="AF105" s="344"/>
      <c r="AG105" s="359">
        <f t="shared" ca="1" si="56"/>
        <v>70.231480877679658</v>
      </c>
      <c r="AH105" s="357">
        <f t="shared" ca="1" si="57"/>
        <v>79.845816647049489</v>
      </c>
    </row>
    <row r="106" spans="1:34" x14ac:dyDescent="0.2">
      <c r="A106" s="402">
        <f t="shared" ca="1" si="35"/>
        <v>0.01</v>
      </c>
      <c r="B106" s="357">
        <f t="shared" ca="1" si="36"/>
        <v>1.0200000000000007</v>
      </c>
      <c r="C106" s="342"/>
      <c r="D106" s="359">
        <f t="shared" ca="1" si="37"/>
        <v>15.851387324437633</v>
      </c>
      <c r="E106" s="360">
        <f t="shared" ca="1" si="38"/>
        <v>68.260083269477121</v>
      </c>
      <c r="F106" s="357">
        <f t="shared" ca="1" si="39"/>
        <v>70.076425765483307</v>
      </c>
      <c r="G106" s="359">
        <f t="shared" ca="1" si="40"/>
        <v>15.242268076330301</v>
      </c>
      <c r="H106" s="360">
        <f t="shared" ca="1" si="41"/>
        <v>74.971994092033469</v>
      </c>
      <c r="I106" s="357">
        <f t="shared" ca="1" si="42"/>
        <v>76.505729421048073</v>
      </c>
      <c r="J106" s="359">
        <f t="shared" ca="1" si="43"/>
        <v>7.4033776294840141</v>
      </c>
      <c r="K106" s="360">
        <f t="shared" ca="1" si="44"/>
        <v>38.533495533942798</v>
      </c>
      <c r="L106" s="357">
        <f t="shared" ca="1" si="29"/>
        <v>39.238250195302214</v>
      </c>
      <c r="M106" s="359">
        <f t="shared" ca="1" si="45"/>
        <v>1.3702237994796658</v>
      </c>
      <c r="N106" s="357">
        <f t="shared" ca="1" si="46"/>
        <v>78.508040698564855</v>
      </c>
      <c r="O106" s="343"/>
      <c r="P106" s="363">
        <f t="shared" ca="1" si="47"/>
        <v>4</v>
      </c>
      <c r="Q106" s="357">
        <f t="shared" ca="1" si="48"/>
        <v>736.59999999999991</v>
      </c>
      <c r="R106" s="359">
        <f t="shared" ca="1" si="49"/>
        <v>0.36966522053858142</v>
      </c>
      <c r="S106" s="360">
        <f t="shared" ca="1" si="50"/>
        <v>9.0126149409484206</v>
      </c>
      <c r="T106" s="357">
        <f t="shared" ca="1" si="30"/>
        <v>88.413752570704006</v>
      </c>
      <c r="U106" s="364">
        <f t="shared" ca="1" si="31"/>
        <v>0</v>
      </c>
      <c r="V106" s="359">
        <f t="shared" ca="1" si="32"/>
        <v>1.2202887238939317</v>
      </c>
      <c r="W106" s="357">
        <f t="shared" ca="1" si="33"/>
        <v>18.971880916578574</v>
      </c>
      <c r="X106" s="343"/>
      <c r="Y106" s="367" t="str">
        <f t="shared" ca="1" si="51"/>
        <v/>
      </c>
      <c r="Z106" s="368" t="str">
        <f t="shared" ca="1" si="52"/>
        <v/>
      </c>
      <c r="AA106" s="369" t="str">
        <f t="shared" ca="1" si="53"/>
        <v/>
      </c>
      <c r="AB106" s="344"/>
      <c r="AC106" s="363" t="e">
        <f t="shared" ca="1" si="54"/>
        <v>#N/A</v>
      </c>
      <c r="AD106" s="376" t="e">
        <f t="shared" ca="1" si="55"/>
        <v>#N/A</v>
      </c>
      <c r="AE106" s="377">
        <f t="shared" ca="1" si="34"/>
        <v>38.533495533942798</v>
      </c>
      <c r="AF106" s="344"/>
      <c r="AG106" s="359">
        <f t="shared" ca="1" si="56"/>
        <v>70.04923378459479</v>
      </c>
      <c r="AH106" s="357">
        <f t="shared" ca="1" si="57"/>
        <v>79.663067865934181</v>
      </c>
    </row>
    <row r="107" spans="1:34" x14ac:dyDescent="0.2">
      <c r="A107" s="402">
        <f t="shared" ca="1" si="35"/>
        <v>0.01</v>
      </c>
      <c r="B107" s="357">
        <f t="shared" ca="1" si="36"/>
        <v>1.0300000000000007</v>
      </c>
      <c r="C107" s="342"/>
      <c r="D107" s="359">
        <f t="shared" ca="1" si="37"/>
        <v>15.834803494611823</v>
      </c>
      <c r="E107" s="360">
        <f t="shared" ca="1" si="38"/>
        <v>68.076492226842419</v>
      </c>
      <c r="F107" s="357">
        <f t="shared" ca="1" si="39"/>
        <v>69.893846622033237</v>
      </c>
      <c r="G107" s="359">
        <f t="shared" ca="1" si="40"/>
        <v>15.40061611127642</v>
      </c>
      <c r="H107" s="360">
        <f t="shared" ca="1" si="41"/>
        <v>75.652759014301893</v>
      </c>
      <c r="I107" s="357">
        <f t="shared" ca="1" si="42"/>
        <v>77.204397045006075</v>
      </c>
      <c r="J107" s="359">
        <f t="shared" ca="1" si="43"/>
        <v>7.5565920504220481</v>
      </c>
      <c r="K107" s="360">
        <f t="shared" ca="1" si="44"/>
        <v>39.286619299474474</v>
      </c>
      <c r="L107" s="357">
        <f t="shared" ca="1" si="29"/>
        <v>40.006756171906041</v>
      </c>
      <c r="M107" s="359">
        <f t="shared" ca="1" si="45"/>
        <v>1.3699706467515702</v>
      </c>
      <c r="N107" s="357">
        <f t="shared" ca="1" si="46"/>
        <v>78.493536115672754</v>
      </c>
      <c r="O107" s="343"/>
      <c r="P107" s="363">
        <f t="shared" ca="1" si="47"/>
        <v>4</v>
      </c>
      <c r="Q107" s="357">
        <f t="shared" ca="1" si="48"/>
        <v>734.99999999999989</v>
      </c>
      <c r="R107" s="359">
        <f t="shared" ca="1" si="49"/>
        <v>0.36886225508533443</v>
      </c>
      <c r="S107" s="360">
        <f t="shared" ca="1" si="50"/>
        <v>9.0089263183975667</v>
      </c>
      <c r="T107" s="357">
        <f t="shared" ca="1" si="30"/>
        <v>88.377567183480139</v>
      </c>
      <c r="U107" s="364">
        <f t="shared" ca="1" si="31"/>
        <v>0</v>
      </c>
      <c r="V107" s="359">
        <f t="shared" ca="1" si="32"/>
        <v>1.2201968241628418</v>
      </c>
      <c r="W107" s="357">
        <f t="shared" ca="1" si="33"/>
        <v>19.318519155765411</v>
      </c>
      <c r="X107" s="343"/>
      <c r="Y107" s="367" t="str">
        <f t="shared" ca="1" si="51"/>
        <v/>
      </c>
      <c r="Z107" s="368" t="str">
        <f t="shared" ca="1" si="52"/>
        <v/>
      </c>
      <c r="AA107" s="369" t="str">
        <f t="shared" ca="1" si="53"/>
        <v/>
      </c>
      <c r="AB107" s="344"/>
      <c r="AC107" s="363" t="e">
        <f t="shared" ca="1" si="54"/>
        <v>#N/A</v>
      </c>
      <c r="AD107" s="376" t="e">
        <f t="shared" ca="1" si="55"/>
        <v>#N/A</v>
      </c>
      <c r="AE107" s="377">
        <f t="shared" ca="1" si="34"/>
        <v>39.286619299474474</v>
      </c>
      <c r="AF107" s="344"/>
      <c r="AG107" s="359">
        <f t="shared" ca="1" si="56"/>
        <v>69.866515008580819</v>
      </c>
      <c r="AH107" s="357">
        <f t="shared" ca="1" si="57"/>
        <v>79.479850736617237</v>
      </c>
    </row>
    <row r="108" spans="1:34" x14ac:dyDescent="0.2">
      <c r="A108" s="402">
        <f t="shared" ca="1" si="35"/>
        <v>0.01</v>
      </c>
      <c r="B108" s="357">
        <f t="shared" ca="1" si="36"/>
        <v>1.0400000000000007</v>
      </c>
      <c r="C108" s="342"/>
      <c r="D108" s="359">
        <f t="shared" ca="1" si="37"/>
        <v>15.817879475623386</v>
      </c>
      <c r="E108" s="360">
        <f t="shared" ca="1" si="38"/>
        <v>67.892490305592503</v>
      </c>
      <c r="F108" s="357">
        <f t="shared" ca="1" si="39"/>
        <v>69.710799385750263</v>
      </c>
      <c r="G108" s="359">
        <f t="shared" ca="1" si="40"/>
        <v>15.558794906032654</v>
      </c>
      <c r="H108" s="360">
        <f t="shared" ca="1" si="41"/>
        <v>76.331683917357822</v>
      </c>
      <c r="I108" s="357">
        <f t="shared" ca="1" si="42"/>
        <v>77.90123277963842</v>
      </c>
      <c r="J108" s="359">
        <f t="shared" ca="1" si="43"/>
        <v>7.7113891055085935</v>
      </c>
      <c r="K108" s="360">
        <f t="shared" ca="1" si="44"/>
        <v>40.04654151413277</v>
      </c>
      <c r="L108" s="357">
        <f t="shared" ca="1" si="29"/>
        <v>40.782238893661976</v>
      </c>
      <c r="M108" s="359">
        <f t="shared" ca="1" si="45"/>
        <v>1.3697194461116464</v>
      </c>
      <c r="N108" s="357">
        <f t="shared" ca="1" si="46"/>
        <v>78.479143379194142</v>
      </c>
      <c r="O108" s="343"/>
      <c r="P108" s="363">
        <f t="shared" ca="1" si="47"/>
        <v>4</v>
      </c>
      <c r="Q108" s="357">
        <f t="shared" ca="1" si="48"/>
        <v>733.39999999999986</v>
      </c>
      <c r="R108" s="359">
        <f t="shared" ca="1" si="49"/>
        <v>0.36805928963208739</v>
      </c>
      <c r="S108" s="360">
        <f t="shared" ca="1" si="50"/>
        <v>9.0052457255012452</v>
      </c>
      <c r="T108" s="357">
        <f t="shared" ca="1" si="30"/>
        <v>88.341460567167218</v>
      </c>
      <c r="U108" s="364">
        <f t="shared" ca="1" si="31"/>
        <v>0</v>
      </c>
      <c r="V108" s="359">
        <f t="shared" ca="1" si="32"/>
        <v>1.2201041018539367</v>
      </c>
      <c r="W108" s="357">
        <f t="shared" ca="1" si="33"/>
        <v>19.667330658967479</v>
      </c>
      <c r="X108" s="343"/>
      <c r="Y108" s="367" t="str">
        <f t="shared" ca="1" si="51"/>
        <v/>
      </c>
      <c r="Z108" s="368" t="str">
        <f t="shared" ca="1" si="52"/>
        <v/>
      </c>
      <c r="AA108" s="369" t="str">
        <f t="shared" ca="1" si="53"/>
        <v/>
      </c>
      <c r="AB108" s="344"/>
      <c r="AC108" s="363" t="e">
        <f t="shared" ca="1" si="54"/>
        <v>#N/A</v>
      </c>
      <c r="AD108" s="376" t="e">
        <f t="shared" ca="1" si="55"/>
        <v>#N/A</v>
      </c>
      <c r="AE108" s="377">
        <f t="shared" ca="1" si="34"/>
        <v>40.04654151413277</v>
      </c>
      <c r="AF108" s="344"/>
      <c r="AG108" s="359">
        <f t="shared" ca="1" si="56"/>
        <v>69.683327677983911</v>
      </c>
      <c r="AH108" s="357">
        <f t="shared" ca="1" si="57"/>
        <v>79.296168323545402</v>
      </c>
    </row>
    <row r="109" spans="1:34" x14ac:dyDescent="0.2">
      <c r="A109" s="402">
        <f t="shared" ca="1" si="35"/>
        <v>0.01</v>
      </c>
      <c r="B109" s="357">
        <f t="shared" ca="1" si="36"/>
        <v>1.0500000000000007</v>
      </c>
      <c r="C109" s="342"/>
      <c r="D109" s="359">
        <f t="shared" ca="1" si="37"/>
        <v>15.800619674606745</v>
      </c>
      <c r="E109" s="360">
        <f t="shared" ca="1" si="38"/>
        <v>67.708079901729832</v>
      </c>
      <c r="F109" s="357">
        <f t="shared" ca="1" si="39"/>
        <v>69.527287204957162</v>
      </c>
      <c r="G109" s="359">
        <f t="shared" ca="1" si="40"/>
        <v>15.716801102778721</v>
      </c>
      <c r="H109" s="360">
        <f t="shared" ca="1" si="41"/>
        <v>77.008764716375126</v>
      </c>
      <c r="I109" s="357">
        <f t="shared" ca="1" si="42"/>
        <v>78.596231971045071</v>
      </c>
      <c r="J109" s="359">
        <f t="shared" ca="1" si="43"/>
        <v>7.86776708555265</v>
      </c>
      <c r="K109" s="360">
        <f t="shared" ca="1" si="44"/>
        <v>40.813243757301436</v>
      </c>
      <c r="L109" s="357">
        <f t="shared" ca="1" si="29"/>
        <v>41.564680016877432</v>
      </c>
      <c r="M109" s="359">
        <f t="shared" ca="1" si="45"/>
        <v>1.3694701595246128</v>
      </c>
      <c r="N109" s="357">
        <f t="shared" ca="1" si="46"/>
        <v>78.464860309867888</v>
      </c>
      <c r="O109" s="343"/>
      <c r="P109" s="363">
        <f t="shared" ca="1" si="47"/>
        <v>4</v>
      </c>
      <c r="Q109" s="357">
        <f t="shared" ca="1" si="48"/>
        <v>731.79999999999984</v>
      </c>
      <c r="R109" s="359">
        <f t="shared" ca="1" si="49"/>
        <v>0.36725632417884041</v>
      </c>
      <c r="S109" s="360">
        <f t="shared" ca="1" si="50"/>
        <v>9.0015731622594561</v>
      </c>
      <c r="T109" s="357">
        <f t="shared" ca="1" si="30"/>
        <v>88.305432721765271</v>
      </c>
      <c r="U109" s="364">
        <f t="shared" ca="1" si="31"/>
        <v>0</v>
      </c>
      <c r="V109" s="359">
        <f t="shared" ca="1" si="32"/>
        <v>1.2200105594024968</v>
      </c>
      <c r="W109" s="357">
        <f t="shared" ca="1" si="33"/>
        <v>20.01828705640856</v>
      </c>
      <c r="X109" s="343"/>
      <c r="Y109" s="367" t="str">
        <f t="shared" ca="1" si="51"/>
        <v/>
      </c>
      <c r="Z109" s="368" t="str">
        <f t="shared" ca="1" si="52"/>
        <v/>
      </c>
      <c r="AA109" s="369" t="str">
        <f t="shared" ca="1" si="53"/>
        <v/>
      </c>
      <c r="AB109" s="344"/>
      <c r="AC109" s="363" t="e">
        <f t="shared" ca="1" si="54"/>
        <v>#N/A</v>
      </c>
      <c r="AD109" s="376" t="e">
        <f t="shared" ca="1" si="55"/>
        <v>#N/A</v>
      </c>
      <c r="AE109" s="377">
        <f t="shared" ca="1" si="34"/>
        <v>40.813243757301436</v>
      </c>
      <c r="AF109" s="344"/>
      <c r="AG109" s="359">
        <f t="shared" ca="1" si="56"/>
        <v>69.499674927231766</v>
      </c>
      <c r="AH109" s="357">
        <f t="shared" ca="1" si="57"/>
        <v>79.112023699008873</v>
      </c>
    </row>
    <row r="110" spans="1:34" x14ac:dyDescent="0.2">
      <c r="A110" s="402">
        <f t="shared" ca="1" si="35"/>
        <v>0.01</v>
      </c>
      <c r="B110" s="357">
        <f t="shared" ca="1" si="36"/>
        <v>1.0600000000000007</v>
      </c>
      <c r="C110" s="342"/>
      <c r="D110" s="359">
        <f t="shared" ca="1" si="37"/>
        <v>15.783028393218453</v>
      </c>
      <c r="E110" s="360">
        <f t="shared" ca="1" si="38"/>
        <v>67.523263435543512</v>
      </c>
      <c r="F110" s="357">
        <f t="shared" ca="1" si="39"/>
        <v>69.343313233843588</v>
      </c>
      <c r="G110" s="359">
        <f t="shared" ca="1" si="40"/>
        <v>15.874631386710906</v>
      </c>
      <c r="H110" s="360">
        <f t="shared" ca="1" si="41"/>
        <v>77.683997350730564</v>
      </c>
      <c r="I110" s="357">
        <f t="shared" ca="1" si="42"/>
        <v>79.28938999672188</v>
      </c>
      <c r="J110" s="359">
        <f t="shared" ca="1" si="43"/>
        <v>8.025724248000099</v>
      </c>
      <c r="K110" s="360">
        <f t="shared" ca="1" si="44"/>
        <v>41.586707567636964</v>
      </c>
      <c r="L110" s="357">
        <f t="shared" ca="1" si="29"/>
        <v>42.354061151453827</v>
      </c>
      <c r="M110" s="359">
        <f t="shared" ca="1" si="45"/>
        <v>1.3692227500274921</v>
      </c>
      <c r="N110" s="357">
        <f t="shared" ca="1" si="46"/>
        <v>78.450684789871417</v>
      </c>
      <c r="O110" s="343"/>
      <c r="P110" s="363">
        <f t="shared" ca="1" si="47"/>
        <v>4</v>
      </c>
      <c r="Q110" s="357">
        <f t="shared" ca="1" si="48"/>
        <v>730.19999999999982</v>
      </c>
      <c r="R110" s="359">
        <f t="shared" ca="1" si="49"/>
        <v>0.36645335872559343</v>
      </c>
      <c r="S110" s="360">
        <f t="shared" ca="1" si="50"/>
        <v>8.9979086286721994</v>
      </c>
      <c r="T110" s="357">
        <f t="shared" ca="1" si="30"/>
        <v>88.269483647274285</v>
      </c>
      <c r="U110" s="364">
        <f t="shared" ca="1" si="31"/>
        <v>0</v>
      </c>
      <c r="V110" s="359">
        <f t="shared" ca="1" si="32"/>
        <v>1.2199161992497214</v>
      </c>
      <c r="W110" s="357">
        <f t="shared" ca="1" si="33"/>
        <v>20.371359978351016</v>
      </c>
      <c r="X110" s="343"/>
      <c r="Y110" s="367" t="str">
        <f t="shared" ca="1" si="51"/>
        <v/>
      </c>
      <c r="Z110" s="368" t="str">
        <f t="shared" ca="1" si="52"/>
        <v/>
      </c>
      <c r="AA110" s="369" t="str">
        <f t="shared" ca="1" si="53"/>
        <v/>
      </c>
      <c r="AB110" s="344"/>
      <c r="AC110" s="363" t="e">
        <f t="shared" ca="1" si="54"/>
        <v>#N/A</v>
      </c>
      <c r="AD110" s="376" t="e">
        <f t="shared" ca="1" si="55"/>
        <v>#N/A</v>
      </c>
      <c r="AE110" s="377">
        <f t="shared" ca="1" si="34"/>
        <v>41.586707567636964</v>
      </c>
      <c r="AF110" s="344"/>
      <c r="AG110" s="359">
        <f t="shared" ca="1" si="56"/>
        <v>69.3155598967179</v>
      </c>
      <c r="AH110" s="357">
        <f t="shared" ca="1" si="57"/>
        <v>78.927419942959688</v>
      </c>
    </row>
    <row r="111" spans="1:34" x14ac:dyDescent="0.2">
      <c r="A111" s="402">
        <f t="shared" ca="1" si="35"/>
        <v>0.01</v>
      </c>
      <c r="B111" s="357">
        <f t="shared" ca="1" si="36"/>
        <v>1.0700000000000007</v>
      </c>
      <c r="C111" s="342"/>
      <c r="D111" s="359">
        <f t="shared" ca="1" si="37"/>
        <v>15.765109831703093</v>
      </c>
      <c r="E111" s="360">
        <f t="shared" ca="1" si="38"/>
        <v>67.338043350803574</v>
      </c>
      <c r="F111" s="357">
        <f t="shared" ca="1" si="39"/>
        <v>69.158880632355249</v>
      </c>
      <c r="G111" s="359">
        <f t="shared" ca="1" si="40"/>
        <v>16.032282485027938</v>
      </c>
      <c r="H111" s="360">
        <f t="shared" ca="1" si="41"/>
        <v>78.357377784238594</v>
      </c>
      <c r="I111" s="357">
        <f t="shared" ca="1" si="42"/>
        <v>79.980702265619186</v>
      </c>
      <c r="J111" s="359">
        <f t="shared" ca="1" si="43"/>
        <v>8.1852588173587932</v>
      </c>
      <c r="K111" s="360">
        <f t="shared" ca="1" si="44"/>
        <v>42.366914443311806</v>
      </c>
      <c r="L111" s="357">
        <f t="shared" ca="1" si="29"/>
        <v>43.150363861201129</v>
      </c>
      <c r="M111" s="359">
        <f t="shared" ca="1" si="45"/>
        <v>1.3689771816891179</v>
      </c>
      <c r="N111" s="357">
        <f t="shared" ca="1" si="46"/>
        <v>78.436614760500532</v>
      </c>
      <c r="O111" s="343"/>
      <c r="P111" s="363">
        <f t="shared" ca="1" si="47"/>
        <v>4</v>
      </c>
      <c r="Q111" s="357">
        <f t="shared" ca="1" si="48"/>
        <v>728.59999999999991</v>
      </c>
      <c r="R111" s="359">
        <f t="shared" ca="1" si="49"/>
        <v>0.3656503932723465</v>
      </c>
      <c r="S111" s="360">
        <f t="shared" ca="1" si="50"/>
        <v>8.9942521247394751</v>
      </c>
      <c r="T111" s="357">
        <f t="shared" ca="1" si="30"/>
        <v>88.233613343694259</v>
      </c>
      <c r="U111" s="364">
        <f t="shared" ca="1" si="31"/>
        <v>0</v>
      </c>
      <c r="V111" s="359">
        <f t="shared" ca="1" si="32"/>
        <v>1.2198210238426825</v>
      </c>
      <c r="W111" s="357">
        <f t="shared" ca="1" si="33"/>
        <v>20.726521056619109</v>
      </c>
      <c r="X111" s="343"/>
      <c r="Y111" s="367" t="str">
        <f t="shared" ca="1" si="51"/>
        <v/>
      </c>
      <c r="Z111" s="368" t="str">
        <f t="shared" ca="1" si="52"/>
        <v/>
      </c>
      <c r="AA111" s="369" t="str">
        <f t="shared" ca="1" si="53"/>
        <v/>
      </c>
      <c r="AB111" s="344"/>
      <c r="AC111" s="363" t="e">
        <f t="shared" ca="1" si="54"/>
        <v>#N/A</v>
      </c>
      <c r="AD111" s="376" t="e">
        <f t="shared" ca="1" si="55"/>
        <v>#N/A</v>
      </c>
      <c r="AE111" s="377">
        <f t="shared" ca="1" si="34"/>
        <v>42.366914443311806</v>
      </c>
      <c r="AF111" s="344"/>
      <c r="AG111" s="359">
        <f t="shared" ca="1" si="56"/>
        <v>69.130985732682802</v>
      </c>
      <c r="AH111" s="357">
        <f t="shared" ca="1" si="57"/>
        <v>78.742360142829909</v>
      </c>
    </row>
    <row r="112" spans="1:34" x14ac:dyDescent="0.2">
      <c r="A112" s="402">
        <f t="shared" ca="1" si="35"/>
        <v>0.01</v>
      </c>
      <c r="B112" s="357">
        <f t="shared" ca="1" si="36"/>
        <v>1.0800000000000007</v>
      </c>
      <c r="C112" s="342"/>
      <c r="D112" s="359">
        <f t="shared" ca="1" si="37"/>
        <v>15.746868092764986</v>
      </c>
      <c r="E112" s="360">
        <f t="shared" ca="1" si="38"/>
        <v>67.152422113984358</v>
      </c>
      <c r="F112" s="357">
        <f t="shared" ca="1" si="39"/>
        <v>68.973992566080113</v>
      </c>
      <c r="G112" s="359">
        <f t="shared" ca="1" si="40"/>
        <v>16.189751165955588</v>
      </c>
      <c r="H112" s="360">
        <f t="shared" ca="1" si="41"/>
        <v>79.028902005378441</v>
      </c>
      <c r="I112" s="357">
        <f t="shared" ca="1" si="42"/>
        <v>80.67016421819946</v>
      </c>
      <c r="J112" s="359">
        <f t="shared" ca="1" si="43"/>
        <v>8.3463689856137115</v>
      </c>
      <c r="K112" s="360">
        <f t="shared" ca="1" si="44"/>
        <v>43.153845842259891</v>
      </c>
      <c r="L112" s="357">
        <f t="shared" ca="1" si="29"/>
        <v>43.953569664152944</v>
      </c>
      <c r="M112" s="359">
        <f t="shared" ca="1" si="45"/>
        <v>1.3687334195715462</v>
      </c>
      <c r="N112" s="357">
        <f t="shared" ca="1" si="46"/>
        <v>78.422648219958504</v>
      </c>
      <c r="O112" s="343"/>
      <c r="P112" s="363">
        <f t="shared" ca="1" si="47"/>
        <v>4</v>
      </c>
      <c r="Q112" s="357">
        <f t="shared" ca="1" si="48"/>
        <v>726.99999999999989</v>
      </c>
      <c r="R112" s="359">
        <f t="shared" ca="1" si="49"/>
        <v>0.36484742781909951</v>
      </c>
      <c r="S112" s="360">
        <f t="shared" ca="1" si="50"/>
        <v>8.990603650461285</v>
      </c>
      <c r="T112" s="357">
        <f t="shared" ca="1" si="30"/>
        <v>88.197821811025207</v>
      </c>
      <c r="U112" s="364">
        <f t="shared" ca="1" si="31"/>
        <v>0</v>
      </c>
      <c r="V112" s="359">
        <f t="shared" ca="1" si="32"/>
        <v>1.2197250356342766</v>
      </c>
      <c r="W112" s="357">
        <f t="shared" ca="1" si="33"/>
        <v>21.08374192611749</v>
      </c>
      <c r="X112" s="343"/>
      <c r="Y112" s="367" t="str">
        <f t="shared" ca="1" si="51"/>
        <v/>
      </c>
      <c r="Z112" s="368" t="str">
        <f t="shared" ca="1" si="52"/>
        <v/>
      </c>
      <c r="AA112" s="369" t="str">
        <f t="shared" ca="1" si="53"/>
        <v/>
      </c>
      <c r="AB112" s="344"/>
      <c r="AC112" s="363" t="e">
        <f t="shared" ca="1" si="54"/>
        <v>#N/A</v>
      </c>
      <c r="AD112" s="376" t="e">
        <f t="shared" ca="1" si="55"/>
        <v>#N/A</v>
      </c>
      <c r="AE112" s="377">
        <f t="shared" ca="1" si="34"/>
        <v>43.153845842259891</v>
      </c>
      <c r="AF112" s="344"/>
      <c r="AG112" s="359">
        <f t="shared" ca="1" si="56"/>
        <v>68.945955587092044</v>
      </c>
      <c r="AH112" s="357">
        <f t="shared" ca="1" si="57"/>
        <v>78.556847393349798</v>
      </c>
    </row>
    <row r="113" spans="1:34" x14ac:dyDescent="0.2">
      <c r="A113" s="402">
        <f t="shared" ca="1" si="35"/>
        <v>0.01</v>
      </c>
      <c r="B113" s="357">
        <f t="shared" ca="1" si="36"/>
        <v>1.0900000000000007</v>
      </c>
      <c r="C113" s="342"/>
      <c r="D113" s="359">
        <f t="shared" ca="1" si="37"/>
        <v>15.728307185256654</v>
      </c>
      <c r="E113" s="360">
        <f t="shared" ca="1" si="38"/>
        <v>66.96640221351548</v>
      </c>
      <c r="F113" s="357">
        <f t="shared" ca="1" si="39"/>
        <v>68.788652206131559</v>
      </c>
      <c r="G113" s="359">
        <f t="shared" ca="1" si="40"/>
        <v>16.347034237808156</v>
      </c>
      <c r="H113" s="360">
        <f t="shared" ca="1" si="41"/>
        <v>79.698566027513593</v>
      </c>
      <c r="I113" s="357">
        <f t="shared" ca="1" si="42"/>
        <v>81.357771326493548</v>
      </c>
      <c r="J113" s="359">
        <f t="shared" ca="1" si="43"/>
        <v>8.5090529126325301</v>
      </c>
      <c r="K113" s="360">
        <f t="shared" ca="1" si="44"/>
        <v>43.947483182424349</v>
      </c>
      <c r="L113" s="357">
        <f t="shared" ca="1" si="29"/>
        <v>44.763660032882157</v>
      </c>
      <c r="M113" s="359">
        <f t="shared" ca="1" si="45"/>
        <v>1.3684914296932589</v>
      </c>
      <c r="N113" s="357">
        <f t="shared" ca="1" si="46"/>
        <v>78.408783221247759</v>
      </c>
      <c r="O113" s="343"/>
      <c r="P113" s="363">
        <f t="shared" ca="1" si="47"/>
        <v>4</v>
      </c>
      <c r="Q113" s="357">
        <f t="shared" ca="1" si="48"/>
        <v>725.39999999999986</v>
      </c>
      <c r="R113" s="359">
        <f t="shared" ca="1" si="49"/>
        <v>0.36404446236585247</v>
      </c>
      <c r="S113" s="360">
        <f t="shared" ca="1" si="50"/>
        <v>8.9869632058376272</v>
      </c>
      <c r="T113" s="357">
        <f t="shared" ca="1" si="30"/>
        <v>88.16210904926713</v>
      </c>
      <c r="U113" s="364">
        <f t="shared" ca="1" si="31"/>
        <v>0</v>
      </c>
      <c r="V113" s="359">
        <f t="shared" ca="1" si="32"/>
        <v>1.2196282370831757</v>
      </c>
      <c r="W113" s="357">
        <f t="shared" ca="1" si="33"/>
        <v>21.442994226344624</v>
      </c>
      <c r="X113" s="343"/>
      <c r="Y113" s="367" t="str">
        <f t="shared" ca="1" si="51"/>
        <v/>
      </c>
      <c r="Z113" s="368" t="str">
        <f t="shared" ca="1" si="52"/>
        <v/>
      </c>
      <c r="AA113" s="369" t="str">
        <f t="shared" ca="1" si="53"/>
        <v/>
      </c>
      <c r="AB113" s="344"/>
      <c r="AC113" s="363" t="e">
        <f t="shared" ca="1" si="54"/>
        <v>#N/A</v>
      </c>
      <c r="AD113" s="376" t="e">
        <f t="shared" ca="1" si="55"/>
        <v>#N/A</v>
      </c>
      <c r="AE113" s="377">
        <f t="shared" ca="1" si="34"/>
        <v>43.947483182424349</v>
      </c>
      <c r="AF113" s="344"/>
      <c r="AG113" s="359">
        <f t="shared" ca="1" si="56"/>
        <v>68.760472617511851</v>
      </c>
      <c r="AH113" s="357">
        <f t="shared" ca="1" si="57"/>
        <v>78.370884796366184</v>
      </c>
    </row>
    <row r="114" spans="1:34" x14ac:dyDescent="0.2">
      <c r="A114" s="402">
        <f t="shared" ca="1" si="35"/>
        <v>0.01</v>
      </c>
      <c r="B114" s="357">
        <f t="shared" ca="1" si="36"/>
        <v>1.1000000000000008</v>
      </c>
      <c r="C114" s="342"/>
      <c r="D114" s="359">
        <f t="shared" ca="1" si="37"/>
        <v>15.709431027694487</v>
      </c>
      <c r="E114" s="360">
        <f t="shared" ca="1" si="38"/>
        <v>66.779986159058353</v>
      </c>
      <c r="F114" s="357">
        <f t="shared" ca="1" si="39"/>
        <v>68.602862729028416</v>
      </c>
      <c r="G114" s="359">
        <f t="shared" ca="1" si="40"/>
        <v>16.504128548085102</v>
      </c>
      <c r="H114" s="360">
        <f t="shared" ca="1" si="41"/>
        <v>80.366365889104173</v>
      </c>
      <c r="I114" s="357">
        <f t="shared" ca="1" si="42"/>
        <v>82.043519094155656</v>
      </c>
      <c r="J114" s="359">
        <f t="shared" ca="1" si="43"/>
        <v>8.6733087265619968</v>
      </c>
      <c r="K114" s="360">
        <f t="shared" ca="1" si="44"/>
        <v>44.74780784200744</v>
      </c>
      <c r="L114" s="357">
        <f t="shared" ca="1" si="29"/>
        <v>45.580616394817206</v>
      </c>
      <c r="M114" s="359">
        <f t="shared" ca="1" si="45"/>
        <v>1.3682511789940668</v>
      </c>
      <c r="N114" s="357">
        <f t="shared" ca="1" si="46"/>
        <v>78.395017870158981</v>
      </c>
      <c r="O114" s="343"/>
      <c r="P114" s="363">
        <f t="shared" ca="1" si="47"/>
        <v>4</v>
      </c>
      <c r="Q114" s="357">
        <f t="shared" ca="1" si="48"/>
        <v>723.79999999999984</v>
      </c>
      <c r="R114" s="359">
        <f t="shared" ca="1" si="49"/>
        <v>0.36324149691260549</v>
      </c>
      <c r="S114" s="360">
        <f t="shared" ca="1" si="50"/>
        <v>8.9833307908685018</v>
      </c>
      <c r="T114" s="357">
        <f t="shared" ca="1" si="30"/>
        <v>88.126475058420013</v>
      </c>
      <c r="U114" s="364">
        <f t="shared" ca="1" si="31"/>
        <v>0</v>
      </c>
      <c r="V114" s="359">
        <f t="shared" ca="1" si="32"/>
        <v>1.2195306306537803</v>
      </c>
      <c r="W114" s="357">
        <f t="shared" ca="1" si="33"/>
        <v>21.804249602901034</v>
      </c>
      <c r="X114" s="343"/>
      <c r="Y114" s="367" t="str">
        <f t="shared" ca="1" si="51"/>
        <v/>
      </c>
      <c r="Z114" s="368" t="str">
        <f t="shared" ca="1" si="52"/>
        <v/>
      </c>
      <c r="AA114" s="369" t="str">
        <f t="shared" ca="1" si="53"/>
        <v/>
      </c>
      <c r="AB114" s="344"/>
      <c r="AC114" s="363" t="e">
        <f t="shared" ca="1" si="54"/>
        <v>#N/A</v>
      </c>
      <c r="AD114" s="376" t="e">
        <f t="shared" ca="1" si="55"/>
        <v>#N/A</v>
      </c>
      <c r="AE114" s="377">
        <f t="shared" ca="1" si="34"/>
        <v>44.74780784200744</v>
      </c>
      <c r="AF114" s="344"/>
      <c r="AG114" s="359">
        <f t="shared" ca="1" si="56"/>
        <v>68.574539986981932</v>
      </c>
      <c r="AH114" s="357">
        <f t="shared" ca="1" si="57"/>
        <v>78.184475460660607</v>
      </c>
    </row>
    <row r="115" spans="1:34" x14ac:dyDescent="0.2">
      <c r="A115" s="402">
        <f t="shared" ca="1" si="35"/>
        <v>0.01</v>
      </c>
      <c r="B115" s="357">
        <f t="shared" ca="1" si="36"/>
        <v>1.1100000000000008</v>
      </c>
      <c r="C115" s="342"/>
      <c r="D115" s="359">
        <f t="shared" ca="1" si="37"/>
        <v>15.690243451610886</v>
      </c>
      <c r="E115" s="360">
        <f t="shared" ca="1" si="38"/>
        <v>66.593176480807628</v>
      </c>
      <c r="F115" s="357">
        <f t="shared" ca="1" si="39"/>
        <v>68.416627316572743</v>
      </c>
      <c r="G115" s="359">
        <f t="shared" ca="1" si="40"/>
        <v>16.661030982601211</v>
      </c>
      <c r="H115" s="360">
        <f t="shared" ca="1" si="41"/>
        <v>81.032297653912252</v>
      </c>
      <c r="I115" s="357">
        <f t="shared" ca="1" si="42"/>
        <v>82.727403056517076</v>
      </c>
      <c r="J115" s="359">
        <f t="shared" ca="1" si="43"/>
        <v>8.839134524215428</v>
      </c>
      <c r="K115" s="360">
        <f t="shared" ca="1" si="44"/>
        <v>45.554801159722523</v>
      </c>
      <c r="L115" s="357">
        <f t="shared" ca="1" si="29"/>
        <v>46.404420132558855</v>
      </c>
      <c r="M115" s="359">
        <f t="shared" ca="1" si="45"/>
        <v>1.3680126353016135</v>
      </c>
      <c r="N115" s="357">
        <f t="shared" ca="1" si="46"/>
        <v>78.381350323351953</v>
      </c>
      <c r="O115" s="343"/>
      <c r="P115" s="363">
        <f t="shared" ca="1" si="47"/>
        <v>4</v>
      </c>
      <c r="Q115" s="357">
        <f t="shared" ca="1" si="48"/>
        <v>722.19999999999982</v>
      </c>
      <c r="R115" s="359">
        <f t="shared" ca="1" si="49"/>
        <v>0.3624385314593585</v>
      </c>
      <c r="S115" s="360">
        <f t="shared" ca="1" si="50"/>
        <v>8.9797064055539089</v>
      </c>
      <c r="T115" s="357">
        <f t="shared" ca="1" si="30"/>
        <v>88.090919838483856</v>
      </c>
      <c r="U115" s="364">
        <f t="shared" ca="1" si="31"/>
        <v>0</v>
      </c>
      <c r="V115" s="359">
        <f t="shared" ca="1" si="32"/>
        <v>1.2194322188161706</v>
      </c>
      <c r="W115" s="357">
        <f t="shared" ca="1" si="33"/>
        <v>22.167479708992332</v>
      </c>
      <c r="X115" s="343"/>
      <c r="Y115" s="367" t="str">
        <f t="shared" ca="1" si="51"/>
        <v/>
      </c>
      <c r="Z115" s="368" t="str">
        <f t="shared" ca="1" si="52"/>
        <v/>
      </c>
      <c r="AA115" s="369" t="str">
        <f t="shared" ca="1" si="53"/>
        <v/>
      </c>
      <c r="AB115" s="344"/>
      <c r="AC115" s="363" t="e">
        <f t="shared" ca="1" si="54"/>
        <v>#N/A</v>
      </c>
      <c r="AD115" s="376" t="e">
        <f t="shared" ca="1" si="55"/>
        <v>#N/A</v>
      </c>
      <c r="AE115" s="377">
        <f t="shared" ca="1" si="34"/>
        <v>45.554801159722523</v>
      </c>
      <c r="AF115" s="344"/>
      <c r="AG115" s="359">
        <f t="shared" ca="1" si="56"/>
        <v>68.388160863885858</v>
      </c>
      <c r="AH115" s="357">
        <f t="shared" ca="1" si="57"/>
        <v>77.997622501767665</v>
      </c>
    </row>
    <row r="116" spans="1:34" x14ac:dyDescent="0.2">
      <c r="A116" s="402">
        <f t="shared" ca="1" si="35"/>
        <v>0.01</v>
      </c>
      <c r="B116" s="357">
        <f t="shared" ca="1" si="36"/>
        <v>1.1200000000000008</v>
      </c>
      <c r="C116" s="342"/>
      <c r="D116" s="359">
        <f t="shared" ca="1" si="37"/>
        <v>15.670748204752046</v>
      </c>
      <c r="E116" s="360">
        <f t="shared" ca="1" si="38"/>
        <v>66.405975728815591</v>
      </c>
      <c r="F116" s="357">
        <f t="shared" ca="1" si="39"/>
        <v>68.229949155724753</v>
      </c>
      <c r="G116" s="359">
        <f t="shared" ca="1" si="40"/>
        <v>16.81773846464873</v>
      </c>
      <c r="H116" s="360">
        <f t="shared" ca="1" si="41"/>
        <v>81.69635741120041</v>
      </c>
      <c r="I116" s="357">
        <f t="shared" ca="1" si="42"/>
        <v>83.409418780638475</v>
      </c>
      <c r="J116" s="359">
        <f t="shared" ca="1" si="43"/>
        <v>9.0065283714516777</v>
      </c>
      <c r="K116" s="360">
        <f t="shared" ca="1" si="44"/>
        <v>46.368444435048083</v>
      </c>
      <c r="L116" s="357">
        <f t="shared" ca="1" si="29"/>
        <v>47.235052584197526</v>
      </c>
      <c r="M116" s="359">
        <f t="shared" ca="1" si="45"/>
        <v>1.367775767299396</v>
      </c>
      <c r="N116" s="357">
        <f t="shared" ca="1" si="46"/>
        <v>78.367778786523189</v>
      </c>
      <c r="O116" s="343"/>
      <c r="P116" s="363">
        <f t="shared" ca="1" si="47"/>
        <v>4</v>
      </c>
      <c r="Q116" s="357">
        <f t="shared" ca="1" si="48"/>
        <v>720.59999999999991</v>
      </c>
      <c r="R116" s="359">
        <f t="shared" ca="1" si="49"/>
        <v>0.36163556600611158</v>
      </c>
      <c r="S116" s="360">
        <f t="shared" ca="1" si="50"/>
        <v>8.9760900498938483</v>
      </c>
      <c r="T116" s="357">
        <f t="shared" ca="1" si="30"/>
        <v>88.055443389458659</v>
      </c>
      <c r="U116" s="364">
        <f t="shared" ca="1" si="31"/>
        <v>0</v>
      </c>
      <c r="V116" s="359">
        <f t="shared" ca="1" si="32"/>
        <v>1.219333004046057</v>
      </c>
      <c r="W116" s="357">
        <f t="shared" ca="1" si="33"/>
        <v>22.532656206926699</v>
      </c>
      <c r="X116" s="343"/>
      <c r="Y116" s="367" t="str">
        <f t="shared" ca="1" si="51"/>
        <v/>
      </c>
      <c r="Z116" s="368" t="str">
        <f t="shared" ca="1" si="52"/>
        <v/>
      </c>
      <c r="AA116" s="369" t="str">
        <f t="shared" ca="1" si="53"/>
        <v/>
      </c>
      <c r="AB116" s="344"/>
      <c r="AC116" s="363" t="e">
        <f t="shared" ca="1" si="54"/>
        <v>#N/A</v>
      </c>
      <c r="AD116" s="376" t="e">
        <f t="shared" ca="1" si="55"/>
        <v>#N/A</v>
      </c>
      <c r="AE116" s="377">
        <f t="shared" ca="1" si="34"/>
        <v>46.368444435048083</v>
      </c>
      <c r="AF116" s="344"/>
      <c r="AG116" s="359">
        <f t="shared" ca="1" si="56"/>
        <v>68.201338421819358</v>
      </c>
      <c r="AH116" s="357">
        <f t="shared" ca="1" si="57"/>
        <v>77.810329041793338</v>
      </c>
    </row>
    <row r="117" spans="1:34" x14ac:dyDescent="0.2">
      <c r="A117" s="402">
        <f t="shared" ca="1" si="35"/>
        <v>0.01</v>
      </c>
      <c r="B117" s="357">
        <f t="shared" ca="1" si="36"/>
        <v>1.1300000000000008</v>
      </c>
      <c r="C117" s="342"/>
      <c r="D117" s="359">
        <f t="shared" ca="1" si="37"/>
        <v>15.650948954129694</v>
      </c>
      <c r="E117" s="360">
        <f t="shared" ca="1" si="38"/>
        <v>66.218386472338835</v>
      </c>
      <c r="F117" s="357">
        <f t="shared" ca="1" si="39"/>
        <v>68.042831438475574</v>
      </c>
      <c r="G117" s="359">
        <f t="shared" ca="1" si="40"/>
        <v>16.974247954190027</v>
      </c>
      <c r="H117" s="360">
        <f t="shared" ca="1" si="41"/>
        <v>82.358541275923798</v>
      </c>
      <c r="I117" s="357">
        <f t="shared" ca="1" si="42"/>
        <v>84.089561865360963</v>
      </c>
      <c r="J117" s="359">
        <f t="shared" ca="1" si="43"/>
        <v>9.1754883035458707</v>
      </c>
      <c r="K117" s="360">
        <f t="shared" ca="1" si="44"/>
        <v>47.188718928483702</v>
      </c>
      <c r="L117" s="357">
        <f t="shared" ca="1" si="29"/>
        <v>48.072495043631164</v>
      </c>
      <c r="M117" s="359">
        <f t="shared" ca="1" si="45"/>
        <v>1.3675405444962179</v>
      </c>
      <c r="N117" s="357">
        <f t="shared" ca="1" si="46"/>
        <v>78.354301512655852</v>
      </c>
      <c r="O117" s="343"/>
      <c r="P117" s="363">
        <f t="shared" ca="1" si="47"/>
        <v>4</v>
      </c>
      <c r="Q117" s="357">
        <f t="shared" ca="1" si="48"/>
        <v>718.99999999999989</v>
      </c>
      <c r="R117" s="359">
        <f t="shared" ca="1" si="49"/>
        <v>0.36083260055286454</v>
      </c>
      <c r="S117" s="360">
        <f t="shared" ca="1" si="50"/>
        <v>8.9724817238883201</v>
      </c>
      <c r="T117" s="357">
        <f t="shared" ca="1" si="30"/>
        <v>88.020045711344423</v>
      </c>
      <c r="U117" s="364">
        <f t="shared" ca="1" si="31"/>
        <v>0</v>
      </c>
      <c r="V117" s="359">
        <f t="shared" ca="1" si="32"/>
        <v>1.2192329888247313</v>
      </c>
      <c r="W117" s="357">
        <f t="shared" ca="1" si="33"/>
        <v>22.899750769607007</v>
      </c>
      <c r="X117" s="343"/>
      <c r="Y117" s="367" t="str">
        <f t="shared" ca="1" si="51"/>
        <v/>
      </c>
      <c r="Z117" s="368" t="str">
        <f t="shared" ca="1" si="52"/>
        <v/>
      </c>
      <c r="AA117" s="369" t="str">
        <f t="shared" ca="1" si="53"/>
        <v/>
      </c>
      <c r="AB117" s="344"/>
      <c r="AC117" s="363" t="e">
        <f t="shared" ca="1" si="54"/>
        <v>#N/A</v>
      </c>
      <c r="AD117" s="376" t="e">
        <f t="shared" ca="1" si="55"/>
        <v>#N/A</v>
      </c>
      <c r="AE117" s="377">
        <f t="shared" ca="1" si="34"/>
        <v>47.188718928483702</v>
      </c>
      <c r="AF117" s="344"/>
      <c r="AG117" s="359">
        <f t="shared" ca="1" si="56"/>
        <v>68.014075839456268</v>
      </c>
      <c r="AH117" s="357">
        <f t="shared" ca="1" si="57"/>
        <v>77.622598209233431</v>
      </c>
    </row>
    <row r="118" spans="1:34" x14ac:dyDescent="0.2">
      <c r="A118" s="402">
        <f t="shared" ca="1" si="35"/>
        <v>0.01</v>
      </c>
      <c r="B118" s="357">
        <f t="shared" ca="1" si="36"/>
        <v>1.1400000000000008</v>
      </c>
      <c r="C118" s="342"/>
      <c r="D118" s="359">
        <f t="shared" ca="1" si="37"/>
        <v>15.630849288934673</v>
      </c>
      <c r="E118" s="360">
        <f t="shared" ca="1" si="38"/>
        <v>66.030411299205582</v>
      </c>
      <c r="F118" s="357">
        <f t="shared" ca="1" si="39"/>
        <v>67.855277361717754</v>
      </c>
      <c r="G118" s="359">
        <f t="shared" ca="1" si="40"/>
        <v>17.130556447079375</v>
      </c>
      <c r="H118" s="360">
        <f t="shared" ca="1" si="41"/>
        <v>83.01884538891585</v>
      </c>
      <c r="I118" s="357">
        <f t="shared" ca="1" si="42"/>
        <v>84.767827941355719</v>
      </c>
      <c r="J118" s="359">
        <f t="shared" ca="1" si="43"/>
        <v>9.3460123255522181</v>
      </c>
      <c r="K118" s="360">
        <f t="shared" ca="1" si="44"/>
        <v>48.015605861807899</v>
      </c>
      <c r="L118" s="357">
        <f t="shared" ca="1" si="29"/>
        <v>48.916728760883586</v>
      </c>
      <c r="M118" s="359">
        <f t="shared" ca="1" si="45"/>
        <v>1.3673069371969999</v>
      </c>
      <c r="N118" s="357">
        <f t="shared" ca="1" si="46"/>
        <v>78.340916800347202</v>
      </c>
      <c r="O118" s="343"/>
      <c r="P118" s="363">
        <f t="shared" ca="1" si="47"/>
        <v>4</v>
      </c>
      <c r="Q118" s="357">
        <f t="shared" ca="1" si="48"/>
        <v>717.39999999999986</v>
      </c>
      <c r="R118" s="359">
        <f t="shared" ca="1" si="49"/>
        <v>0.36002963509961755</v>
      </c>
      <c r="S118" s="360">
        <f t="shared" ca="1" si="50"/>
        <v>8.9688814275373243</v>
      </c>
      <c r="T118" s="357">
        <f t="shared" ca="1" si="30"/>
        <v>87.984726804141161</v>
      </c>
      <c r="U118" s="364">
        <f t="shared" ca="1" si="31"/>
        <v>0</v>
      </c>
      <c r="V118" s="359">
        <f t="shared" ca="1" si="32"/>
        <v>1.2191321756390179</v>
      </c>
      <c r="W118" s="357">
        <f t="shared" ca="1" si="33"/>
        <v>23.268735082017237</v>
      </c>
      <c r="X118" s="343"/>
      <c r="Y118" s="367" t="str">
        <f t="shared" ca="1" si="51"/>
        <v/>
      </c>
      <c r="Z118" s="368" t="str">
        <f t="shared" ca="1" si="52"/>
        <v/>
      </c>
      <c r="AA118" s="369" t="str">
        <f t="shared" ca="1" si="53"/>
        <v/>
      </c>
      <c r="AB118" s="344"/>
      <c r="AC118" s="363" t="e">
        <f t="shared" ca="1" si="54"/>
        <v>#N/A</v>
      </c>
      <c r="AD118" s="376" t="e">
        <f t="shared" ca="1" si="55"/>
        <v>#N/A</v>
      </c>
      <c r="AE118" s="377">
        <f t="shared" ca="1" si="34"/>
        <v>48.015605861807899</v>
      </c>
      <c r="AF118" s="344"/>
      <c r="AG118" s="359">
        <f t="shared" ca="1" si="56"/>
        <v>67.826376300412633</v>
      </c>
      <c r="AH118" s="357">
        <f t="shared" ca="1" si="57"/>
        <v>77.434433138792073</v>
      </c>
    </row>
    <row r="119" spans="1:34" x14ac:dyDescent="0.2">
      <c r="A119" s="402">
        <f t="shared" ca="1" si="35"/>
        <v>0.01</v>
      </c>
      <c r="B119" s="357">
        <f t="shared" ca="1" si="36"/>
        <v>1.1500000000000008</v>
      </c>
      <c r="C119" s="342"/>
      <c r="D119" s="359">
        <f t="shared" ca="1" si="37"/>
        <v>15.610452723319764</v>
      </c>
      <c r="E119" s="360">
        <f t="shared" ca="1" si="38"/>
        <v>65.842052815202962</v>
      </c>
      <c r="F119" s="357">
        <f t="shared" ca="1" si="39"/>
        <v>67.667290127113688</v>
      </c>
      <c r="G119" s="359">
        <f t="shared" ca="1" si="40"/>
        <v>17.286660974312571</v>
      </c>
      <c r="H119" s="360">
        <f t="shared" ca="1" si="41"/>
        <v>83.677265917067885</v>
      </c>
      <c r="I119" s="357">
        <f t="shared" ca="1" si="42"/>
        <v>85.444212671172252</v>
      </c>
      <c r="J119" s="359">
        <f t="shared" ca="1" si="43"/>
        <v>9.5180984126591781</v>
      </c>
      <c r="K119" s="360">
        <f t="shared" ca="1" si="44"/>
        <v>48.849086418337819</v>
      </c>
      <c r="L119" s="357">
        <f t="shared" ca="1" si="29"/>
        <v>49.76773494242331</v>
      </c>
      <c r="M119" s="359">
        <f t="shared" ca="1" si="45"/>
        <v>1.3670749164748759</v>
      </c>
      <c r="N119" s="357">
        <f t="shared" ca="1" si="46"/>
        <v>78.327622992209925</v>
      </c>
      <c r="O119" s="343"/>
      <c r="P119" s="363">
        <f t="shared" ca="1" si="47"/>
        <v>4</v>
      </c>
      <c r="Q119" s="357">
        <f t="shared" ca="1" si="48"/>
        <v>715.79999999999984</v>
      </c>
      <c r="R119" s="359">
        <f t="shared" ca="1" si="49"/>
        <v>0.35922666964637057</v>
      </c>
      <c r="S119" s="360">
        <f t="shared" ca="1" si="50"/>
        <v>8.9652891608408609</v>
      </c>
      <c r="T119" s="357">
        <f t="shared" ca="1" si="30"/>
        <v>87.949486667848845</v>
      </c>
      <c r="U119" s="364">
        <f t="shared" ca="1" si="31"/>
        <v>0</v>
      </c>
      <c r="V119" s="359">
        <f t="shared" ca="1" si="32"/>
        <v>1.219030566981224</v>
      </c>
      <c r="W119" s="357">
        <f t="shared" ca="1" si="33"/>
        <v>23.63958084270309</v>
      </c>
      <c r="X119" s="343"/>
      <c r="Y119" s="367" t="str">
        <f t="shared" ca="1" si="51"/>
        <v/>
      </c>
      <c r="Z119" s="368" t="str">
        <f t="shared" ca="1" si="52"/>
        <v/>
      </c>
      <c r="AA119" s="369" t="str">
        <f t="shared" ca="1" si="53"/>
        <v/>
      </c>
      <c r="AB119" s="344"/>
      <c r="AC119" s="363" t="e">
        <f t="shared" ca="1" si="54"/>
        <v>#N/A</v>
      </c>
      <c r="AD119" s="376" t="e">
        <f t="shared" ca="1" si="55"/>
        <v>#N/A</v>
      </c>
      <c r="AE119" s="377">
        <f t="shared" ca="1" si="34"/>
        <v>48.849086418337819</v>
      </c>
      <c r="AF119" s="344"/>
      <c r="AG119" s="359">
        <f t="shared" ca="1" si="56"/>
        <v>67.638242993108847</v>
      </c>
      <c r="AH119" s="357">
        <f t="shared" ca="1" si="57"/>
        <v>77.245836971200333</v>
      </c>
    </row>
    <row r="120" spans="1:34" x14ac:dyDescent="0.2">
      <c r="A120" s="402">
        <f t="shared" ca="1" si="35"/>
        <v>0.01</v>
      </c>
      <c r="B120" s="357">
        <f t="shared" ca="1" si="36"/>
        <v>1.1600000000000008</v>
      </c>
      <c r="C120" s="342"/>
      <c r="D120" s="359">
        <f t="shared" ca="1" si="37"/>
        <v>15.589762699058564</v>
      </c>
      <c r="E120" s="360">
        <f t="shared" ca="1" si="38"/>
        <v>65.653313643483116</v>
      </c>
      <c r="F120" s="357">
        <f t="shared" ca="1" si="39"/>
        <v>67.478872940962219</v>
      </c>
      <c r="G120" s="359">
        <f t="shared" ca="1" si="40"/>
        <v>17.442558601303158</v>
      </c>
      <c r="H120" s="360">
        <f t="shared" ca="1" si="41"/>
        <v>84.333799053502716</v>
      </c>
      <c r="I120" s="357">
        <f t="shared" ca="1" si="42"/>
        <v>86.118711749285183</v>
      </c>
      <c r="J120" s="359">
        <f t="shared" ca="1" si="43"/>
        <v>9.6917445105372568</v>
      </c>
      <c r="K120" s="360">
        <f t="shared" ca="1" si="44"/>
        <v>49.689141743190675</v>
      </c>
      <c r="L120" s="357">
        <f t="shared" ca="1" si="29"/>
        <v>50.625494751482904</v>
      </c>
      <c r="M120" s="359">
        <f t="shared" ca="1" si="45"/>
        <v>1.3668444541445059</v>
      </c>
      <c r="N120" s="357">
        <f t="shared" ca="1" si="46"/>
        <v>78.314418473342968</v>
      </c>
      <c r="O120" s="343"/>
      <c r="P120" s="363">
        <f t="shared" ca="1" si="47"/>
        <v>4</v>
      </c>
      <c r="Q120" s="357">
        <f t="shared" ca="1" si="48"/>
        <v>714.19999999999982</v>
      </c>
      <c r="R120" s="359">
        <f t="shared" ca="1" si="49"/>
        <v>0.35842370419312358</v>
      </c>
      <c r="S120" s="360">
        <f t="shared" ca="1" si="50"/>
        <v>8.9617049237989299</v>
      </c>
      <c r="T120" s="357">
        <f t="shared" ca="1" si="30"/>
        <v>87.914325302467503</v>
      </c>
      <c r="U120" s="364">
        <f t="shared" ca="1" si="31"/>
        <v>0</v>
      </c>
      <c r="V120" s="359">
        <f t="shared" ca="1" si="32"/>
        <v>1.2189281653490898</v>
      </c>
      <c r="W120" s="357">
        <f t="shared" ca="1" si="33"/>
        <v>24.012259765246732</v>
      </c>
      <c r="X120" s="343"/>
      <c r="Y120" s="367" t="str">
        <f t="shared" ca="1" si="51"/>
        <v/>
      </c>
      <c r="Z120" s="368" t="str">
        <f t="shared" ca="1" si="52"/>
        <v/>
      </c>
      <c r="AA120" s="369" t="str">
        <f t="shared" ca="1" si="53"/>
        <v/>
      </c>
      <c r="AB120" s="344"/>
      <c r="AC120" s="363" t="e">
        <f t="shared" ca="1" si="54"/>
        <v>#N/A</v>
      </c>
      <c r="AD120" s="376" t="e">
        <f t="shared" ca="1" si="55"/>
        <v>#N/A</v>
      </c>
      <c r="AE120" s="377">
        <f t="shared" ca="1" si="34"/>
        <v>49.689141743190675</v>
      </c>
      <c r="AF120" s="344"/>
      <c r="AG120" s="359">
        <f t="shared" ca="1" si="56"/>
        <v>67.449679110630171</v>
      </c>
      <c r="AH120" s="357">
        <f t="shared" ca="1" si="57"/>
        <v>77.056812853035026</v>
      </c>
    </row>
    <row r="121" spans="1:34" x14ac:dyDescent="0.2">
      <c r="A121" s="402">
        <f t="shared" ca="1" si="35"/>
        <v>0.01</v>
      </c>
      <c r="B121" s="357">
        <f t="shared" ca="1" si="36"/>
        <v>1.1700000000000008</v>
      </c>
      <c r="C121" s="342"/>
      <c r="D121" s="359">
        <f t="shared" ca="1" si="37"/>
        <v>15.568782588086989</v>
      </c>
      <c r="E121" s="360">
        <f t="shared" ca="1" si="38"/>
        <v>65.464196423987104</v>
      </c>
      <c r="F121" s="357">
        <f t="shared" ca="1" si="39"/>
        <v>67.29002901406335</v>
      </c>
      <c r="G121" s="359">
        <f t="shared" ca="1" si="40"/>
        <v>17.59824642718403</v>
      </c>
      <c r="H121" s="360">
        <f t="shared" ca="1" si="41"/>
        <v>84.988441017742588</v>
      </c>
      <c r="I121" s="357">
        <f t="shared" ca="1" si="42"/>
        <v>86.791320902139788</v>
      </c>
      <c r="J121" s="359">
        <f t="shared" ca="1" si="43"/>
        <v>9.8669485356796933</v>
      </c>
      <c r="K121" s="360">
        <f t="shared" ca="1" si="44"/>
        <v>50.535752943546903</v>
      </c>
      <c r="L121" s="357">
        <f t="shared" ca="1" si="29"/>
        <v>51.489989308378782</v>
      </c>
      <c r="M121" s="359">
        <f t="shared" ca="1" si="45"/>
        <v>1.3666155227365429</v>
      </c>
      <c r="N121" s="357">
        <f t="shared" ca="1" si="46"/>
        <v>78.301301669868707</v>
      </c>
      <c r="O121" s="343"/>
      <c r="P121" s="363">
        <f t="shared" ca="1" si="47"/>
        <v>4</v>
      </c>
      <c r="Q121" s="357">
        <f t="shared" ca="1" si="48"/>
        <v>712.59999999999991</v>
      </c>
      <c r="R121" s="359">
        <f t="shared" ca="1" si="49"/>
        <v>0.3576207387398766</v>
      </c>
      <c r="S121" s="360">
        <f t="shared" ca="1" si="50"/>
        <v>8.9581287164115313</v>
      </c>
      <c r="T121" s="357">
        <f t="shared" ca="1" si="30"/>
        <v>87.879242707997122</v>
      </c>
      <c r="U121" s="364">
        <f t="shared" ca="1" si="31"/>
        <v>0</v>
      </c>
      <c r="V121" s="359">
        <f t="shared" ca="1" si="32"/>
        <v>1.2188249732457392</v>
      </c>
      <c r="W121" s="357">
        <f t="shared" ca="1" si="33"/>
        <v>24.386743579735686</v>
      </c>
      <c r="X121" s="343"/>
      <c r="Y121" s="367" t="str">
        <f t="shared" ca="1" si="51"/>
        <v/>
      </c>
      <c r="Z121" s="368" t="str">
        <f t="shared" ca="1" si="52"/>
        <v/>
      </c>
      <c r="AA121" s="369" t="str">
        <f t="shared" ca="1" si="53"/>
        <v/>
      </c>
      <c r="AB121" s="344"/>
      <c r="AC121" s="363" t="e">
        <f t="shared" ca="1" si="54"/>
        <v>#N/A</v>
      </c>
      <c r="AD121" s="376" t="e">
        <f t="shared" ca="1" si="55"/>
        <v>#N/A</v>
      </c>
      <c r="AE121" s="377">
        <f t="shared" ca="1" si="34"/>
        <v>50.535752943546903</v>
      </c>
      <c r="AF121" s="344"/>
      <c r="AG121" s="359">
        <f t="shared" ca="1" si="56"/>
        <v>67.260687850585427</v>
      </c>
      <c r="AH121" s="357">
        <f t="shared" ca="1" si="57"/>
        <v>76.867363936537544</v>
      </c>
    </row>
    <row r="122" spans="1:34" x14ac:dyDescent="0.2">
      <c r="A122" s="402">
        <f t="shared" ca="1" si="35"/>
        <v>0.01</v>
      </c>
      <c r="B122" s="357">
        <f t="shared" ca="1" si="36"/>
        <v>1.1800000000000008</v>
      </c>
      <c r="C122" s="342"/>
      <c r="D122" s="359">
        <f t="shared" ca="1" si="37"/>
        <v>15.54751569493355</v>
      </c>
      <c r="E122" s="360">
        <f t="shared" ca="1" si="38"/>
        <v>65.274703812885662</v>
      </c>
      <c r="F122" s="357">
        <f t="shared" ca="1" si="39"/>
        <v>67.100761561581066</v>
      </c>
      <c r="G122" s="359">
        <f t="shared" ca="1" si="40"/>
        <v>17.753721584133366</v>
      </c>
      <c r="H122" s="360">
        <f t="shared" ca="1" si="41"/>
        <v>85.641188055871439</v>
      </c>
      <c r="I122" s="357">
        <f t="shared" ca="1" si="42"/>
        <v>87.462035888195857</v>
      </c>
      <c r="J122" s="359">
        <f t="shared" ca="1" si="43"/>
        <v>10.04370837573628</v>
      </c>
      <c r="K122" s="360">
        <f t="shared" ca="1" si="44"/>
        <v>51.38890108891497</v>
      </c>
      <c r="L122" s="357">
        <f t="shared" ca="1" si="29"/>
        <v>52.361199690831391</v>
      </c>
      <c r="M122" s="359">
        <f t="shared" ca="1" si="45"/>
        <v>1.366388095473194</v>
      </c>
      <c r="N122" s="357">
        <f t="shared" ca="1" si="46"/>
        <v>78.288271047532604</v>
      </c>
      <c r="O122" s="343"/>
      <c r="P122" s="363">
        <f t="shared" ca="1" si="47"/>
        <v>4</v>
      </c>
      <c r="Q122" s="357">
        <f t="shared" ca="1" si="48"/>
        <v>710.99999999999989</v>
      </c>
      <c r="R122" s="359">
        <f t="shared" ca="1" si="49"/>
        <v>0.35681777328662961</v>
      </c>
      <c r="S122" s="360">
        <f t="shared" ca="1" si="50"/>
        <v>8.9545605386786651</v>
      </c>
      <c r="T122" s="357">
        <f t="shared" ca="1" si="30"/>
        <v>87.844238884437715</v>
      </c>
      <c r="U122" s="364">
        <f t="shared" ca="1" si="31"/>
        <v>0</v>
      </c>
      <c r="V122" s="359">
        <f t="shared" ca="1" si="32"/>
        <v>1.2187209931796295</v>
      </c>
      <c r="W122" s="357">
        <f t="shared" ca="1" si="33"/>
        <v>24.763004034225371</v>
      </c>
      <c r="X122" s="343"/>
      <c r="Y122" s="367" t="str">
        <f t="shared" ca="1" si="51"/>
        <v/>
      </c>
      <c r="Z122" s="368" t="str">
        <f t="shared" ca="1" si="52"/>
        <v/>
      </c>
      <c r="AA122" s="369" t="str">
        <f t="shared" ca="1" si="53"/>
        <v/>
      </c>
      <c r="AB122" s="344"/>
      <c r="AC122" s="363" t="e">
        <f t="shared" ca="1" si="54"/>
        <v>#N/A</v>
      </c>
      <c r="AD122" s="376" t="e">
        <f t="shared" ca="1" si="55"/>
        <v>#N/A</v>
      </c>
      <c r="AE122" s="377">
        <f t="shared" ca="1" si="34"/>
        <v>51.38890108891497</v>
      </c>
      <c r="AF122" s="344"/>
      <c r="AG122" s="359">
        <f t="shared" ca="1" si="56"/>
        <v>67.071272414964298</v>
      </c>
      <c r="AH122" s="357">
        <f t="shared" ca="1" si="57"/>
        <v>76.677493379432875</v>
      </c>
    </row>
    <row r="123" spans="1:34" x14ac:dyDescent="0.2">
      <c r="A123" s="402">
        <f t="shared" ca="1" si="35"/>
        <v>0.01</v>
      </c>
      <c r="B123" s="357">
        <f t="shared" ca="1" si="36"/>
        <v>1.1900000000000008</v>
      </c>
      <c r="C123" s="342"/>
      <c r="D123" s="359">
        <f t="shared" ca="1" si="37"/>
        <v>15.525965259043994</v>
      </c>
      <c r="E123" s="360">
        <f t="shared" ca="1" si="38"/>
        <v>65.08483848203646</v>
      </c>
      <c r="F123" s="357">
        <f t="shared" ca="1" si="39"/>
        <v>66.911073802905108</v>
      </c>
      <c r="G123" s="359">
        <f t="shared" ca="1" si="40"/>
        <v>17.908981236723807</v>
      </c>
      <c r="H123" s="360">
        <f t="shared" ca="1" si="41"/>
        <v>86.292036440691803</v>
      </c>
      <c r="I123" s="357">
        <f t="shared" ca="1" si="42"/>
        <v>88.130852497970352</v>
      </c>
      <c r="J123" s="359">
        <f t="shared" ca="1" si="43"/>
        <v>10.222021889840565</v>
      </c>
      <c r="K123" s="360">
        <f t="shared" ca="1" si="44"/>
        <v>52.248567211397784</v>
      </c>
      <c r="L123" s="357">
        <f t="shared" ca="1" si="29"/>
        <v>53.239106934285921</v>
      </c>
      <c r="M123" s="359">
        <f t="shared" ca="1" si="45"/>
        <v>1.3661621462448208</v>
      </c>
      <c r="N123" s="357">
        <f t="shared" ca="1" si="46"/>
        <v>78.275325110362573</v>
      </c>
      <c r="O123" s="343"/>
      <c r="P123" s="363">
        <f t="shared" ca="1" si="47"/>
        <v>4</v>
      </c>
      <c r="Q123" s="357">
        <f t="shared" ca="1" si="48"/>
        <v>709.39999999999986</v>
      </c>
      <c r="R123" s="359">
        <f t="shared" ca="1" si="49"/>
        <v>0.35601480783338263</v>
      </c>
      <c r="S123" s="360">
        <f t="shared" ca="1" si="50"/>
        <v>8.9510003906003313</v>
      </c>
      <c r="T123" s="357">
        <f t="shared" ca="1" si="30"/>
        <v>87.809313831789254</v>
      </c>
      <c r="U123" s="364">
        <f t="shared" ca="1" si="31"/>
        <v>0</v>
      </c>
      <c r="V123" s="359">
        <f t="shared" ca="1" si="32"/>
        <v>1.2186162276645005</v>
      </c>
      <c r="W123" s="357">
        <f t="shared" ca="1" si="33"/>
        <v>25.141012896195651</v>
      </c>
      <c r="X123" s="343"/>
      <c r="Y123" s="367" t="str">
        <f t="shared" ca="1" si="51"/>
        <v/>
      </c>
      <c r="Z123" s="368" t="str">
        <f t="shared" ca="1" si="52"/>
        <v/>
      </c>
      <c r="AA123" s="369" t="str">
        <f t="shared" ca="1" si="53"/>
        <v/>
      </c>
      <c r="AB123" s="344"/>
      <c r="AC123" s="363" t="e">
        <f t="shared" ca="1" si="54"/>
        <v>#N/A</v>
      </c>
      <c r="AD123" s="376" t="e">
        <f t="shared" ca="1" si="55"/>
        <v>#N/A</v>
      </c>
      <c r="AE123" s="377">
        <f t="shared" ca="1" si="34"/>
        <v>52.248567211397784</v>
      </c>
      <c r="AF123" s="344"/>
      <c r="AG123" s="359">
        <f t="shared" ca="1" si="56"/>
        <v>66.881436009993166</v>
      </c>
      <c r="AH123" s="357">
        <f t="shared" ca="1" si="57"/>
        <v>76.487204344748875</v>
      </c>
    </row>
    <row r="124" spans="1:34" x14ac:dyDescent="0.2">
      <c r="A124" s="402">
        <f t="shared" ca="1" si="35"/>
        <v>0.01</v>
      </c>
      <c r="B124" s="357">
        <f t="shared" ca="1" si="36"/>
        <v>1.2000000000000008</v>
      </c>
      <c r="C124" s="342"/>
      <c r="D124" s="359">
        <f t="shared" ca="1" si="37"/>
        <v>15.504134457005852</v>
      </c>
      <c r="E124" s="360">
        <f t="shared" ca="1" si="38"/>
        <v>64.894603118456359</v>
      </c>
      <c r="F124" s="357">
        <f t="shared" ca="1" si="39"/>
        <v>66.720968961510764</v>
      </c>
      <c r="G124" s="359">
        <f t="shared" ca="1" si="40"/>
        <v>18.064022581293866</v>
      </c>
      <c r="H124" s="360">
        <f t="shared" ca="1" si="41"/>
        <v>86.940982471876367</v>
      </c>
      <c r="I124" s="357">
        <f t="shared" ca="1" si="42"/>
        <v>88.797766554078422</v>
      </c>
      <c r="J124" s="359">
        <f t="shared" ca="1" si="43"/>
        <v>10.401886908930654</v>
      </c>
      <c r="K124" s="360">
        <f t="shared" ca="1" si="44"/>
        <v>53.114732305960622</v>
      </c>
      <c r="L124" s="357">
        <f t="shared" ca="1" si="29"/>
        <v>54.12369203223335</v>
      </c>
      <c r="M124" s="359">
        <f t="shared" ca="1" si="45"/>
        <v>1.3659376495875251</v>
      </c>
      <c r="N124" s="357">
        <f t="shared" ca="1" si="46"/>
        <v>78.262462399384745</v>
      </c>
      <c r="O124" s="343"/>
      <c r="P124" s="363">
        <f t="shared" ca="1" si="47"/>
        <v>4</v>
      </c>
      <c r="Q124" s="357">
        <f t="shared" ca="1" si="48"/>
        <v>707.79999999999984</v>
      </c>
      <c r="R124" s="359">
        <f t="shared" ca="1" si="49"/>
        <v>0.35521184238013565</v>
      </c>
      <c r="S124" s="360">
        <f t="shared" ca="1" si="50"/>
        <v>8.9474482721765298</v>
      </c>
      <c r="T124" s="357">
        <f t="shared" ca="1" si="30"/>
        <v>87.774467550051767</v>
      </c>
      <c r="U124" s="364">
        <f t="shared" ca="1" si="31"/>
        <v>0</v>
      </c>
      <c r="V124" s="359">
        <f t="shared" ca="1" si="32"/>
        <v>1.2185106792193257</v>
      </c>
      <c r="W124" s="357">
        <f t="shared" ca="1" si="33"/>
        <v>25.520741954000897</v>
      </c>
      <c r="X124" s="343"/>
      <c r="Y124" s="367" t="str">
        <f t="shared" ca="1" si="51"/>
        <v/>
      </c>
      <c r="Z124" s="368" t="str">
        <f t="shared" ca="1" si="52"/>
        <v/>
      </c>
      <c r="AA124" s="369" t="str">
        <f t="shared" ca="1" si="53"/>
        <v/>
      </c>
      <c r="AB124" s="344"/>
      <c r="AC124" s="363" t="e">
        <f t="shared" ca="1" si="54"/>
        <v>#N/A</v>
      </c>
      <c r="AD124" s="376" t="e">
        <f t="shared" ca="1" si="55"/>
        <v>#N/A</v>
      </c>
      <c r="AE124" s="377">
        <f t="shared" ca="1" si="34"/>
        <v>53.114732305960622</v>
      </c>
      <c r="AF124" s="344"/>
      <c r="AG124" s="359">
        <f t="shared" ca="1" si="56"/>
        <v>66.691181845989618</v>
      </c>
      <c r="AH124" s="357">
        <f t="shared" ca="1" si="57"/>
        <v>76.29650000063566</v>
      </c>
    </row>
    <row r="125" spans="1:34" x14ac:dyDescent="0.2">
      <c r="A125" s="402">
        <f t="shared" ca="1" si="35"/>
        <v>0.01</v>
      </c>
      <c r="B125" s="357">
        <f t="shared" ca="1" si="36"/>
        <v>1.2100000000000009</v>
      </c>
      <c r="C125" s="342"/>
      <c r="D125" s="359">
        <f t="shared" ca="1" si="37"/>
        <v>15.482026404677786</v>
      </c>
      <c r="E125" s="360">
        <f t="shared" ca="1" si="38"/>
        <v>64.70400042380858</v>
      </c>
      <c r="F125" s="357">
        <f t="shared" ca="1" si="39"/>
        <v>66.530450264817546</v>
      </c>
      <c r="G125" s="359">
        <f t="shared" ca="1" si="40"/>
        <v>18.218842845340642</v>
      </c>
      <c r="H125" s="360">
        <f t="shared" ca="1" si="41"/>
        <v>87.588022476114446</v>
      </c>
      <c r="I125" s="357">
        <f t="shared" ca="1" si="42"/>
        <v>89.462773911273004</v>
      </c>
      <c r="J125" s="359">
        <f t="shared" ca="1" si="43"/>
        <v>10.583301236063827</v>
      </c>
      <c r="K125" s="360">
        <f t="shared" ca="1" si="44"/>
        <v>53.987377330700575</v>
      </c>
      <c r="L125" s="357">
        <f t="shared" ca="1" si="29"/>
        <v>55.014935936531934</v>
      </c>
      <c r="M125" s="359">
        <f t="shared" ca="1" si="45"/>
        <v>1.3657145806616695</v>
      </c>
      <c r="N125" s="357">
        <f t="shared" ca="1" si="46"/>
        <v>78.249681491392693</v>
      </c>
      <c r="O125" s="343"/>
      <c r="P125" s="363">
        <f t="shared" ca="1" si="47"/>
        <v>4</v>
      </c>
      <c r="Q125" s="357">
        <f t="shared" ca="1" si="48"/>
        <v>706.19999999999982</v>
      </c>
      <c r="R125" s="359">
        <f t="shared" ca="1" si="49"/>
        <v>0.35440887692688861</v>
      </c>
      <c r="S125" s="360">
        <f t="shared" ca="1" si="50"/>
        <v>8.9439041834072608</v>
      </c>
      <c r="T125" s="357">
        <f t="shared" ca="1" si="30"/>
        <v>87.739700039225227</v>
      </c>
      <c r="U125" s="364">
        <f t="shared" ca="1" si="31"/>
        <v>0</v>
      </c>
      <c r="V125" s="359">
        <f t="shared" ca="1" si="32"/>
        <v>1.2184043503682598</v>
      </c>
      <c r="W125" s="357">
        <f t="shared" ca="1" si="33"/>
        <v>25.902163018313679</v>
      </c>
      <c r="X125" s="343"/>
      <c r="Y125" s="367" t="str">
        <f t="shared" ca="1" si="51"/>
        <v/>
      </c>
      <c r="Z125" s="368" t="str">
        <f t="shared" ca="1" si="52"/>
        <v/>
      </c>
      <c r="AA125" s="369" t="str">
        <f t="shared" ca="1" si="53"/>
        <v/>
      </c>
      <c r="AB125" s="344"/>
      <c r="AC125" s="363" t="e">
        <f t="shared" ca="1" si="54"/>
        <v>#N/A</v>
      </c>
      <c r="AD125" s="376" t="e">
        <f t="shared" ca="1" si="55"/>
        <v>#N/A</v>
      </c>
      <c r="AE125" s="377">
        <f t="shared" ca="1" si="34"/>
        <v>53.987377330700575</v>
      </c>
      <c r="AF125" s="344"/>
      <c r="AG125" s="359">
        <f t="shared" ca="1" si="56"/>
        <v>66.500513137215762</v>
      </c>
      <c r="AH125" s="357">
        <f t="shared" ca="1" si="57"/>
        <v>76.105383520185256</v>
      </c>
    </row>
    <row r="126" spans="1:34" x14ac:dyDescent="0.2">
      <c r="A126" s="402">
        <f t="shared" ca="1" si="35"/>
        <v>0.01</v>
      </c>
      <c r="B126" s="357">
        <f t="shared" ca="1" si="36"/>
        <v>1.2200000000000009</v>
      </c>
      <c r="C126" s="342"/>
      <c r="D126" s="359">
        <f t="shared" ca="1" si="37"/>
        <v>15.459644159228722</v>
      </c>
      <c r="E126" s="360">
        <f t="shared" ca="1" si="38"/>
        <v>64.513033113903518</v>
      </c>
      <c r="F126" s="357">
        <f t="shared" ca="1" si="39"/>
        <v>66.339520944046512</v>
      </c>
      <c r="G126" s="359">
        <f t="shared" ca="1" si="40"/>
        <v>18.373439286932928</v>
      </c>
      <c r="H126" s="360">
        <f t="shared" ca="1" si="41"/>
        <v>88.233152807253475</v>
      </c>
      <c r="I126" s="357">
        <f t="shared" ca="1" si="42"/>
        <v>90.125870456482986</v>
      </c>
      <c r="J126" s="359">
        <f t="shared" ca="1" si="43"/>
        <v>10.766262646725195</v>
      </c>
      <c r="K126" s="360">
        <f t="shared" ca="1" si="44"/>
        <v>54.866483207117412</v>
      </c>
      <c r="L126" s="357">
        <f t="shared" ca="1" si="29"/>
        <v>55.912819557729037</v>
      </c>
      <c r="M126" s="359">
        <f t="shared" ca="1" si="45"/>
        <v>1.3654929152312902</v>
      </c>
      <c r="N126" s="357">
        <f t="shared" ca="1" si="46"/>
        <v>78.236980997768015</v>
      </c>
      <c r="O126" s="343"/>
      <c r="P126" s="363">
        <f t="shared" ca="1" si="47"/>
        <v>4</v>
      </c>
      <c r="Q126" s="357">
        <f t="shared" ca="1" si="48"/>
        <v>704.5999999999998</v>
      </c>
      <c r="R126" s="359">
        <f t="shared" ca="1" si="49"/>
        <v>0.35360591147364162</v>
      </c>
      <c r="S126" s="360">
        <f t="shared" ca="1" si="50"/>
        <v>8.9403681242925241</v>
      </c>
      <c r="T126" s="357">
        <f t="shared" ca="1" si="30"/>
        <v>87.70501129930966</v>
      </c>
      <c r="U126" s="364">
        <f t="shared" ca="1" si="31"/>
        <v>0</v>
      </c>
      <c r="V126" s="359">
        <f t="shared" ca="1" si="32"/>
        <v>1.2182972436405899</v>
      </c>
      <c r="W126" s="357">
        <f t="shared" ca="1" si="33"/>
        <v>26.285247923561901</v>
      </c>
      <c r="X126" s="343"/>
      <c r="Y126" s="367" t="str">
        <f t="shared" ca="1" si="51"/>
        <v/>
      </c>
      <c r="Z126" s="368" t="str">
        <f t="shared" ca="1" si="52"/>
        <v/>
      </c>
      <c r="AA126" s="369" t="str">
        <f t="shared" ca="1" si="53"/>
        <v/>
      </c>
      <c r="AB126" s="344"/>
      <c r="AC126" s="363" t="e">
        <f t="shared" ca="1" si="54"/>
        <v>#N/A</v>
      </c>
      <c r="AD126" s="376" t="e">
        <f t="shared" ca="1" si="55"/>
        <v>#N/A</v>
      </c>
      <c r="AE126" s="377">
        <f t="shared" ca="1" si="34"/>
        <v>54.866483207117412</v>
      </c>
      <c r="AF126" s="344"/>
      <c r="AG126" s="359">
        <f t="shared" ca="1" si="56"/>
        <v>66.309433101730221</v>
      </c>
      <c r="AH126" s="357">
        <f t="shared" ca="1" si="57"/>
        <v>75.913858081251362</v>
      </c>
    </row>
    <row r="127" spans="1:34" x14ac:dyDescent="0.2">
      <c r="A127" s="402">
        <f t="shared" ca="1" si="35"/>
        <v>0.01</v>
      </c>
      <c r="B127" s="357">
        <f t="shared" ca="1" si="36"/>
        <v>1.2300000000000009</v>
      </c>
      <c r="C127" s="342"/>
      <c r="D127" s="359">
        <f t="shared" ca="1" si="37"/>
        <v>15.436990721091009</v>
      </c>
      <c r="E127" s="360">
        <f t="shared" ca="1" si="38"/>
        <v>64.321703918213146</v>
      </c>
      <c r="F127" s="357">
        <f t="shared" ca="1" si="39"/>
        <v>66.148184234076496</v>
      </c>
      <c r="G127" s="359">
        <f t="shared" ca="1" si="40"/>
        <v>18.527809194143838</v>
      </c>
      <c r="H127" s="360">
        <f t="shared" ca="1" si="41"/>
        <v>88.876369846435608</v>
      </c>
      <c r="I127" s="357">
        <f t="shared" ca="1" si="42"/>
        <v>90.787052108849807</v>
      </c>
      <c r="J127" s="359">
        <f t="shared" ca="1" si="43"/>
        <v>10.950768889130579</v>
      </c>
      <c r="K127" s="360">
        <f t="shared" ca="1" si="44"/>
        <v>55.752030820385855</v>
      </c>
      <c r="L127" s="357">
        <f t="shared" ca="1" si="29"/>
        <v>56.817323765383428</v>
      </c>
      <c r="M127" s="359">
        <f t="shared" ca="1" si="45"/>
        <v>1.3652726296443523</v>
      </c>
      <c r="N127" s="357">
        <f t="shared" ca="1" si="46"/>
        <v>78.224359563348912</v>
      </c>
      <c r="O127" s="343"/>
      <c r="P127" s="363">
        <f t="shared" ca="1" si="47"/>
        <v>4</v>
      </c>
      <c r="Q127" s="357">
        <f t="shared" ca="1" si="48"/>
        <v>702.99999999999989</v>
      </c>
      <c r="R127" s="359">
        <f t="shared" ca="1" si="49"/>
        <v>0.35280294602039469</v>
      </c>
      <c r="S127" s="360">
        <f t="shared" ca="1" si="50"/>
        <v>8.9368400948323199</v>
      </c>
      <c r="T127" s="357">
        <f t="shared" ca="1" si="30"/>
        <v>87.670401330305069</v>
      </c>
      <c r="U127" s="364">
        <f t="shared" ca="1" si="31"/>
        <v>0</v>
      </c>
      <c r="V127" s="359">
        <f t="shared" ca="1" si="32"/>
        <v>1.2181893615706838</v>
      </c>
      <c r="W127" s="357">
        <f t="shared" ca="1" si="33"/>
        <v>26.669968529359242</v>
      </c>
      <c r="X127" s="343"/>
      <c r="Y127" s="367" t="str">
        <f t="shared" ca="1" si="51"/>
        <v/>
      </c>
      <c r="Z127" s="368" t="str">
        <f t="shared" ca="1" si="52"/>
        <v/>
      </c>
      <c r="AA127" s="369" t="str">
        <f t="shared" ca="1" si="53"/>
        <v/>
      </c>
      <c r="AB127" s="344"/>
      <c r="AC127" s="363" t="e">
        <f t="shared" ca="1" si="54"/>
        <v>#N/A</v>
      </c>
      <c r="AD127" s="376" t="e">
        <f t="shared" ca="1" si="55"/>
        <v>#N/A</v>
      </c>
      <c r="AE127" s="377">
        <f t="shared" ca="1" si="34"/>
        <v>55.752030820385855</v>
      </c>
      <c r="AF127" s="344"/>
      <c r="AG127" s="359">
        <f t="shared" ca="1" si="56"/>
        <v>66.117944961239331</v>
      </c>
      <c r="AH127" s="357">
        <f t="shared" ca="1" si="57"/>
        <v>75.721926866269513</v>
      </c>
    </row>
    <row r="128" spans="1:34" x14ac:dyDescent="0.2">
      <c r="A128" s="402">
        <f t="shared" ca="1" si="35"/>
        <v>0.01</v>
      </c>
      <c r="B128" s="357">
        <f t="shared" ca="1" si="36"/>
        <v>1.2400000000000009</v>
      </c>
      <c r="C128" s="342"/>
      <c r="D128" s="359">
        <f t="shared" ca="1" si="37"/>
        <v>15.414069035832117</v>
      </c>
      <c r="E128" s="360">
        <f t="shared" ca="1" si="38"/>
        <v>64.130015579397863</v>
      </c>
      <c r="F128" s="357">
        <f t="shared" ca="1" si="39"/>
        <v>65.956443373299109</v>
      </c>
      <c r="G128" s="359">
        <f t="shared" ca="1" si="40"/>
        <v>18.68194988450216</v>
      </c>
      <c r="H128" s="360">
        <f t="shared" ca="1" si="41"/>
        <v>89.517670002229593</v>
      </c>
      <c r="I128" s="357">
        <f t="shared" ca="1" si="42"/>
        <v>91.446314819762563</v>
      </c>
      <c r="J128" s="359">
        <f t="shared" ca="1" si="43"/>
        <v>11.136817684523809</v>
      </c>
      <c r="K128" s="360">
        <f t="shared" ca="1" si="44"/>
        <v>56.644001019629179</v>
      </c>
      <c r="L128" s="357">
        <f t="shared" ca="1" si="29"/>
        <v>57.728429388387774</v>
      </c>
      <c r="M128" s="359">
        <f t="shared" ca="1" si="45"/>
        <v>1.3650537008138104</v>
      </c>
      <c r="N128" s="357">
        <f t="shared" ca="1" si="46"/>
        <v>78.21181586534513</v>
      </c>
      <c r="O128" s="343"/>
      <c r="P128" s="363">
        <f t="shared" ca="1" si="47"/>
        <v>4</v>
      </c>
      <c r="Q128" s="357">
        <f t="shared" ca="1" si="48"/>
        <v>701.39999999999986</v>
      </c>
      <c r="R128" s="359">
        <f t="shared" ca="1" si="49"/>
        <v>0.35199998056714771</v>
      </c>
      <c r="S128" s="360">
        <f t="shared" ca="1" si="50"/>
        <v>8.933320095026648</v>
      </c>
      <c r="T128" s="357">
        <f t="shared" ca="1" si="30"/>
        <v>87.635870132211423</v>
      </c>
      <c r="U128" s="364">
        <f t="shared" ca="1" si="31"/>
        <v>0</v>
      </c>
      <c r="V128" s="359">
        <f t="shared" ca="1" si="32"/>
        <v>1.2180807066979384</v>
      </c>
      <c r="W128" s="357">
        <f t="shared" ca="1" si="33"/>
        <v>27.056296721928792</v>
      </c>
      <c r="X128" s="343"/>
      <c r="Y128" s="367" t="str">
        <f t="shared" ca="1" si="51"/>
        <v/>
      </c>
      <c r="Z128" s="368" t="str">
        <f t="shared" ca="1" si="52"/>
        <v/>
      </c>
      <c r="AA128" s="369" t="str">
        <f t="shared" ca="1" si="53"/>
        <v/>
      </c>
      <c r="AB128" s="344"/>
      <c r="AC128" s="363" t="e">
        <f t="shared" ca="1" si="54"/>
        <v>#N/A</v>
      </c>
      <c r="AD128" s="376" t="e">
        <f t="shared" ca="1" si="55"/>
        <v>#N/A</v>
      </c>
      <c r="AE128" s="377">
        <f t="shared" ca="1" si="34"/>
        <v>56.644001019629179</v>
      </c>
      <c r="AF128" s="344"/>
      <c r="AG128" s="359">
        <f t="shared" ca="1" si="56"/>
        <v>65.926051940947062</v>
      </c>
      <c r="AH128" s="357">
        <f t="shared" ca="1" si="57"/>
        <v>75.529593062077311</v>
      </c>
    </row>
    <row r="129" spans="1:34" x14ac:dyDescent="0.2">
      <c r="A129" s="402">
        <f t="shared" ca="1" si="35"/>
        <v>0.01</v>
      </c>
      <c r="B129" s="357">
        <f t="shared" ca="1" si="36"/>
        <v>1.2500000000000009</v>
      </c>
      <c r="C129" s="342"/>
      <c r="D129" s="359">
        <f t="shared" ca="1" si="37"/>
        <v>15.39088199594865</v>
      </c>
      <c r="E129" s="360">
        <f t="shared" ca="1" si="38"/>
        <v>63.937970852845609</v>
      </c>
      <c r="F129" s="357">
        <f t="shared" ca="1" si="39"/>
        <v>65.764301603472916</v>
      </c>
      <c r="G129" s="359">
        <f t="shared" ca="1" si="40"/>
        <v>18.835858704461646</v>
      </c>
      <c r="H129" s="360">
        <f t="shared" ca="1" si="41"/>
        <v>90.157049710758045</v>
      </c>
      <c r="I129" s="357">
        <f t="shared" ca="1" si="42"/>
        <v>92.103654572891628</v>
      </c>
      <c r="J129" s="359">
        <f t="shared" ca="1" si="43"/>
        <v>11.324406727468627</v>
      </c>
      <c r="K129" s="360">
        <f t="shared" ca="1" si="44"/>
        <v>57.542374618194117</v>
      </c>
      <c r="L129" s="357">
        <f t="shared" ca="1" si="29"/>
        <v>58.646117215291646</v>
      </c>
      <c r="M129" s="359">
        <f t="shared" ca="1" si="45"/>
        <v>1.3648361061994345</v>
      </c>
      <c r="N129" s="357">
        <f t="shared" ca="1" si="46"/>
        <v>78.199348612296603</v>
      </c>
      <c r="O129" s="343"/>
      <c r="P129" s="363">
        <f t="shared" ca="1" si="47"/>
        <v>4</v>
      </c>
      <c r="Q129" s="357">
        <f t="shared" ca="1" si="48"/>
        <v>699.79999999999984</v>
      </c>
      <c r="R129" s="359">
        <f t="shared" ca="1" si="49"/>
        <v>0.35119701511390067</v>
      </c>
      <c r="S129" s="360">
        <f t="shared" ca="1" si="50"/>
        <v>8.9298081248755086</v>
      </c>
      <c r="T129" s="357">
        <f t="shared" ca="1" si="30"/>
        <v>87.601417705028737</v>
      </c>
      <c r="U129" s="364">
        <f t="shared" ca="1" si="31"/>
        <v>0</v>
      </c>
      <c r="V129" s="359">
        <f t="shared" ca="1" si="32"/>
        <v>1.2179712815667298</v>
      </c>
      <c r="W129" s="357">
        <f t="shared" ca="1" si="33"/>
        <v>27.444204415519941</v>
      </c>
      <c r="X129" s="343"/>
      <c r="Y129" s="367" t="str">
        <f t="shared" ca="1" si="51"/>
        <v/>
      </c>
      <c r="Z129" s="368" t="str">
        <f t="shared" ca="1" si="52"/>
        <v/>
      </c>
      <c r="AA129" s="369" t="str">
        <f t="shared" ca="1" si="53"/>
        <v/>
      </c>
      <c r="AB129" s="344"/>
      <c r="AC129" s="363" t="e">
        <f t="shared" ca="1" si="54"/>
        <v>#N/A</v>
      </c>
      <c r="AD129" s="376" t="e">
        <f t="shared" ca="1" si="55"/>
        <v>#N/A</v>
      </c>
      <c r="AE129" s="377">
        <f t="shared" ca="1" si="34"/>
        <v>57.542374618194117</v>
      </c>
      <c r="AF129" s="344"/>
      <c r="AG129" s="359">
        <f t="shared" ca="1" si="56"/>
        <v>65.733757269404364</v>
      </c>
      <c r="AH129" s="357">
        <f t="shared" ca="1" si="57"/>
        <v>75.336859859735213</v>
      </c>
    </row>
    <row r="130" spans="1:34" x14ac:dyDescent="0.2">
      <c r="A130" s="402">
        <f t="shared" ca="1" si="35"/>
        <v>0.01</v>
      </c>
      <c r="B130" s="357">
        <f t="shared" ca="1" si="36"/>
        <v>1.2600000000000009</v>
      </c>
      <c r="C130" s="342"/>
      <c r="D130" s="359">
        <f t="shared" ca="1" si="37"/>
        <v>15.367432442586512</v>
      </c>
      <c r="E130" s="360">
        <f t="shared" ca="1" si="38"/>
        <v>63.745572506222317</v>
      </c>
      <c r="F130" s="357">
        <f t="shared" ca="1" si="39"/>
        <v>65.571762169576516</v>
      </c>
      <c r="G130" s="359">
        <f t="shared" ca="1" si="40"/>
        <v>18.989533028887511</v>
      </c>
      <c r="H130" s="360">
        <f t="shared" ca="1" si="41"/>
        <v>90.79450543582027</v>
      </c>
      <c r="I130" s="357">
        <f t="shared" ca="1" si="42"/>
        <v>92.759067384220756</v>
      </c>
      <c r="J130" s="359">
        <f t="shared" ca="1" si="43"/>
        <v>11.513533686135373</v>
      </c>
      <c r="K130" s="360">
        <f t="shared" ca="1" si="44"/>
        <v>58.447132393927006</v>
      </c>
      <c r="L130" s="357">
        <f t="shared" ca="1" si="29"/>
        <v>59.570367994624689</v>
      </c>
      <c r="M130" s="359">
        <f t="shared" ca="1" si="45"/>
        <v>1.3646198237903631</v>
      </c>
      <c r="N130" s="357">
        <f t="shared" ca="1" si="46"/>
        <v>78.18695654307389</v>
      </c>
      <c r="O130" s="343"/>
      <c r="P130" s="363">
        <f t="shared" ca="1" si="47"/>
        <v>4</v>
      </c>
      <c r="Q130" s="357">
        <f t="shared" ca="1" si="48"/>
        <v>698.19999999999982</v>
      </c>
      <c r="R130" s="359">
        <f t="shared" ca="1" si="49"/>
        <v>0.35039404966065368</v>
      </c>
      <c r="S130" s="360">
        <f t="shared" ca="1" si="50"/>
        <v>8.9263041843789015</v>
      </c>
      <c r="T130" s="357">
        <f t="shared" ca="1" si="30"/>
        <v>87.567044048757026</v>
      </c>
      <c r="U130" s="364">
        <f t="shared" ca="1" si="31"/>
        <v>0</v>
      </c>
      <c r="V130" s="359">
        <f t="shared" ca="1" si="32"/>
        <v>1.2178610887263617</v>
      </c>
      <c r="W130" s="357">
        <f t="shared" ca="1" si="33"/>
        <v>27.833663553818138</v>
      </c>
      <c r="X130" s="343"/>
      <c r="Y130" s="367" t="str">
        <f t="shared" ca="1" si="51"/>
        <v/>
      </c>
      <c r="Z130" s="368" t="str">
        <f t="shared" ca="1" si="52"/>
        <v/>
      </c>
      <c r="AA130" s="369" t="str">
        <f t="shared" ca="1" si="53"/>
        <v/>
      </c>
      <c r="AB130" s="344"/>
      <c r="AC130" s="363" t="e">
        <f t="shared" ca="1" si="54"/>
        <v>#N/A</v>
      </c>
      <c r="AD130" s="376" t="e">
        <f t="shared" ca="1" si="55"/>
        <v>#N/A</v>
      </c>
      <c r="AE130" s="377">
        <f t="shared" ca="1" si="34"/>
        <v>58.447132393927006</v>
      </c>
      <c r="AF130" s="344"/>
      <c r="AG130" s="359">
        <f t="shared" ca="1" si="56"/>
        <v>65.541064178357246</v>
      </c>
      <c r="AH130" s="357">
        <f t="shared" ca="1" si="57"/>
        <v>75.143730454347221</v>
      </c>
    </row>
    <row r="131" spans="1:34" x14ac:dyDescent="0.2">
      <c r="A131" s="402">
        <f t="shared" ca="1" si="35"/>
        <v>0.01</v>
      </c>
      <c r="B131" s="357">
        <f t="shared" ca="1" si="36"/>
        <v>1.2700000000000009</v>
      </c>
      <c r="C131" s="342"/>
      <c r="D131" s="359">
        <f t="shared" ca="1" si="37"/>
        <v>15.343723167190815</v>
      </c>
      <c r="E131" s="360">
        <f t="shared" ca="1" si="38"/>
        <v>63.552823319033607</v>
      </c>
      <c r="F131" s="357">
        <f t="shared" ca="1" si="39"/>
        <v>65.378828319660869</v>
      </c>
      <c r="G131" s="359">
        <f t="shared" ca="1" si="40"/>
        <v>19.142970260559419</v>
      </c>
      <c r="H131" s="360">
        <f t="shared" ca="1" si="41"/>
        <v>91.430033669010612</v>
      </c>
      <c r="I131" s="357">
        <f t="shared" ca="1" si="42"/>
        <v>93.412549302077593</v>
      </c>
      <c r="J131" s="359">
        <f t="shared" ca="1" si="43"/>
        <v>11.704196202582608</v>
      </c>
      <c r="K131" s="360">
        <f t="shared" ca="1" si="44"/>
        <v>59.358255089451163</v>
      </c>
      <c r="L131" s="357">
        <f t="shared" ca="1" si="29"/>
        <v>60.501162435220238</v>
      </c>
      <c r="M131" s="359">
        <f t="shared" ca="1" si="45"/>
        <v>1.3644048320883488</v>
      </c>
      <c r="N131" s="357">
        <f t="shared" ca="1" si="46"/>
        <v>78.174638425918147</v>
      </c>
      <c r="O131" s="343"/>
      <c r="P131" s="363">
        <f t="shared" ca="1" si="47"/>
        <v>4</v>
      </c>
      <c r="Q131" s="357">
        <f t="shared" ca="1" si="48"/>
        <v>696.5999999999998</v>
      </c>
      <c r="R131" s="359">
        <f t="shared" ca="1" si="49"/>
        <v>0.3495910842074067</v>
      </c>
      <c r="S131" s="360">
        <f t="shared" ca="1" si="50"/>
        <v>8.9228082735368268</v>
      </c>
      <c r="T131" s="357">
        <f t="shared" ca="1" si="30"/>
        <v>87.532749163396275</v>
      </c>
      <c r="U131" s="364">
        <f t="shared" ca="1" si="31"/>
        <v>0</v>
      </c>
      <c r="V131" s="359">
        <f t="shared" ca="1" si="32"/>
        <v>1.2177501307310141</v>
      </c>
      <c r="W131" s="357">
        <f t="shared" ca="1" si="33"/>
        <v>28.22464611134761</v>
      </c>
      <c r="X131" s="343"/>
      <c r="Y131" s="367" t="str">
        <f t="shared" ca="1" si="51"/>
        <v/>
      </c>
      <c r="Z131" s="368" t="str">
        <f t="shared" ca="1" si="52"/>
        <v/>
      </c>
      <c r="AA131" s="369" t="str">
        <f t="shared" ca="1" si="53"/>
        <v/>
      </c>
      <c r="AB131" s="344"/>
      <c r="AC131" s="363" t="e">
        <f t="shared" ca="1" si="54"/>
        <v>#N/A</v>
      </c>
      <c r="AD131" s="376" t="e">
        <f t="shared" ca="1" si="55"/>
        <v>#N/A</v>
      </c>
      <c r="AE131" s="377">
        <f t="shared" ca="1" si="34"/>
        <v>59.358255089451163</v>
      </c>
      <c r="AF131" s="344"/>
      <c r="AG131" s="359">
        <f t="shared" ca="1" si="56"/>
        <v>65.347975902594513</v>
      </c>
      <c r="AH131" s="357">
        <f t="shared" ca="1" si="57"/>
        <v>74.950208044882231</v>
      </c>
    </row>
    <row r="132" spans="1:34" x14ac:dyDescent="0.2">
      <c r="A132" s="402">
        <f t="shared" ca="1" si="35"/>
        <v>0.01</v>
      </c>
      <c r="B132" s="357">
        <f t="shared" ca="1" si="36"/>
        <v>1.2800000000000009</v>
      </c>
      <c r="C132" s="342"/>
      <c r="D132" s="359">
        <f t="shared" ca="1" si="37"/>
        <v>15.319756913088877</v>
      </c>
      <c r="E132" s="360">
        <f t="shared" ca="1" si="38"/>
        <v>63.359726082196886</v>
      </c>
      <c r="F132" s="357">
        <f t="shared" ca="1" si="39"/>
        <v>65.185503304700759</v>
      </c>
      <c r="G132" s="359">
        <f t="shared" ca="1" si="40"/>
        <v>19.296167829690308</v>
      </c>
      <c r="H132" s="360">
        <f t="shared" ca="1" si="41"/>
        <v>92.063630929832584</v>
      </c>
      <c r="I132" s="357">
        <f t="shared" ca="1" si="42"/>
        <v>94.064096407162722</v>
      </c>
      <c r="J132" s="359">
        <f t="shared" ca="1" si="43"/>
        <v>11.896391893033856</v>
      </c>
      <c r="K132" s="360">
        <f t="shared" ca="1" si="44"/>
        <v>60.27572341244538</v>
      </c>
      <c r="L132" s="357">
        <f t="shared" ref="L132:L195" ca="1" si="58">SQRT(pos_x^2+pos_z^2)</f>
        <v>61.438481206539102</v>
      </c>
      <c r="M132" s="359">
        <f t="shared" ca="1" si="45"/>
        <v>1.3641911100916662</v>
      </c>
      <c r="N132" s="357">
        <f t="shared" ca="1" si="46"/>
        <v>78.162393057519111</v>
      </c>
      <c r="O132" s="343"/>
      <c r="P132" s="363">
        <f t="shared" ca="1" si="47"/>
        <v>4</v>
      </c>
      <c r="Q132" s="357">
        <f t="shared" ca="1" si="48"/>
        <v>694.99999999999989</v>
      </c>
      <c r="R132" s="359">
        <f t="shared" ca="1" si="49"/>
        <v>0.34878811875415977</v>
      </c>
      <c r="S132" s="360">
        <f t="shared" ca="1" si="50"/>
        <v>8.9193203923492845</v>
      </c>
      <c r="T132" s="357">
        <f t="shared" ref="T132:T195" ca="1" si="59">m*g</f>
        <v>87.498533048946484</v>
      </c>
      <c r="U132" s="364">
        <f t="shared" ref="U132:U195" ca="1" si="60">IF(pos_xz&lt;L_rampe,Poids*COS(Beta),0)</f>
        <v>0</v>
      </c>
      <c r="V132" s="359">
        <f t="shared" ref="V132:V195" ca="1" si="61">Rho_moyen*(20000-Alt_rampe-pos_z)/(20000+Alt_rampe+pos_z)</f>
        <v>1.2176384101396904</v>
      </c>
      <c r="W132" s="357">
        <f t="shared" ref="W132:W195" ca="1" si="62">1/2*Rho*Sref*Cx*vit_xz^2</f>
        <v>28.617124094866913</v>
      </c>
      <c r="X132" s="343"/>
      <c r="Y132" s="367" t="str">
        <f t="shared" ca="1" si="51"/>
        <v/>
      </c>
      <c r="Z132" s="368" t="str">
        <f t="shared" ca="1" si="52"/>
        <v/>
      </c>
      <c r="AA132" s="369" t="str">
        <f t="shared" ca="1" si="53"/>
        <v/>
      </c>
      <c r="AB132" s="344"/>
      <c r="AC132" s="363" t="e">
        <f t="shared" ca="1" si="54"/>
        <v>#N/A</v>
      </c>
      <c r="AD132" s="376" t="e">
        <f t="shared" ca="1" si="55"/>
        <v>#N/A</v>
      </c>
      <c r="AE132" s="377">
        <f t="shared" ref="AE132:AE195" ca="1" si="63">IF(t&lt;T_para, pos_z, NA())</f>
        <v>60.27572341244538</v>
      </c>
      <c r="AF132" s="344"/>
      <c r="AG132" s="359">
        <f t="shared" ca="1" si="56"/>
        <v>65.154495679794564</v>
      </c>
      <c r="AH132" s="357">
        <f t="shared" ca="1" si="57"/>
        <v>74.756295833995537</v>
      </c>
    </row>
    <row r="133" spans="1:34" x14ac:dyDescent="0.2">
      <c r="A133" s="402">
        <f t="shared" ref="A133:A196" ca="1" si="64">IF(B132+0.01&lt;=T_ini+ROUNDUP(Temps_fin_propu,0), 0.01, IF(K132&gt;0, 0.1, 0.0001))</f>
        <v>0.01</v>
      </c>
      <c r="B133" s="357">
        <f t="shared" ref="B133:B196" ca="1" si="65">B132+pas</f>
        <v>1.2900000000000009</v>
      </c>
      <c r="C133" s="342"/>
      <c r="D133" s="359">
        <f t="shared" ref="D133:D196" ca="1" si="66">IF(AND(L132&lt;L_rampe,Poussee&lt;Poids*SIN(M132)),0,(-W132+Poussee)/m*COS(M132)-U132/m*SIN(M132))</f>
        <v>15.295536377009379</v>
      </c>
      <c r="E133" s="360">
        <f t="shared" ref="E133:E196" ca="1" si="67">IF(AND(L132&lt;L_rampe,Poussee&lt;Poids*SIN(M132)),0,(-W132+Poussee)/m*SIN(M132)+U132/m*COS(M132)-Poids/m)</f>
        <v>63.16628359762359</v>
      </c>
      <c r="F133" s="357">
        <f t="shared" ref="F133:F196" ca="1" si="68">SQRT(acc_x^2+acc_z^2)</f>
        <v>64.9917903784457</v>
      </c>
      <c r="G133" s="359">
        <f t="shared" ref="G133:G196" ca="1" si="69">G132+acc_x*pas</f>
        <v>19.449123193460402</v>
      </c>
      <c r="H133" s="360">
        <f t="shared" ref="H133:H196" ca="1" si="70">H132+acc_z*pas</f>
        <v>92.695293765808813</v>
      </c>
      <c r="I133" s="357">
        <f t="shared" ref="I133:I196" ca="1" si="71">SQRT(vit_x^2+vit_z^2)</f>
        <v>94.71370481257712</v>
      </c>
      <c r="J133" s="359">
        <f t="shared" ref="J133:J196" ca="1" si="72">J132+0.5*(vit_x+G132)*pas*(K132&gt;=0)</f>
        <v>12.090118348149609</v>
      </c>
      <c r="K133" s="360">
        <f t="shared" ref="K133:K196" ca="1" si="73">K132+0.5*(vit_z+H132)*pas</f>
        <v>61.199518035923589</v>
      </c>
      <c r="L133" s="357">
        <f t="shared" ca="1" si="58"/>
        <v>62.38230493899372</v>
      </c>
      <c r="M133" s="359">
        <f t="shared" ref="M133:M196" ca="1" si="74">IF(AND(L132&gt;L_rampe,G133&gt;0),ATAN2(G133,H133),$M$4)</f>
        <v>1.3639786372796459</v>
      </c>
      <c r="N133" s="357">
        <f t="shared" ref="N133:N196" ca="1" si="75">DEGREES(Beta)</f>
        <v>78.150219262129085</v>
      </c>
      <c r="O133" s="343"/>
      <c r="P133" s="363">
        <f t="shared" ref="P133:P196" ca="1" si="76">MATCH(t-pas/2-T_ini,CdP_t)</f>
        <v>4</v>
      </c>
      <c r="Q133" s="357">
        <f t="shared" ref="Q133:Q196" ca="1" si="77">(INDEX(CdP,2,i_P+1)-INDEX(CdP,2,i_P+0))/(INDEX(CdP,1,i_P+1)-INDEX(CdP,1,i_P+0))*(t-pas/2-T_ini-INDEX(CdP,1,i_P+0))+INDEX(CdP,2,i_P+0)</f>
        <v>693.39999999999986</v>
      </c>
      <c r="R133" s="359">
        <f t="shared" ref="R133:R196" ca="1" si="78">Poussee/(g*ISP)</f>
        <v>0.34798515330091273</v>
      </c>
      <c r="S133" s="360">
        <f t="shared" ref="S133:S196" ca="1" si="79">S132-Débit*pas</f>
        <v>8.9158405408162746</v>
      </c>
      <c r="T133" s="357">
        <f t="shared" ca="1" si="59"/>
        <v>87.464395705407654</v>
      </c>
      <c r="U133" s="364">
        <f t="shared" ca="1" si="60"/>
        <v>0</v>
      </c>
      <c r="V133" s="359">
        <f t="shared" ca="1" si="61"/>
        <v>1.2175259295161684</v>
      </c>
      <c r="W133" s="357">
        <f t="shared" ca="1" si="62"/>
        <v>29.011069544757181</v>
      </c>
      <c r="X133" s="343"/>
      <c r="Y133" s="367" t="str">
        <f t="shared" ref="Y133:Y196" ca="1" si="80">IF(AND(pos_z&lt;=0,K132&gt;0),"Impact balistique","") &amp; IF(AND(H134&lt;0,vit_z&gt;=0),"Apogée","") &amp; IF(AND(Poussee=0,Q132&gt;0),"Fin de propulsion","") &amp; IF(AND(L134&gt;L_rampe,pos_xz&lt;=L_rampe),"Sortie de rampe","")</f>
        <v/>
      </c>
      <c r="Z133" s="368" t="str">
        <f t="shared" ref="Z133:Z196" ca="1" si="81">IF(ABS(t-T_para)&lt;pas/2,"Para","")</f>
        <v/>
      </c>
      <c r="AA133" s="369" t="str">
        <f t="shared" ref="AA133:AA196" ca="1" si="82">IF(ABS(t-T_satellite)&lt;pas/2,"Satellite","")</f>
        <v/>
      </c>
      <c r="AB133" s="344"/>
      <c r="AC133" s="363" t="e">
        <f t="shared" ref="AC133:AC196" ca="1" si="83">IF(ABS(t-ROUND(t,0))&lt;0.001,t,NA())</f>
        <v>#N/A</v>
      </c>
      <c r="AD133" s="376" t="e">
        <f t="shared" ref="AD133:AD196" ca="1" si="84">IF(ABS(t-ROUND(t,0))&lt;0.001,pos_x,NA())</f>
        <v>#N/A</v>
      </c>
      <c r="AE133" s="377">
        <f t="shared" ca="1" si="63"/>
        <v>61.199518035923589</v>
      </c>
      <c r="AF133" s="344"/>
      <c r="AG133" s="359">
        <f t="shared" ref="AG133:AG196" ca="1" si="85">IF(AND(L132&lt;L_rampe,Poussee&lt;Poids*SIN(M132)),0,(-W132+Poussee)/m-Poids*SIN(M132)/m)</f>
        <v>64.960626750371546</v>
      </c>
      <c r="AH133" s="357">
        <f t="shared" ref="AH133:AH196" ca="1" si="86">IF(AND(L132&lt;L_rampe,Poussee&lt;Poids*SIN(M132)), g*SIN(M132), (-W132+Poussee)/m)</f>
        <v>74.561997027850609</v>
      </c>
    </row>
    <row r="134" spans="1:34" x14ac:dyDescent="0.2">
      <c r="A134" s="402">
        <f t="shared" ca="1" si="64"/>
        <v>0.01</v>
      </c>
      <c r="B134" s="357">
        <f t="shared" ca="1" si="65"/>
        <v>1.3000000000000009</v>
      </c>
      <c r="C134" s="342"/>
      <c r="D134" s="359">
        <f t="shared" ca="1" si="66"/>
        <v>15.271064210540864</v>
      </c>
      <c r="E134" s="360">
        <f t="shared" ca="1" si="67"/>
        <v>62.972498677811032</v>
      </c>
      <c r="F134" s="357">
        <f t="shared" ca="1" si="68"/>
        <v>64.797692797269988</v>
      </c>
      <c r="G134" s="359">
        <f t="shared" ca="1" si="69"/>
        <v>19.601833835565809</v>
      </c>
      <c r="H134" s="360">
        <f t="shared" ca="1" si="70"/>
        <v>93.325018752586928</v>
      </c>
      <c r="I134" s="357">
        <f t="shared" ca="1" si="71"/>
        <v>95.36137066384812</v>
      </c>
      <c r="J134" s="359">
        <f t="shared" ca="1" si="72"/>
        <v>12.28537313329474</v>
      </c>
      <c r="K134" s="360">
        <f t="shared" ca="1" si="73"/>
        <v>62.129619598515568</v>
      </c>
      <c r="L134" s="357">
        <f t="shared" ca="1" si="58"/>
        <v>63.332614224272554</v>
      </c>
      <c r="M134" s="359">
        <f t="shared" ca="1" si="74"/>
        <v>1.3637673935978112</v>
      </c>
      <c r="N134" s="357">
        <f t="shared" ca="1" si="75"/>
        <v>78.138115890711148</v>
      </c>
      <c r="O134" s="343"/>
      <c r="P134" s="363">
        <f t="shared" ca="1" si="76"/>
        <v>4</v>
      </c>
      <c r="Q134" s="357">
        <f t="shared" ca="1" si="77"/>
        <v>691.79999999999984</v>
      </c>
      <c r="R134" s="359">
        <f t="shared" ca="1" si="78"/>
        <v>0.34718218784766575</v>
      </c>
      <c r="S134" s="360">
        <f t="shared" ca="1" si="79"/>
        <v>8.9123687189377971</v>
      </c>
      <c r="T134" s="357">
        <f t="shared" ca="1" si="59"/>
        <v>87.430337132779798</v>
      </c>
      <c r="U134" s="364">
        <f t="shared" ca="1" si="60"/>
        <v>0</v>
      </c>
      <c r="V134" s="359">
        <f t="shared" ca="1" si="61"/>
        <v>1.2174126914289467</v>
      </c>
      <c r="W134" s="357">
        <f t="shared" ca="1" si="62"/>
        <v>29.406454536402965</v>
      </c>
      <c r="X134" s="343"/>
      <c r="Y134" s="367" t="str">
        <f t="shared" ca="1" si="80"/>
        <v/>
      </c>
      <c r="Z134" s="368" t="str">
        <f t="shared" ca="1" si="81"/>
        <v/>
      </c>
      <c r="AA134" s="369" t="str">
        <f t="shared" ca="1" si="82"/>
        <v/>
      </c>
      <c r="AB134" s="344"/>
      <c r="AC134" s="363" t="e">
        <f t="shared" ca="1" si="83"/>
        <v>#N/A</v>
      </c>
      <c r="AD134" s="376" t="e">
        <f t="shared" ca="1" si="84"/>
        <v>#N/A</v>
      </c>
      <c r="AE134" s="377">
        <f t="shared" ca="1" si="63"/>
        <v>62.129619598515568</v>
      </c>
      <c r="AF134" s="344"/>
      <c r="AG134" s="359">
        <f t="shared" ca="1" si="85"/>
        <v>64.766372357320975</v>
      </c>
      <c r="AH134" s="357">
        <f t="shared" ca="1" si="86"/>
        <v>74.367314835941372</v>
      </c>
    </row>
    <row r="135" spans="1:34" x14ac:dyDescent="0.2">
      <c r="A135" s="402">
        <f t="shared" ca="1" si="64"/>
        <v>0.01</v>
      </c>
      <c r="B135" s="357">
        <f t="shared" ca="1" si="65"/>
        <v>1.3100000000000009</v>
      </c>
      <c r="C135" s="342"/>
      <c r="D135" s="359">
        <f t="shared" ca="1" si="66"/>
        <v>15.246343021532221</v>
      </c>
      <c r="E135" s="360">
        <f t="shared" ca="1" si="67"/>
        <v>62.778374145443593</v>
      </c>
      <c r="F135" s="357">
        <f t="shared" ca="1" si="68"/>
        <v>64.603213820022333</v>
      </c>
      <c r="G135" s="359">
        <f t="shared" ca="1" si="69"/>
        <v>19.754297265781133</v>
      </c>
      <c r="H135" s="360">
        <f t="shared" ca="1" si="70"/>
        <v>93.952802494041364</v>
      </c>
      <c r="I135" s="357">
        <f t="shared" ca="1" si="71"/>
        <v>96.007090138953771</v>
      </c>
      <c r="J135" s="359">
        <f t="shared" ca="1" si="72"/>
        <v>12.482153788801476</v>
      </c>
      <c r="K135" s="360">
        <f t="shared" ca="1" si="73"/>
        <v>63.066008704748711</v>
      </c>
      <c r="L135" s="357">
        <f t="shared" ca="1" si="58"/>
        <v>64.28938961566466</v>
      </c>
      <c r="M135" s="359">
        <f t="shared" ca="1" si="74"/>
        <v>1.3635573594435855</v>
      </c>
      <c r="N135" s="357">
        <f t="shared" ca="1" si="75"/>
        <v>78.126081820120419</v>
      </c>
      <c r="O135" s="343"/>
      <c r="P135" s="363">
        <f t="shared" ca="1" si="76"/>
        <v>4</v>
      </c>
      <c r="Q135" s="357">
        <f t="shared" ca="1" si="77"/>
        <v>690.19999999999982</v>
      </c>
      <c r="R135" s="359">
        <f t="shared" ca="1" si="78"/>
        <v>0.34637922239441876</v>
      </c>
      <c r="S135" s="360">
        <f t="shared" ca="1" si="79"/>
        <v>8.9089049267138538</v>
      </c>
      <c r="T135" s="357">
        <f t="shared" ca="1" si="59"/>
        <v>87.396357331062916</v>
      </c>
      <c r="U135" s="364">
        <f t="shared" ca="1" si="60"/>
        <v>0</v>
      </c>
      <c r="V135" s="359">
        <f t="shared" ca="1" si="61"/>
        <v>1.2172986984511942</v>
      </c>
      <c r="W135" s="357">
        <f t="shared" ca="1" si="62"/>
        <v>29.803251181565596</v>
      </c>
      <c r="X135" s="343"/>
      <c r="Y135" s="367" t="str">
        <f t="shared" ca="1" si="80"/>
        <v/>
      </c>
      <c r="Z135" s="368" t="str">
        <f t="shared" ca="1" si="81"/>
        <v/>
      </c>
      <c r="AA135" s="369" t="str">
        <f t="shared" ca="1" si="82"/>
        <v/>
      </c>
      <c r="AB135" s="344"/>
      <c r="AC135" s="363" t="e">
        <f t="shared" ca="1" si="83"/>
        <v>#N/A</v>
      </c>
      <c r="AD135" s="376" t="e">
        <f t="shared" ca="1" si="84"/>
        <v>#N/A</v>
      </c>
      <c r="AE135" s="377">
        <f t="shared" ca="1" si="63"/>
        <v>63.066008704748711</v>
      </c>
      <c r="AF135" s="344"/>
      <c r="AG135" s="359">
        <f t="shared" ca="1" si="85"/>
        <v>64.571735746064988</v>
      </c>
      <c r="AH135" s="357">
        <f t="shared" ca="1" si="86"/>
        <v>74.172252470914813</v>
      </c>
    </row>
    <row r="136" spans="1:34" x14ac:dyDescent="0.2">
      <c r="A136" s="402">
        <f t="shared" ca="1" si="64"/>
        <v>0.01</v>
      </c>
      <c r="B136" s="357">
        <f t="shared" ca="1" si="65"/>
        <v>1.320000000000001</v>
      </c>
      <c r="C136" s="342"/>
      <c r="D136" s="359">
        <f t="shared" ca="1" si="66"/>
        <v>15.221375375437917</v>
      </c>
      <c r="E136" s="360">
        <f t="shared" ca="1" si="67"/>
        <v>62.583912833002742</v>
      </c>
      <c r="F136" s="357">
        <f t="shared" ca="1" si="68"/>
        <v>64.408356707875058</v>
      </c>
      <c r="G136" s="359">
        <f t="shared" ca="1" si="69"/>
        <v>19.906511019535511</v>
      </c>
      <c r="H136" s="360">
        <f t="shared" ca="1" si="70"/>
        <v>94.578641622371393</v>
      </c>
      <c r="I136" s="357">
        <f t="shared" ca="1" si="71"/>
        <v>96.650859448345585</v>
      </c>
      <c r="J136" s="359">
        <f t="shared" ca="1" si="72"/>
        <v>12.680457830228059</v>
      </c>
      <c r="K136" s="360">
        <f t="shared" ca="1" si="73"/>
        <v>64.008665925330774</v>
      </c>
      <c r="L136" s="357">
        <f t="shared" ca="1" si="58"/>
        <v>65.252611628384599</v>
      </c>
      <c r="M136" s="359">
        <f t="shared" ca="1" si="74"/>
        <v>1.3633485156525433</v>
      </c>
      <c r="N136" s="357">
        <f t="shared" ca="1" si="75"/>
        <v>78.114115952316183</v>
      </c>
      <c r="O136" s="343"/>
      <c r="P136" s="363">
        <f t="shared" ca="1" si="76"/>
        <v>4</v>
      </c>
      <c r="Q136" s="357">
        <f t="shared" ca="1" si="77"/>
        <v>688.5999999999998</v>
      </c>
      <c r="R136" s="359">
        <f t="shared" ca="1" si="78"/>
        <v>0.34557625694117178</v>
      </c>
      <c r="S136" s="360">
        <f t="shared" ca="1" si="79"/>
        <v>8.9054491641444429</v>
      </c>
      <c r="T136" s="357">
        <f t="shared" ca="1" si="59"/>
        <v>87.362456300256994</v>
      </c>
      <c r="U136" s="364">
        <f t="shared" ca="1" si="60"/>
        <v>0</v>
      </c>
      <c r="V136" s="359">
        <f t="shared" ca="1" si="61"/>
        <v>1.2171839531606965</v>
      </c>
      <c r="W136" s="357">
        <f t="shared" ca="1" si="62"/>
        <v>30.201431629748864</v>
      </c>
      <c r="X136" s="343"/>
      <c r="Y136" s="367" t="str">
        <f t="shared" ca="1" si="80"/>
        <v/>
      </c>
      <c r="Z136" s="368" t="str">
        <f t="shared" ca="1" si="81"/>
        <v/>
      </c>
      <c r="AA136" s="369" t="str">
        <f t="shared" ca="1" si="82"/>
        <v/>
      </c>
      <c r="AB136" s="344"/>
      <c r="AC136" s="363" t="e">
        <f t="shared" ca="1" si="83"/>
        <v>#N/A</v>
      </c>
      <c r="AD136" s="376" t="e">
        <f t="shared" ca="1" si="84"/>
        <v>#N/A</v>
      </c>
      <c r="AE136" s="377">
        <f t="shared" ca="1" si="63"/>
        <v>64.008665925330774</v>
      </c>
      <c r="AF136" s="344"/>
      <c r="AG136" s="359">
        <f t="shared" ca="1" si="85"/>
        <v>64.376720164296842</v>
      </c>
      <c r="AH136" s="357">
        <f t="shared" ca="1" si="86"/>
        <v>73.976813148393916</v>
      </c>
    </row>
    <row r="137" spans="1:34" x14ac:dyDescent="0.2">
      <c r="A137" s="402">
        <f t="shared" ca="1" si="64"/>
        <v>0.01</v>
      </c>
      <c r="B137" s="357">
        <f t="shared" ca="1" si="65"/>
        <v>1.330000000000001</v>
      </c>
      <c r="C137" s="342"/>
      <c r="D137" s="359">
        <f t="shared" ca="1" si="66"/>
        <v>15.196163796610655</v>
      </c>
      <c r="E137" s="360">
        <f t="shared" ca="1" si="67"/>
        <v>62.389117582385339</v>
      </c>
      <c r="F137" s="357">
        <f t="shared" ca="1" si="68"/>
        <v>64.213124724172417</v>
      </c>
      <c r="G137" s="359">
        <f t="shared" ca="1" si="69"/>
        <v>20.058472657501618</v>
      </c>
      <c r="H137" s="360">
        <f t="shared" ca="1" si="70"/>
        <v>95.20253279819525</v>
      </c>
      <c r="I137" s="357">
        <f t="shared" ca="1" si="71"/>
        <v>97.292674834969873</v>
      </c>
      <c r="J137" s="359">
        <f t="shared" ca="1" si="72"/>
        <v>12.880282748613245</v>
      </c>
      <c r="K137" s="360">
        <f t="shared" ca="1" si="73"/>
        <v>64.957571797433602</v>
      </c>
      <c r="L137" s="357">
        <f t="shared" ca="1" si="58"/>
        <v>66.222260739897465</v>
      </c>
      <c r="M137" s="359">
        <f t="shared" ca="1" si="74"/>
        <v>1.3631408434851859</v>
      </c>
      <c r="N137" s="357">
        <f t="shared" ca="1" si="75"/>
        <v>78.102217213604277</v>
      </c>
      <c r="O137" s="343"/>
      <c r="P137" s="363">
        <f t="shared" ca="1" si="76"/>
        <v>4</v>
      </c>
      <c r="Q137" s="357">
        <f t="shared" ca="1" si="77"/>
        <v>686.99999999999977</v>
      </c>
      <c r="R137" s="359">
        <f t="shared" ca="1" si="78"/>
        <v>0.34477329148792474</v>
      </c>
      <c r="S137" s="360">
        <f t="shared" ca="1" si="79"/>
        <v>8.9020014312295643</v>
      </c>
      <c r="T137" s="357">
        <f t="shared" ca="1" si="59"/>
        <v>87.328634040362033</v>
      </c>
      <c r="U137" s="364">
        <f t="shared" ca="1" si="60"/>
        <v>0</v>
      </c>
      <c r="V137" s="359">
        <f t="shared" ca="1" si="61"/>
        <v>1.217068458139807</v>
      </c>
      <c r="W137" s="357">
        <f t="shared" ca="1" si="62"/>
        <v>30.60096806955718</v>
      </c>
      <c r="X137" s="343"/>
      <c r="Y137" s="367" t="str">
        <f t="shared" ca="1" si="80"/>
        <v/>
      </c>
      <c r="Z137" s="368" t="str">
        <f t="shared" ca="1" si="81"/>
        <v/>
      </c>
      <c r="AA137" s="369" t="str">
        <f t="shared" ca="1" si="82"/>
        <v/>
      </c>
      <c r="AB137" s="344"/>
      <c r="AC137" s="363" t="e">
        <f t="shared" ca="1" si="83"/>
        <v>#N/A</v>
      </c>
      <c r="AD137" s="376" t="e">
        <f t="shared" ca="1" si="84"/>
        <v>#N/A</v>
      </c>
      <c r="AE137" s="377">
        <f t="shared" ca="1" si="63"/>
        <v>64.957571797433602</v>
      </c>
      <c r="AF137" s="344"/>
      <c r="AG137" s="359">
        <f t="shared" ca="1" si="85"/>
        <v>64.181328861825179</v>
      </c>
      <c r="AH137" s="357">
        <f t="shared" ca="1" si="86"/>
        <v>73.781000086800972</v>
      </c>
    </row>
    <row r="138" spans="1:34" x14ac:dyDescent="0.2">
      <c r="A138" s="402">
        <f t="shared" ca="1" si="64"/>
        <v>0.01</v>
      </c>
      <c r="B138" s="357">
        <f t="shared" ca="1" si="65"/>
        <v>1.340000000000001</v>
      </c>
      <c r="C138" s="342"/>
      <c r="D138" s="359">
        <f t="shared" ca="1" si="66"/>
        <v>15.170710769543522</v>
      </c>
      <c r="E138" s="360">
        <f t="shared" ca="1" si="67"/>
        <v>62.19399124453048</v>
      </c>
      <c r="F138" s="357">
        <f t="shared" ca="1" si="68"/>
        <v>64.01752113427915</v>
      </c>
      <c r="G138" s="359">
        <f t="shared" ca="1" si="69"/>
        <v>20.210179765197054</v>
      </c>
      <c r="H138" s="360">
        <f t="shared" ca="1" si="70"/>
        <v>95.824472710640549</v>
      </c>
      <c r="I138" s="357">
        <f t="shared" ca="1" si="71"/>
        <v>97.932532574287464</v>
      </c>
      <c r="J138" s="359">
        <f t="shared" ca="1" si="72"/>
        <v>13.081626010726739</v>
      </c>
      <c r="K138" s="360">
        <f t="shared" ca="1" si="73"/>
        <v>65.912706824977775</v>
      </c>
      <c r="L138" s="357">
        <f t="shared" ca="1" si="58"/>
        <v>67.198317390244185</v>
      </c>
      <c r="M138" s="359">
        <f t="shared" ca="1" si="74"/>
        <v>1.3629343246142112</v>
      </c>
      <c r="N138" s="357">
        <f t="shared" ca="1" si="75"/>
        <v>78.090384553907612</v>
      </c>
      <c r="O138" s="343"/>
      <c r="P138" s="363">
        <f t="shared" ca="1" si="76"/>
        <v>4</v>
      </c>
      <c r="Q138" s="357">
        <f t="shared" ca="1" si="77"/>
        <v>685.39999999999986</v>
      </c>
      <c r="R138" s="359">
        <f t="shared" ca="1" si="78"/>
        <v>0.34397032603467781</v>
      </c>
      <c r="S138" s="360">
        <f t="shared" ca="1" si="79"/>
        <v>8.8985617279692182</v>
      </c>
      <c r="T138" s="357">
        <f t="shared" ca="1" si="59"/>
        <v>87.294890551378032</v>
      </c>
      <c r="U138" s="364">
        <f t="shared" ca="1" si="60"/>
        <v>0</v>
      </c>
      <c r="V138" s="359">
        <f t="shared" ca="1" si="61"/>
        <v>1.2169522159753907</v>
      </c>
      <c r="W138" s="357">
        <f t="shared" ca="1" si="62"/>
        <v>31.001832730045841</v>
      </c>
      <c r="X138" s="343"/>
      <c r="Y138" s="367" t="str">
        <f t="shared" ca="1" si="80"/>
        <v/>
      </c>
      <c r="Z138" s="368" t="str">
        <f t="shared" ca="1" si="81"/>
        <v/>
      </c>
      <c r="AA138" s="369" t="str">
        <f t="shared" ca="1" si="82"/>
        <v/>
      </c>
      <c r="AB138" s="344"/>
      <c r="AC138" s="363" t="e">
        <f t="shared" ca="1" si="83"/>
        <v>#N/A</v>
      </c>
      <c r="AD138" s="376" t="e">
        <f t="shared" ca="1" si="84"/>
        <v>#N/A</v>
      </c>
      <c r="AE138" s="377">
        <f t="shared" ca="1" si="63"/>
        <v>65.912706824977775</v>
      </c>
      <c r="AF138" s="344"/>
      <c r="AG138" s="359">
        <f t="shared" ca="1" si="85"/>
        <v>63.985565090417971</v>
      </c>
      <c r="AH138" s="357">
        <f t="shared" ca="1" si="86"/>
        <v>73.584816507181472</v>
      </c>
    </row>
    <row r="139" spans="1:34" x14ac:dyDescent="0.2">
      <c r="A139" s="402">
        <f t="shared" ca="1" si="64"/>
        <v>0.01</v>
      </c>
      <c r="B139" s="357">
        <f t="shared" ca="1" si="65"/>
        <v>1.350000000000001</v>
      </c>
      <c r="C139" s="342"/>
      <c r="D139" s="359">
        <f t="shared" ca="1" si="66"/>
        <v>15.145018740064208</v>
      </c>
      <c r="E139" s="360">
        <f t="shared" ca="1" si="67"/>
        <v>61.998536679053757</v>
      </c>
      <c r="F139" s="357">
        <f t="shared" ca="1" si="68"/>
        <v>63.82154920542802</v>
      </c>
      <c r="G139" s="359">
        <f t="shared" ca="1" si="69"/>
        <v>20.361629952597696</v>
      </c>
      <c r="H139" s="360">
        <f t="shared" ca="1" si="70"/>
        <v>96.444458077431094</v>
      </c>
      <c r="I139" s="357">
        <f t="shared" ca="1" si="71"/>
        <v>98.570428974291715</v>
      </c>
      <c r="J139" s="359">
        <f t="shared" ca="1" si="72"/>
        <v>13.284485059315712</v>
      </c>
      <c r="K139" s="360">
        <f t="shared" ca="1" si="73"/>
        <v>66.874051478918133</v>
      </c>
      <c r="L139" s="357">
        <f t="shared" ca="1" si="58"/>
        <v>68.18076198236696</v>
      </c>
      <c r="M139" s="359">
        <f t="shared" ca="1" si="74"/>
        <v>1.3627289411122583</v>
      </c>
      <c r="N139" s="357">
        <f t="shared" ca="1" si="75"/>
        <v>78.078616946064102</v>
      </c>
      <c r="O139" s="343"/>
      <c r="P139" s="363">
        <f t="shared" ca="1" si="76"/>
        <v>4</v>
      </c>
      <c r="Q139" s="357">
        <f t="shared" ca="1" si="77"/>
        <v>683.79999999999984</v>
      </c>
      <c r="R139" s="359">
        <f t="shared" ca="1" si="78"/>
        <v>0.34316736058143082</v>
      </c>
      <c r="S139" s="360">
        <f t="shared" ca="1" si="79"/>
        <v>8.8951300543634044</v>
      </c>
      <c r="T139" s="357">
        <f t="shared" ca="1" si="59"/>
        <v>87.261225833305005</v>
      </c>
      <c r="U139" s="364">
        <f t="shared" ca="1" si="60"/>
        <v>0</v>
      </c>
      <c r="V139" s="359">
        <f t="shared" ca="1" si="61"/>
        <v>1.2168352292587759</v>
      </c>
      <c r="W139" s="357">
        <f t="shared" ca="1" si="62"/>
        <v>31.403997882063361</v>
      </c>
      <c r="X139" s="343"/>
      <c r="Y139" s="367" t="str">
        <f t="shared" ca="1" si="80"/>
        <v/>
      </c>
      <c r="Z139" s="368" t="str">
        <f t="shared" ca="1" si="81"/>
        <v/>
      </c>
      <c r="AA139" s="369" t="str">
        <f t="shared" ca="1" si="82"/>
        <v/>
      </c>
      <c r="AB139" s="344"/>
      <c r="AC139" s="363" t="e">
        <f t="shared" ca="1" si="83"/>
        <v>#N/A</v>
      </c>
      <c r="AD139" s="376" t="e">
        <f t="shared" ca="1" si="84"/>
        <v>#N/A</v>
      </c>
      <c r="AE139" s="377">
        <f t="shared" ca="1" si="63"/>
        <v>66.874051478918133</v>
      </c>
      <c r="AF139" s="344"/>
      <c r="AG139" s="359">
        <f t="shared" ca="1" si="85"/>
        <v>63.789432103645993</v>
      </c>
      <c r="AH139" s="357">
        <f t="shared" ca="1" si="86"/>
        <v>73.388265633028183</v>
      </c>
    </row>
    <row r="140" spans="1:34" x14ac:dyDescent="0.2">
      <c r="A140" s="402">
        <f t="shared" ca="1" si="64"/>
        <v>0.01</v>
      </c>
      <c r="B140" s="357">
        <f t="shared" ca="1" si="65"/>
        <v>1.360000000000001</v>
      </c>
      <c r="C140" s="342"/>
      <c r="D140" s="359">
        <f t="shared" ca="1" si="66"/>
        <v>15.119090116483402</v>
      </c>
      <c r="E140" s="360">
        <f t="shared" ca="1" si="67"/>
        <v>61.802756753889312</v>
      </c>
      <c r="F140" s="357">
        <f t="shared" ca="1" si="68"/>
        <v>63.625212206567589</v>
      </c>
      <c r="G140" s="359">
        <f t="shared" ca="1" si="69"/>
        <v>20.512820853762531</v>
      </c>
      <c r="H140" s="360">
        <f t="shared" ca="1" si="70"/>
        <v>97.062485644969982</v>
      </c>
      <c r="I140" s="357">
        <f t="shared" ca="1" si="71"/>
        <v>99.206360375525108</v>
      </c>
      <c r="J140" s="359">
        <f t="shared" ca="1" si="72"/>
        <v>13.488857313347513</v>
      </c>
      <c r="K140" s="360">
        <f t="shared" ca="1" si="73"/>
        <v>67.841586197530134</v>
      </c>
      <c r="L140" s="357">
        <f t="shared" ca="1" si="58"/>
        <v>69.16957488243483</v>
      </c>
      <c r="M140" s="359">
        <f t="shared" ca="1" si="74"/>
        <v>1.3625246754401086</v>
      </c>
      <c r="N140" s="357">
        <f t="shared" ca="1" si="75"/>
        <v>78.066913385150514</v>
      </c>
      <c r="O140" s="343"/>
      <c r="P140" s="363">
        <f t="shared" ca="1" si="76"/>
        <v>4</v>
      </c>
      <c r="Q140" s="357">
        <f t="shared" ca="1" si="77"/>
        <v>682.19999999999982</v>
      </c>
      <c r="R140" s="359">
        <f t="shared" ca="1" si="78"/>
        <v>0.34236439512818384</v>
      </c>
      <c r="S140" s="360">
        <f t="shared" ca="1" si="79"/>
        <v>8.8917064104121231</v>
      </c>
      <c r="T140" s="357">
        <f t="shared" ca="1" si="59"/>
        <v>87.227639886142939</v>
      </c>
      <c r="U140" s="364">
        <f t="shared" ca="1" si="60"/>
        <v>0</v>
      </c>
      <c r="V140" s="359">
        <f t="shared" ca="1" si="61"/>
        <v>1.2167175005856998</v>
      </c>
      <c r="W140" s="357">
        <f t="shared" ca="1" si="62"/>
        <v>31.807435839585956</v>
      </c>
      <c r="X140" s="343"/>
      <c r="Y140" s="367" t="str">
        <f t="shared" ca="1" si="80"/>
        <v/>
      </c>
      <c r="Z140" s="368" t="str">
        <f t="shared" ca="1" si="81"/>
        <v/>
      </c>
      <c r="AA140" s="369" t="str">
        <f t="shared" ca="1" si="82"/>
        <v/>
      </c>
      <c r="AB140" s="344"/>
      <c r="AC140" s="363" t="e">
        <f t="shared" ca="1" si="83"/>
        <v>#N/A</v>
      </c>
      <c r="AD140" s="376" t="e">
        <f t="shared" ca="1" si="84"/>
        <v>#N/A</v>
      </c>
      <c r="AE140" s="377">
        <f t="shared" ca="1" si="63"/>
        <v>67.841586197530134</v>
      </c>
      <c r="AF140" s="344"/>
      <c r="AG140" s="359">
        <f t="shared" ca="1" si="85"/>
        <v>63.592933156726218</v>
      </c>
      <c r="AH140" s="357">
        <f t="shared" ca="1" si="86"/>
        <v>73.191350690105907</v>
      </c>
    </row>
    <row r="141" spans="1:34" x14ac:dyDescent="0.2">
      <c r="A141" s="402">
        <f t="shared" ca="1" si="64"/>
        <v>0.01</v>
      </c>
      <c r="B141" s="357">
        <f t="shared" ca="1" si="65"/>
        <v>1.370000000000001</v>
      </c>
      <c r="C141" s="342"/>
      <c r="D141" s="359">
        <f t="shared" ca="1" si="66"/>
        <v>15.092927270699175</v>
      </c>
      <c r="E141" s="360">
        <f t="shared" ca="1" si="67"/>
        <v>61.606654344938988</v>
      </c>
      <c r="F141" s="357">
        <f t="shared" ca="1" si="68"/>
        <v>63.42851340820944</v>
      </c>
      <c r="G141" s="359">
        <f t="shared" ca="1" si="69"/>
        <v>20.663750126469523</v>
      </c>
      <c r="H141" s="360">
        <f t="shared" ca="1" si="70"/>
        <v>97.678552188419374</v>
      </c>
      <c r="I141" s="357">
        <f t="shared" ca="1" si="71"/>
        <v>99.840323151094296</v>
      </c>
      <c r="J141" s="359">
        <f t="shared" ca="1" si="72"/>
        <v>13.694740168248673</v>
      </c>
      <c r="K141" s="360">
        <f t="shared" ca="1" si="73"/>
        <v>68.815291386697083</v>
      </c>
      <c r="L141" s="357">
        <f t="shared" ca="1" si="58"/>
        <v>70.164736420169561</v>
      </c>
      <c r="M141" s="359">
        <f t="shared" ca="1" si="74"/>
        <v>1.3623215104353161</v>
      </c>
      <c r="N141" s="357">
        <f t="shared" ca="1" si="75"/>
        <v>78.055272887831151</v>
      </c>
      <c r="O141" s="343"/>
      <c r="P141" s="363">
        <f t="shared" ca="1" si="76"/>
        <v>4</v>
      </c>
      <c r="Q141" s="357">
        <f t="shared" ca="1" si="77"/>
        <v>680.5999999999998</v>
      </c>
      <c r="R141" s="359">
        <f t="shared" ca="1" si="78"/>
        <v>0.34156142967493686</v>
      </c>
      <c r="S141" s="360">
        <f t="shared" ca="1" si="79"/>
        <v>8.8882907961153741</v>
      </c>
      <c r="T141" s="357">
        <f t="shared" ca="1" si="59"/>
        <v>87.194132709891818</v>
      </c>
      <c r="U141" s="364">
        <f t="shared" ca="1" si="60"/>
        <v>0</v>
      </c>
      <c r="V141" s="359">
        <f t="shared" ca="1" si="61"/>
        <v>1.2165990325562581</v>
      </c>
      <c r="W141" s="357">
        <f t="shared" ca="1" si="62"/>
        <v>32.21211896104397</v>
      </c>
      <c r="X141" s="343"/>
      <c r="Y141" s="367" t="str">
        <f t="shared" ca="1" si="80"/>
        <v/>
      </c>
      <c r="Z141" s="368" t="str">
        <f t="shared" ca="1" si="81"/>
        <v/>
      </c>
      <c r="AA141" s="369" t="str">
        <f t="shared" ca="1" si="82"/>
        <v/>
      </c>
      <c r="AB141" s="344"/>
      <c r="AC141" s="363" t="e">
        <f t="shared" ca="1" si="83"/>
        <v>#N/A</v>
      </c>
      <c r="AD141" s="376" t="e">
        <f t="shared" ca="1" si="84"/>
        <v>#N/A</v>
      </c>
      <c r="AE141" s="377">
        <f t="shared" ca="1" si="63"/>
        <v>68.815291386697083</v>
      </c>
      <c r="AF141" s="344"/>
      <c r="AG141" s="359">
        <f t="shared" ca="1" si="85"/>
        <v>63.396071506364819</v>
      </c>
      <c r="AH141" s="357">
        <f t="shared" ca="1" si="86"/>
        <v>72.994074906276524</v>
      </c>
    </row>
    <row r="142" spans="1:34" x14ac:dyDescent="0.2">
      <c r="A142" s="402">
        <f t="shared" ca="1" si="64"/>
        <v>0.01</v>
      </c>
      <c r="B142" s="357">
        <f t="shared" ca="1" si="65"/>
        <v>1.380000000000001</v>
      </c>
      <c r="C142" s="342"/>
      <c r="D142" s="359">
        <f t="shared" ca="1" si="66"/>
        <v>15.066532539259702</v>
      </c>
      <c r="E142" s="360">
        <f t="shared" ca="1" si="67"/>
        <v>61.410232335728409</v>
      </c>
      <c r="F142" s="357">
        <f t="shared" ca="1" si="68"/>
        <v>63.231456082275336</v>
      </c>
      <c r="G142" s="359">
        <f t="shared" ca="1" si="69"/>
        <v>20.814415451862121</v>
      </c>
      <c r="H142" s="360">
        <f t="shared" ca="1" si="70"/>
        <v>98.292654511776661</v>
      </c>
      <c r="I142" s="357">
        <f t="shared" ca="1" si="71"/>
        <v>100.47231370668342</v>
      </c>
      <c r="J142" s="359">
        <f t="shared" ca="1" si="72"/>
        <v>13.902130996140331</v>
      </c>
      <c r="K142" s="360">
        <f t="shared" ca="1" si="73"/>
        <v>69.795147420198063</v>
      </c>
      <c r="L142" s="357">
        <f t="shared" ca="1" si="58"/>
        <v>71.166226889171426</v>
      </c>
      <c r="M142" s="359">
        <f t="shared" ca="1" si="74"/>
        <v>1.3621194293012568</v>
      </c>
      <c r="N142" s="357">
        <f t="shared" ca="1" si="75"/>
        <v>78.043694491730335</v>
      </c>
      <c r="O142" s="343"/>
      <c r="P142" s="363">
        <f t="shared" ca="1" si="76"/>
        <v>4</v>
      </c>
      <c r="Q142" s="357">
        <f t="shared" ca="1" si="77"/>
        <v>678.99999999999977</v>
      </c>
      <c r="R142" s="359">
        <f t="shared" ca="1" si="78"/>
        <v>0.34075846422168982</v>
      </c>
      <c r="S142" s="360">
        <f t="shared" ca="1" si="79"/>
        <v>8.8848832114731575</v>
      </c>
      <c r="T142" s="357">
        <f t="shared" ca="1" si="59"/>
        <v>87.160704304551686</v>
      </c>
      <c r="U142" s="364">
        <f t="shared" ca="1" si="60"/>
        <v>0</v>
      </c>
      <c r="V142" s="359">
        <f t="shared" ca="1" si="61"/>
        <v>1.2164798277748508</v>
      </c>
      <c r="W142" s="357">
        <f t="shared" ca="1" si="62"/>
        <v>32.618019650639958</v>
      </c>
      <c r="X142" s="343"/>
      <c r="Y142" s="367" t="str">
        <f t="shared" ca="1" si="80"/>
        <v/>
      </c>
      <c r="Z142" s="368" t="str">
        <f t="shared" ca="1" si="81"/>
        <v/>
      </c>
      <c r="AA142" s="369" t="str">
        <f t="shared" ca="1" si="82"/>
        <v/>
      </c>
      <c r="AB142" s="344"/>
      <c r="AC142" s="363" t="e">
        <f t="shared" ca="1" si="83"/>
        <v>#N/A</v>
      </c>
      <c r="AD142" s="376" t="e">
        <f t="shared" ca="1" si="84"/>
        <v>#N/A</v>
      </c>
      <c r="AE142" s="377">
        <f t="shared" ca="1" si="63"/>
        <v>69.795147420198063</v>
      </c>
      <c r="AF142" s="344"/>
      <c r="AG142" s="359">
        <f t="shared" ca="1" si="85"/>
        <v>63.198850410600187</v>
      </c>
      <c r="AH142" s="357">
        <f t="shared" ca="1" si="86"/>
        <v>72.796441511324616</v>
      </c>
    </row>
    <row r="143" spans="1:34" x14ac:dyDescent="0.2">
      <c r="A143" s="402">
        <f t="shared" ca="1" si="64"/>
        <v>0.01</v>
      </c>
      <c r="B143" s="357">
        <f t="shared" ca="1" si="65"/>
        <v>1.390000000000001</v>
      </c>
      <c r="C143" s="342"/>
      <c r="D143" s="359">
        <f t="shared" ca="1" si="66"/>
        <v>15.039908224385673</v>
      </c>
      <c r="E143" s="360">
        <f t="shared" ca="1" si="67"/>
        <v>61.21349361706983</v>
      </c>
      <c r="F143" s="357">
        <f t="shared" ca="1" si="68"/>
        <v>63.03404350194419</v>
      </c>
      <c r="G143" s="359">
        <f t="shared" ca="1" si="69"/>
        <v>20.96481453410598</v>
      </c>
      <c r="H143" s="360">
        <f t="shared" ca="1" si="70"/>
        <v>98.904789447947365</v>
      </c>
      <c r="I143" s="357">
        <f t="shared" ca="1" si="71"/>
        <v>101.10232848056597</v>
      </c>
      <c r="J143" s="359">
        <f t="shared" ca="1" si="72"/>
        <v>14.111027146070171</v>
      </c>
      <c r="K143" s="360">
        <f t="shared" ca="1" si="73"/>
        <v>70.781134639996679</v>
      </c>
      <c r="L143" s="357">
        <f t="shared" ca="1" si="58"/>
        <v>72.174026547245276</v>
      </c>
      <c r="M143" s="359">
        <f t="shared" ca="1" si="74"/>
        <v>1.3619184155965702</v>
      </c>
      <c r="N143" s="357">
        <f t="shared" ca="1" si="75"/>
        <v>78.032177254827502</v>
      </c>
      <c r="O143" s="343"/>
      <c r="P143" s="363">
        <f t="shared" ca="1" si="76"/>
        <v>4</v>
      </c>
      <c r="Q143" s="357">
        <f t="shared" ca="1" si="77"/>
        <v>677.39999999999986</v>
      </c>
      <c r="R143" s="359">
        <f t="shared" ca="1" si="78"/>
        <v>0.33995549876844289</v>
      </c>
      <c r="S143" s="360">
        <f t="shared" ca="1" si="79"/>
        <v>8.8814836564854733</v>
      </c>
      <c r="T143" s="357">
        <f t="shared" ca="1" si="59"/>
        <v>87.1273546701225</v>
      </c>
      <c r="U143" s="364">
        <f t="shared" ca="1" si="60"/>
        <v>0</v>
      </c>
      <c r="V143" s="359">
        <f t="shared" ca="1" si="61"/>
        <v>1.2163598888501306</v>
      </c>
      <c r="W143" s="357">
        <f t="shared" ca="1" si="62"/>
        <v>33.025110359658733</v>
      </c>
      <c r="X143" s="343"/>
      <c r="Y143" s="367" t="str">
        <f t="shared" ca="1" si="80"/>
        <v/>
      </c>
      <c r="Z143" s="368" t="str">
        <f t="shared" ca="1" si="81"/>
        <v/>
      </c>
      <c r="AA143" s="369" t="str">
        <f t="shared" ca="1" si="82"/>
        <v/>
      </c>
      <c r="AB143" s="344"/>
      <c r="AC143" s="363" t="e">
        <f t="shared" ca="1" si="83"/>
        <v>#N/A</v>
      </c>
      <c r="AD143" s="376" t="e">
        <f t="shared" ca="1" si="84"/>
        <v>#N/A</v>
      </c>
      <c r="AE143" s="377">
        <f t="shared" ca="1" si="63"/>
        <v>70.781134639996679</v>
      </c>
      <c r="AF143" s="344"/>
      <c r="AG143" s="359">
        <f t="shared" ca="1" si="85"/>
        <v>63.001273128645664</v>
      </c>
      <c r="AH143" s="357">
        <f t="shared" ca="1" si="86"/>
        <v>72.598453736783554</v>
      </c>
    </row>
    <row r="144" spans="1:34" x14ac:dyDescent="0.2">
      <c r="A144" s="402">
        <f t="shared" ca="1" si="64"/>
        <v>0.01</v>
      </c>
      <c r="B144" s="357">
        <f t="shared" ca="1" si="65"/>
        <v>1.400000000000001</v>
      </c>
      <c r="C144" s="342"/>
      <c r="D144" s="359">
        <f t="shared" ca="1" si="66"/>
        <v>15.013056594954611</v>
      </c>
      <c r="E144" s="360">
        <f t="shared" ca="1" si="67"/>
        <v>61.01644108673122</v>
      </c>
      <c r="F144" s="357">
        <f t="shared" ca="1" si="68"/>
        <v>62.836278941498847</v>
      </c>
      <c r="G144" s="359">
        <f t="shared" ca="1" si="69"/>
        <v>21.114945100055525</v>
      </c>
      <c r="H144" s="360">
        <f t="shared" ca="1" si="70"/>
        <v>99.514953858814678</v>
      </c>
      <c r="I144" s="357">
        <f t="shared" ca="1" si="71"/>
        <v>101.73036394361505</v>
      </c>
      <c r="J144" s="359">
        <f t="shared" ca="1" si="72"/>
        <v>14.321425944240978</v>
      </c>
      <c r="K144" s="360">
        <f t="shared" ca="1" si="73"/>
        <v>71.773233356530483</v>
      </c>
      <c r="L144" s="357">
        <f t="shared" ca="1" si="58"/>
        <v>73.188115616726719</v>
      </c>
      <c r="M144" s="359">
        <f t="shared" ca="1" si="74"/>
        <v>1.3617184532249829</v>
      </c>
      <c r="N144" s="357">
        <f t="shared" ca="1" si="75"/>
        <v>78.020720254874121</v>
      </c>
      <c r="O144" s="343"/>
      <c r="P144" s="363">
        <f t="shared" ca="1" si="76"/>
        <v>4</v>
      </c>
      <c r="Q144" s="357">
        <f t="shared" ca="1" si="77"/>
        <v>675.79999999999984</v>
      </c>
      <c r="R144" s="359">
        <f t="shared" ca="1" si="78"/>
        <v>0.3391525333151959</v>
      </c>
      <c r="S144" s="360">
        <f t="shared" ca="1" si="79"/>
        <v>8.8780921311523215</v>
      </c>
      <c r="T144" s="357">
        <f t="shared" ca="1" si="59"/>
        <v>87.094083806604274</v>
      </c>
      <c r="U144" s="364">
        <f t="shared" ca="1" si="60"/>
        <v>0</v>
      </c>
      <c r="V144" s="359">
        <f t="shared" ca="1" si="61"/>
        <v>1.2162392183949515</v>
      </c>
      <c r="W144" s="357">
        <f t="shared" ca="1" si="62"/>
        <v>33.433363587769009</v>
      </c>
      <c r="X144" s="343"/>
      <c r="Y144" s="367" t="str">
        <f t="shared" ca="1" si="80"/>
        <v/>
      </c>
      <c r="Z144" s="368" t="str">
        <f t="shared" ca="1" si="81"/>
        <v/>
      </c>
      <c r="AA144" s="369" t="str">
        <f t="shared" ca="1" si="82"/>
        <v/>
      </c>
      <c r="AB144" s="344"/>
      <c r="AC144" s="363" t="e">
        <f t="shared" ca="1" si="83"/>
        <v>#N/A</v>
      </c>
      <c r="AD144" s="376" t="e">
        <f t="shared" ca="1" si="84"/>
        <v>#N/A</v>
      </c>
      <c r="AE144" s="377">
        <f t="shared" ca="1" si="63"/>
        <v>71.773233356530483</v>
      </c>
      <c r="AF144" s="344"/>
      <c r="AG144" s="359">
        <f t="shared" ca="1" si="85"/>
        <v>62.80334292073222</v>
      </c>
      <c r="AH144" s="357">
        <f t="shared" ca="1" si="86"/>
        <v>72.400114815761995</v>
      </c>
    </row>
    <row r="145" spans="1:34" x14ac:dyDescent="0.2">
      <c r="A145" s="402">
        <f t="shared" ca="1" si="64"/>
        <v>0.01</v>
      </c>
      <c r="B145" s="357">
        <f t="shared" ca="1" si="65"/>
        <v>1.410000000000001</v>
      </c>
      <c r="C145" s="342"/>
      <c r="D145" s="359">
        <f t="shared" ca="1" si="66"/>
        <v>14.985979887448432</v>
      </c>
      <c r="E145" s="360">
        <f t="shared" ca="1" si="67"/>
        <v>60.819077649111804</v>
      </c>
      <c r="F145" s="357">
        <f t="shared" ca="1" si="68"/>
        <v>62.638165676173017</v>
      </c>
      <c r="G145" s="359">
        <f t="shared" ca="1" si="69"/>
        <v>21.264804898930009</v>
      </c>
      <c r="H145" s="360">
        <f t="shared" ca="1" si="70"/>
        <v>100.12314463530579</v>
      </c>
      <c r="I145" s="357">
        <f t="shared" ca="1" si="71"/>
        <v>102.35641659931204</v>
      </c>
      <c r="J145" s="359">
        <f t="shared" ca="1" si="72"/>
        <v>14.533324694235906</v>
      </c>
      <c r="K145" s="360">
        <f t="shared" ca="1" si="73"/>
        <v>72.771423849001081</v>
      </c>
      <c r="L145" s="357">
        <f t="shared" ca="1" si="58"/>
        <v>74.208474284808275</v>
      </c>
      <c r="M145" s="359">
        <f t="shared" ca="1" si="74"/>
        <v>1.3615195264254949</v>
      </c>
      <c r="N145" s="357">
        <f t="shared" ca="1" si="75"/>
        <v>78.009322588831424</v>
      </c>
      <c r="O145" s="343"/>
      <c r="P145" s="363">
        <f t="shared" ca="1" si="76"/>
        <v>4</v>
      </c>
      <c r="Q145" s="357">
        <f t="shared" ca="1" si="77"/>
        <v>674.19999999999982</v>
      </c>
      <c r="R145" s="359">
        <f t="shared" ca="1" si="78"/>
        <v>0.33834956786194892</v>
      </c>
      <c r="S145" s="360">
        <f t="shared" ca="1" si="79"/>
        <v>8.8747086354737021</v>
      </c>
      <c r="T145" s="357">
        <f t="shared" ca="1" si="59"/>
        <v>87.060891713997023</v>
      </c>
      <c r="U145" s="364">
        <f t="shared" ca="1" si="60"/>
        <v>0</v>
      </c>
      <c r="V145" s="359">
        <f t="shared" ca="1" si="61"/>
        <v>1.2161178190263144</v>
      </c>
      <c r="W145" s="357">
        <f t="shared" ca="1" si="62"/>
        <v>33.842751884316606</v>
      </c>
      <c r="X145" s="343"/>
      <c r="Y145" s="367" t="str">
        <f t="shared" ca="1" si="80"/>
        <v/>
      </c>
      <c r="Z145" s="368" t="str">
        <f t="shared" ca="1" si="81"/>
        <v/>
      </c>
      <c r="AA145" s="369" t="str">
        <f t="shared" ca="1" si="82"/>
        <v/>
      </c>
      <c r="AB145" s="344"/>
      <c r="AC145" s="363" t="e">
        <f t="shared" ca="1" si="83"/>
        <v>#N/A</v>
      </c>
      <c r="AD145" s="376" t="e">
        <f t="shared" ca="1" si="84"/>
        <v>#N/A</v>
      </c>
      <c r="AE145" s="377">
        <f t="shared" ca="1" si="63"/>
        <v>72.771423849001081</v>
      </c>
      <c r="AF145" s="344"/>
      <c r="AG145" s="359">
        <f t="shared" ca="1" si="85"/>
        <v>62.60506304795117</v>
      </c>
      <c r="AH145" s="357">
        <f t="shared" ca="1" si="86"/>
        <v>72.201427982771051</v>
      </c>
    </row>
    <row r="146" spans="1:34" x14ac:dyDescent="0.2">
      <c r="A146" s="402">
        <f t="shared" ca="1" si="64"/>
        <v>0.01</v>
      </c>
      <c r="B146" s="357">
        <f t="shared" ca="1" si="65"/>
        <v>1.420000000000001</v>
      </c>
      <c r="C146" s="342"/>
      <c r="D146" s="359">
        <f t="shared" ca="1" si="66"/>
        <v>14.958680306865862</v>
      </c>
      <c r="E146" s="360">
        <f t="shared" ca="1" si="67"/>
        <v>60.621406214923368</v>
      </c>
      <c r="F146" s="357">
        <f t="shared" ca="1" si="68"/>
        <v>62.439706981997972</v>
      </c>
      <c r="G146" s="359">
        <f t="shared" ca="1" si="69"/>
        <v>21.414391701998667</v>
      </c>
      <c r="H146" s="360">
        <f t="shared" ca="1" si="70"/>
        <v>100.72935869745503</v>
      </c>
      <c r="I146" s="357">
        <f t="shared" ca="1" si="71"/>
        <v>102.98048298375372</v>
      </c>
      <c r="J146" s="359">
        <f t="shared" ca="1" si="72"/>
        <v>14.74672067724055</v>
      </c>
      <c r="K146" s="360">
        <f t="shared" ca="1" si="73"/>
        <v>73.775686365664882</v>
      </c>
      <c r="L146" s="357">
        <f t="shared" ca="1" si="58"/>
        <v>75.235082703865658</v>
      </c>
      <c r="M146" s="359">
        <f t="shared" ca="1" si="74"/>
        <v>1.3613216197629112</v>
      </c>
      <c r="N146" s="357">
        <f t="shared" ca="1" si="75"/>
        <v>77.997983372327852</v>
      </c>
      <c r="O146" s="343"/>
      <c r="P146" s="363">
        <f t="shared" ca="1" si="76"/>
        <v>4</v>
      </c>
      <c r="Q146" s="357">
        <f t="shared" ca="1" si="77"/>
        <v>672.5999999999998</v>
      </c>
      <c r="R146" s="359">
        <f t="shared" ca="1" si="78"/>
        <v>0.33754660240870188</v>
      </c>
      <c r="S146" s="360">
        <f t="shared" ca="1" si="79"/>
        <v>8.8713331694496151</v>
      </c>
      <c r="T146" s="357">
        <f t="shared" ca="1" si="59"/>
        <v>87.027778392300732</v>
      </c>
      <c r="U146" s="364">
        <f t="shared" ca="1" si="60"/>
        <v>0</v>
      </c>
      <c r="V146" s="359">
        <f t="shared" ca="1" si="61"/>
        <v>1.2159956933653173</v>
      </c>
      <c r="W146" s="357">
        <f t="shared" ca="1" si="62"/>
        <v>34.253247849609203</v>
      </c>
      <c r="X146" s="343"/>
      <c r="Y146" s="367" t="str">
        <f t="shared" ca="1" si="80"/>
        <v/>
      </c>
      <c r="Z146" s="368" t="str">
        <f t="shared" ca="1" si="81"/>
        <v/>
      </c>
      <c r="AA146" s="369" t="str">
        <f t="shared" ca="1" si="82"/>
        <v/>
      </c>
      <c r="AB146" s="344"/>
      <c r="AC146" s="363" t="e">
        <f t="shared" ca="1" si="83"/>
        <v>#N/A</v>
      </c>
      <c r="AD146" s="376" t="e">
        <f t="shared" ca="1" si="84"/>
        <v>#N/A</v>
      </c>
      <c r="AE146" s="377">
        <f t="shared" ca="1" si="63"/>
        <v>73.775686365664882</v>
      </c>
      <c r="AF146" s="344"/>
      <c r="AG146" s="359">
        <f t="shared" ca="1" si="85"/>
        <v>62.406436772096811</v>
      </c>
      <c r="AH146" s="357">
        <f t="shared" ca="1" si="86"/>
        <v>72.002396473551926</v>
      </c>
    </row>
    <row r="147" spans="1:34" x14ac:dyDescent="0.2">
      <c r="A147" s="402">
        <f t="shared" ca="1" si="64"/>
        <v>0.01</v>
      </c>
      <c r="B147" s="357">
        <f t="shared" ca="1" si="65"/>
        <v>1.430000000000001</v>
      </c>
      <c r="C147" s="342"/>
      <c r="D147" s="359">
        <f t="shared" ca="1" si="66"/>
        <v>14.931160027601502</v>
      </c>
      <c r="E147" s="360">
        <f t="shared" ca="1" si="67"/>
        <v>60.423429700877335</v>
      </c>
      <c r="F147" s="357">
        <f t="shared" ca="1" si="68"/>
        <v>62.240906135649325</v>
      </c>
      <c r="G147" s="359">
        <f t="shared" ca="1" si="69"/>
        <v>21.563703302274682</v>
      </c>
      <c r="H147" s="360">
        <f t="shared" ca="1" si="70"/>
        <v>101.3335929944638</v>
      </c>
      <c r="I147" s="357">
        <f t="shared" ca="1" si="71"/>
        <v>103.60255966565775</v>
      </c>
      <c r="J147" s="359">
        <f t="shared" ca="1" si="72"/>
        <v>14.961611152261916</v>
      </c>
      <c r="K147" s="360">
        <f t="shared" ca="1" si="73"/>
        <v>74.786001124124482</v>
      </c>
      <c r="L147" s="357">
        <f t="shared" ca="1" si="58"/>
        <v>76.267920991784194</v>
      </c>
      <c r="M147" s="359">
        <f t="shared" ca="1" si="74"/>
        <v>1.3611247181187094</v>
      </c>
      <c r="N147" s="357">
        <f t="shared" ca="1" si="75"/>
        <v>77.986701739135896</v>
      </c>
      <c r="O147" s="343"/>
      <c r="P147" s="363">
        <f t="shared" ca="1" si="76"/>
        <v>4</v>
      </c>
      <c r="Q147" s="357">
        <f t="shared" ca="1" si="77"/>
        <v>670.99999999999977</v>
      </c>
      <c r="R147" s="359">
        <f t="shared" ca="1" si="78"/>
        <v>0.33674363695545489</v>
      </c>
      <c r="S147" s="360">
        <f t="shared" ca="1" si="79"/>
        <v>8.8679657330800605</v>
      </c>
      <c r="T147" s="357">
        <f t="shared" ca="1" si="59"/>
        <v>86.994743841515401</v>
      </c>
      <c r="U147" s="364">
        <f t="shared" ca="1" si="60"/>
        <v>0</v>
      </c>
      <c r="V147" s="359">
        <f t="shared" ca="1" si="61"/>
        <v>1.2158728440371001</v>
      </c>
      <c r="W147" s="357">
        <f t="shared" ca="1" si="62"/>
        <v>34.664824136192451</v>
      </c>
      <c r="X147" s="343"/>
      <c r="Y147" s="367" t="str">
        <f t="shared" ca="1" si="80"/>
        <v/>
      </c>
      <c r="Z147" s="368" t="str">
        <f t="shared" ca="1" si="81"/>
        <v/>
      </c>
      <c r="AA147" s="369" t="str">
        <f t="shared" ca="1" si="82"/>
        <v/>
      </c>
      <c r="AB147" s="344"/>
      <c r="AC147" s="363" t="e">
        <f t="shared" ca="1" si="83"/>
        <v>#N/A</v>
      </c>
      <c r="AD147" s="376" t="e">
        <f t="shared" ca="1" si="84"/>
        <v>#N/A</v>
      </c>
      <c r="AE147" s="377">
        <f t="shared" ca="1" si="63"/>
        <v>74.786001124124482</v>
      </c>
      <c r="AF147" s="344"/>
      <c r="AG147" s="359">
        <f t="shared" ca="1" si="85"/>
        <v>62.20746735550906</v>
      </c>
      <c r="AH147" s="357">
        <f t="shared" ca="1" si="86"/>
        <v>71.803023524904049</v>
      </c>
    </row>
    <row r="148" spans="1:34" x14ac:dyDescent="0.2">
      <c r="A148" s="402">
        <f t="shared" ca="1" si="64"/>
        <v>0.01</v>
      </c>
      <c r="B148" s="357">
        <f t="shared" ca="1" si="65"/>
        <v>1.4400000000000011</v>
      </c>
      <c r="C148" s="342"/>
      <c r="D148" s="359">
        <f t="shared" ca="1" si="66"/>
        <v>14.903421194292426</v>
      </c>
      <c r="E148" s="360">
        <f t="shared" ca="1" si="67"/>
        <v>60.225151029377542</v>
      </c>
      <c r="F148" s="357">
        <f t="shared" ca="1" si="68"/>
        <v>62.041766414294003</v>
      </c>
      <c r="G148" s="359">
        <f t="shared" ca="1" si="69"/>
        <v>21.712737514217608</v>
      </c>
      <c r="H148" s="360">
        <f t="shared" ca="1" si="70"/>
        <v>101.93584450475757</v>
      </c>
      <c r="I148" s="357">
        <f t="shared" ca="1" si="71"/>
        <v>104.2226432463667</v>
      </c>
      <c r="J148" s="359">
        <f t="shared" ca="1" si="72"/>
        <v>15.177993356344377</v>
      </c>
      <c r="K148" s="360">
        <f t="shared" ca="1" si="73"/>
        <v>75.802348311620591</v>
      </c>
      <c r="L148" s="357">
        <f t="shared" ca="1" si="58"/>
        <v>77.306969232285155</v>
      </c>
      <c r="M148" s="359">
        <f t="shared" ca="1" si="74"/>
        <v>1.3609288066822232</v>
      </c>
      <c r="N148" s="357">
        <f t="shared" ca="1" si="75"/>
        <v>77.9754768406669</v>
      </c>
      <c r="O148" s="343"/>
      <c r="P148" s="363">
        <f t="shared" ca="1" si="76"/>
        <v>4</v>
      </c>
      <c r="Q148" s="357">
        <f t="shared" ca="1" si="77"/>
        <v>669.39999999999986</v>
      </c>
      <c r="R148" s="359">
        <f t="shared" ca="1" si="78"/>
        <v>0.33594067150220797</v>
      </c>
      <c r="S148" s="360">
        <f t="shared" ca="1" si="79"/>
        <v>8.8646063263650383</v>
      </c>
      <c r="T148" s="357">
        <f t="shared" ca="1" si="59"/>
        <v>86.96178806164103</v>
      </c>
      <c r="U148" s="364">
        <f t="shared" ca="1" si="60"/>
        <v>0</v>
      </c>
      <c r="V148" s="359">
        <f t="shared" ca="1" si="61"/>
        <v>1.2157492736707938</v>
      </c>
      <c r="W148" s="357">
        <f t="shared" ca="1" si="62"/>
        <v>35.077453450117481</v>
      </c>
      <c r="X148" s="343"/>
      <c r="Y148" s="367" t="str">
        <f t="shared" ca="1" si="80"/>
        <v/>
      </c>
      <c r="Z148" s="368" t="str">
        <f t="shared" ca="1" si="81"/>
        <v/>
      </c>
      <c r="AA148" s="369" t="str">
        <f t="shared" ca="1" si="82"/>
        <v/>
      </c>
      <c r="AB148" s="344"/>
      <c r="AC148" s="363" t="e">
        <f t="shared" ca="1" si="83"/>
        <v>#N/A</v>
      </c>
      <c r="AD148" s="376" t="e">
        <f t="shared" ca="1" si="84"/>
        <v>#N/A</v>
      </c>
      <c r="AE148" s="377">
        <f t="shared" ca="1" si="63"/>
        <v>75.802348311620591</v>
      </c>
      <c r="AF148" s="344"/>
      <c r="AG148" s="359">
        <f t="shared" ca="1" si="85"/>
        <v>62.008158060916223</v>
      </c>
      <c r="AH148" s="357">
        <f t="shared" ca="1" si="86"/>
        <v>71.603312374513834</v>
      </c>
    </row>
    <row r="149" spans="1:34" x14ac:dyDescent="0.2">
      <c r="A149" s="402">
        <f t="shared" ca="1" si="64"/>
        <v>0.01</v>
      </c>
      <c r="B149" s="357">
        <f t="shared" ca="1" si="65"/>
        <v>1.4500000000000011</v>
      </c>
      <c r="C149" s="342"/>
      <c r="D149" s="359">
        <f t="shared" ca="1" si="66"/>
        <v>14.875465922634231</v>
      </c>
      <c r="E149" s="360">
        <f t="shared" ca="1" si="67"/>
        <v>60.026573128218118</v>
      </c>
      <c r="F149" s="357">
        <f t="shared" ca="1" si="68"/>
        <v>61.842291095437027</v>
      </c>
      <c r="G149" s="359">
        <f t="shared" ca="1" si="69"/>
        <v>21.861492173443949</v>
      </c>
      <c r="H149" s="360">
        <f t="shared" ca="1" si="70"/>
        <v>102.53611023603975</v>
      </c>
      <c r="I149" s="357">
        <f t="shared" ca="1" si="71"/>
        <v>104.84073035985034</v>
      </c>
      <c r="J149" s="359">
        <f t="shared" ca="1" si="72"/>
        <v>15.395864504782685</v>
      </c>
      <c r="K149" s="360">
        <f t="shared" ca="1" si="73"/>
        <v>76.824708085324573</v>
      </c>
      <c r="L149" s="357">
        <f t="shared" ca="1" si="58"/>
        <v>78.352207475252172</v>
      </c>
      <c r="M149" s="359">
        <f t="shared" ca="1" si="74"/>
        <v>1.3607338709421331</v>
      </c>
      <c r="N149" s="357">
        <f t="shared" ca="1" si="75"/>
        <v>77.964307845483475</v>
      </c>
      <c r="O149" s="343"/>
      <c r="P149" s="363">
        <f t="shared" ca="1" si="76"/>
        <v>4</v>
      </c>
      <c r="Q149" s="357">
        <f t="shared" ca="1" si="77"/>
        <v>667.79999999999984</v>
      </c>
      <c r="R149" s="359">
        <f t="shared" ca="1" si="78"/>
        <v>0.33513770604896098</v>
      </c>
      <c r="S149" s="360">
        <f t="shared" ca="1" si="79"/>
        <v>8.8612549493045485</v>
      </c>
      <c r="T149" s="357">
        <f t="shared" ca="1" si="59"/>
        <v>86.92891105267762</v>
      </c>
      <c r="U149" s="364">
        <f t="shared" ca="1" si="60"/>
        <v>0</v>
      </c>
      <c r="V149" s="359">
        <f t="shared" ca="1" si="61"/>
        <v>1.2156249848994674</v>
      </c>
      <c r="W149" s="357">
        <f t="shared" ca="1" si="62"/>
        <v>35.49110855219962</v>
      </c>
      <c r="X149" s="343"/>
      <c r="Y149" s="367" t="str">
        <f t="shared" ca="1" si="80"/>
        <v/>
      </c>
      <c r="Z149" s="368" t="str">
        <f t="shared" ca="1" si="81"/>
        <v/>
      </c>
      <c r="AA149" s="369" t="str">
        <f t="shared" ca="1" si="82"/>
        <v/>
      </c>
      <c r="AB149" s="344"/>
      <c r="AC149" s="363" t="e">
        <f t="shared" ca="1" si="83"/>
        <v>#N/A</v>
      </c>
      <c r="AD149" s="376" t="e">
        <f t="shared" ca="1" si="84"/>
        <v>#N/A</v>
      </c>
      <c r="AE149" s="377">
        <f t="shared" ca="1" si="63"/>
        <v>76.824708085324573</v>
      </c>
      <c r="AF149" s="344"/>
      <c r="AG149" s="359">
        <f t="shared" ca="1" si="85"/>
        <v>61.808512151277803</v>
      </c>
      <c r="AH149" s="357">
        <f t="shared" ca="1" si="86"/>
        <v>71.403266260783965</v>
      </c>
    </row>
    <row r="150" spans="1:34" x14ac:dyDescent="0.2">
      <c r="A150" s="402">
        <f t="shared" ca="1" si="64"/>
        <v>0.01</v>
      </c>
      <c r="B150" s="357">
        <f t="shared" ca="1" si="65"/>
        <v>1.4600000000000011</v>
      </c>
      <c r="C150" s="342"/>
      <c r="D150" s="359">
        <f t="shared" ca="1" si="66"/>
        <v>14.847296300167425</v>
      </c>
      <c r="E150" s="360">
        <f t="shared" ca="1" si="67"/>
        <v>59.827698930286857</v>
      </c>
      <c r="F150" s="357">
        <f t="shared" ca="1" si="68"/>
        <v>61.64248345676878</v>
      </c>
      <c r="G150" s="359">
        <f t="shared" ca="1" si="69"/>
        <v>22.009965136445622</v>
      </c>
      <c r="H150" s="360">
        <f t="shared" ca="1" si="70"/>
        <v>103.13438722534262</v>
      </c>
      <c r="I150" s="357">
        <f t="shared" ca="1" si="71"/>
        <v>105.45681767270652</v>
      </c>
      <c r="J150" s="359">
        <f t="shared" ca="1" si="72"/>
        <v>15.615221791332132</v>
      </c>
      <c r="K150" s="360">
        <f t="shared" ca="1" si="73"/>
        <v>77.853060572631492</v>
      </c>
      <c r="L150" s="357">
        <f t="shared" ca="1" si="58"/>
        <v>79.403615737057734</v>
      </c>
      <c r="M150" s="359">
        <f t="shared" ca="1" si="74"/>
        <v>1.3605398966782489</v>
      </c>
      <c r="N150" s="357">
        <f t="shared" ca="1" si="75"/>
        <v>77.953193938828761</v>
      </c>
      <c r="O150" s="343"/>
      <c r="P150" s="363">
        <f t="shared" ca="1" si="76"/>
        <v>4</v>
      </c>
      <c r="Q150" s="357">
        <f t="shared" ca="1" si="77"/>
        <v>666.19999999999982</v>
      </c>
      <c r="R150" s="359">
        <f t="shared" ca="1" si="78"/>
        <v>0.33433474059571394</v>
      </c>
      <c r="S150" s="360">
        <f t="shared" ca="1" si="79"/>
        <v>8.8579116018985911</v>
      </c>
      <c r="T150" s="357">
        <f t="shared" ca="1" si="59"/>
        <v>86.896112814625184</v>
      </c>
      <c r="U150" s="364">
        <f t="shared" ca="1" si="60"/>
        <v>0</v>
      </c>
      <c r="V150" s="359">
        <f t="shared" ca="1" si="61"/>
        <v>1.2154999803600763</v>
      </c>
      <c r="W150" s="357">
        <f t="shared" ca="1" si="62"/>
        <v>35.905762259268357</v>
      </c>
      <c r="X150" s="343"/>
      <c r="Y150" s="367" t="str">
        <f t="shared" ca="1" si="80"/>
        <v/>
      </c>
      <c r="Z150" s="368" t="str">
        <f t="shared" ca="1" si="81"/>
        <v/>
      </c>
      <c r="AA150" s="369" t="str">
        <f t="shared" ca="1" si="82"/>
        <v/>
      </c>
      <c r="AB150" s="344"/>
      <c r="AC150" s="363" t="e">
        <f t="shared" ca="1" si="83"/>
        <v>#N/A</v>
      </c>
      <c r="AD150" s="376" t="e">
        <f t="shared" ca="1" si="84"/>
        <v>#N/A</v>
      </c>
      <c r="AE150" s="377">
        <f t="shared" ca="1" si="63"/>
        <v>77.853060572631492</v>
      </c>
      <c r="AF150" s="344"/>
      <c r="AG150" s="359">
        <f t="shared" ca="1" si="85"/>
        <v>61.608532889627455</v>
      </c>
      <c r="AH150" s="357">
        <f t="shared" ca="1" si="86"/>
        <v>71.202888422663307</v>
      </c>
    </row>
    <row r="151" spans="1:34" x14ac:dyDescent="0.2">
      <c r="A151" s="402">
        <f t="shared" ca="1" si="64"/>
        <v>0.01</v>
      </c>
      <c r="B151" s="357">
        <f t="shared" ca="1" si="65"/>
        <v>1.4700000000000011</v>
      </c>
      <c r="C151" s="342"/>
      <c r="D151" s="359">
        <f t="shared" ca="1" si="66"/>
        <v>14.818914387035603</v>
      </c>
      <c r="E151" s="360">
        <f t="shared" ca="1" si="67"/>
        <v>59.628531373273319</v>
      </c>
      <c r="F151" s="357">
        <f t="shared" ca="1" si="68"/>
        <v>61.442346776012158</v>
      </c>
      <c r="G151" s="359">
        <f t="shared" ca="1" si="69"/>
        <v>22.15815428031598</v>
      </c>
      <c r="H151" s="360">
        <f t="shared" ca="1" si="70"/>
        <v>103.73067253907536</v>
      </c>
      <c r="I151" s="357">
        <f t="shared" ca="1" si="71"/>
        <v>106.07090188416034</v>
      </c>
      <c r="J151" s="359">
        <f t="shared" ca="1" si="72"/>
        <v>15.836062388415939</v>
      </c>
      <c r="K151" s="360">
        <f t="shared" ca="1" si="73"/>
        <v>78.887385871453588</v>
      </c>
      <c r="L151" s="357">
        <f t="shared" ca="1" si="58"/>
        <v>80.461174000889514</v>
      </c>
      <c r="M151" s="359">
        <f t="shared" ca="1" si="74"/>
        <v>1.3603468699535735</v>
      </c>
      <c r="N151" s="357">
        <f t="shared" ca="1" si="75"/>
        <v>77.942134322171611</v>
      </c>
      <c r="O151" s="343"/>
      <c r="P151" s="363">
        <f t="shared" ca="1" si="76"/>
        <v>4</v>
      </c>
      <c r="Q151" s="357">
        <f t="shared" ca="1" si="77"/>
        <v>664.5999999999998</v>
      </c>
      <c r="R151" s="359">
        <f t="shared" ca="1" si="78"/>
        <v>0.33353177514246696</v>
      </c>
      <c r="S151" s="360">
        <f t="shared" ca="1" si="79"/>
        <v>8.854576284147166</v>
      </c>
      <c r="T151" s="357">
        <f t="shared" ca="1" si="59"/>
        <v>86.863393347483708</v>
      </c>
      <c r="U151" s="364">
        <f t="shared" ca="1" si="60"/>
        <v>0</v>
      </c>
      <c r="V151" s="359">
        <f t="shared" ca="1" si="61"/>
        <v>1.215374262693407</v>
      </c>
      <c r="W151" s="357">
        <f t="shared" ca="1" si="62"/>
        <v>36.32138744540822</v>
      </c>
      <c r="X151" s="343"/>
      <c r="Y151" s="367" t="str">
        <f t="shared" ca="1" si="80"/>
        <v/>
      </c>
      <c r="Z151" s="368" t="str">
        <f t="shared" ca="1" si="81"/>
        <v/>
      </c>
      <c r="AA151" s="369" t="str">
        <f t="shared" ca="1" si="82"/>
        <v/>
      </c>
      <c r="AB151" s="344"/>
      <c r="AC151" s="363" t="e">
        <f t="shared" ca="1" si="83"/>
        <v>#N/A</v>
      </c>
      <c r="AD151" s="376" t="e">
        <f t="shared" ca="1" si="84"/>
        <v>#N/A</v>
      </c>
      <c r="AE151" s="377">
        <f t="shared" ca="1" si="63"/>
        <v>78.887385871453588</v>
      </c>
      <c r="AF151" s="344"/>
      <c r="AG151" s="359">
        <f t="shared" ca="1" si="85"/>
        <v>61.408223538916175</v>
      </c>
      <c r="AH151" s="357">
        <f t="shared" ca="1" si="86"/>
        <v>71.002182099477437</v>
      </c>
    </row>
    <row r="152" spans="1:34" x14ac:dyDescent="0.2">
      <c r="A152" s="402">
        <f t="shared" ca="1" si="64"/>
        <v>0.01</v>
      </c>
      <c r="B152" s="357">
        <f t="shared" ca="1" si="65"/>
        <v>1.4800000000000011</v>
      </c>
      <c r="C152" s="342"/>
      <c r="D152" s="359">
        <f t="shared" ca="1" si="66"/>
        <v>14.790322216716472</v>
      </c>
      <c r="E152" s="360">
        <f t="shared" ca="1" si="67"/>
        <v>59.429073399381977</v>
      </c>
      <c r="F152" s="357">
        <f t="shared" ca="1" si="68"/>
        <v>61.241884330770127</v>
      </c>
      <c r="G152" s="359">
        <f t="shared" ca="1" si="69"/>
        <v>22.306057502483146</v>
      </c>
      <c r="H152" s="360">
        <f t="shared" ca="1" si="70"/>
        <v>104.32496327306917</v>
      </c>
      <c r="I152" s="357">
        <f t="shared" ca="1" si="71"/>
        <v>106.68297972606182</v>
      </c>
      <c r="J152" s="359">
        <f t="shared" ca="1" si="72"/>
        <v>16.058383447329934</v>
      </c>
      <c r="K152" s="360">
        <f t="shared" ca="1" si="73"/>
        <v>79.927664050514309</v>
      </c>
      <c r="L152" s="357">
        <f t="shared" ca="1" si="58"/>
        <v>81.524862217076816</v>
      </c>
      <c r="M152" s="359">
        <f t="shared" ca="1" si="74"/>
        <v>1.3601547771066356</v>
      </c>
      <c r="N152" s="357">
        <f t="shared" ca="1" si="75"/>
        <v>77.931128212767419</v>
      </c>
      <c r="O152" s="343"/>
      <c r="P152" s="363">
        <f t="shared" ca="1" si="76"/>
        <v>4</v>
      </c>
      <c r="Q152" s="357">
        <f t="shared" ca="1" si="77"/>
        <v>662.99999999999977</v>
      </c>
      <c r="R152" s="359">
        <f t="shared" ca="1" si="78"/>
        <v>0.33272880968921997</v>
      </c>
      <c r="S152" s="360">
        <f t="shared" ca="1" si="79"/>
        <v>8.8512489960502734</v>
      </c>
      <c r="T152" s="357">
        <f t="shared" ca="1" si="59"/>
        <v>86.830752651253192</v>
      </c>
      <c r="U152" s="364">
        <f t="shared" ca="1" si="60"/>
        <v>0</v>
      </c>
      <c r="V152" s="359">
        <f t="shared" ca="1" si="61"/>
        <v>1.2152478345440283</v>
      </c>
      <c r="W152" s="357">
        <f t="shared" ca="1" si="62"/>
        <v>36.737957043190967</v>
      </c>
      <c r="X152" s="343"/>
      <c r="Y152" s="367" t="str">
        <f t="shared" ca="1" si="80"/>
        <v/>
      </c>
      <c r="Z152" s="368" t="str">
        <f t="shared" ca="1" si="81"/>
        <v/>
      </c>
      <c r="AA152" s="369" t="str">
        <f t="shared" ca="1" si="82"/>
        <v/>
      </c>
      <c r="AB152" s="344"/>
      <c r="AC152" s="363" t="e">
        <f t="shared" ca="1" si="83"/>
        <v>#N/A</v>
      </c>
      <c r="AD152" s="376" t="e">
        <f t="shared" ca="1" si="84"/>
        <v>#N/A</v>
      </c>
      <c r="AE152" s="377">
        <f t="shared" ca="1" si="63"/>
        <v>79.927664050514309</v>
      </c>
      <c r="AF152" s="344"/>
      <c r="AG152" s="359">
        <f t="shared" ca="1" si="85"/>
        <v>61.20758736185558</v>
      </c>
      <c r="AH152" s="357">
        <f t="shared" ca="1" si="86"/>
        <v>70.801150530759756</v>
      </c>
    </row>
    <row r="153" spans="1:34" x14ac:dyDescent="0.2">
      <c r="A153" s="402">
        <f t="shared" ca="1" si="64"/>
        <v>0.01</v>
      </c>
      <c r="B153" s="357">
        <f t="shared" ca="1" si="65"/>
        <v>1.4900000000000011</v>
      </c>
      <c r="C153" s="342"/>
      <c r="D153" s="359">
        <f t="shared" ca="1" si="66"/>
        <v>14.761521796726807</v>
      </c>
      <c r="E153" s="360">
        <f t="shared" ca="1" si="67"/>
        <v>59.229327955049868</v>
      </c>
      <c r="F153" s="357">
        <f t="shared" ca="1" si="68"/>
        <v>61.041099398373326</v>
      </c>
      <c r="G153" s="359">
        <f t="shared" ca="1" si="69"/>
        <v>22.453672720450413</v>
      </c>
      <c r="H153" s="360">
        <f t="shared" ca="1" si="70"/>
        <v>104.91725655261968</v>
      </c>
      <c r="I153" s="357">
        <f t="shared" ca="1" si="71"/>
        <v>107.29304796288208</v>
      </c>
      <c r="J153" s="359">
        <f t="shared" ca="1" si="72"/>
        <v>16.282182098444601</v>
      </c>
      <c r="K153" s="360">
        <f t="shared" ca="1" si="73"/>
        <v>80.973875149642751</v>
      </c>
      <c r="L153" s="357">
        <f t="shared" ca="1" si="58"/>
        <v>82.594660303416958</v>
      </c>
      <c r="M153" s="359">
        <f t="shared" ca="1" si="74"/>
        <v>1.3599636047440815</v>
      </c>
      <c r="N153" s="357">
        <f t="shared" ca="1" si="75"/>
        <v>77.920174843233525</v>
      </c>
      <c r="O153" s="343"/>
      <c r="P153" s="363">
        <f t="shared" ca="1" si="76"/>
        <v>4</v>
      </c>
      <c r="Q153" s="357">
        <f t="shared" ca="1" si="77"/>
        <v>661.39999999999986</v>
      </c>
      <c r="R153" s="359">
        <f t="shared" ca="1" si="78"/>
        <v>0.33192584423597304</v>
      </c>
      <c r="S153" s="360">
        <f t="shared" ca="1" si="79"/>
        <v>8.8479297376079131</v>
      </c>
      <c r="T153" s="357">
        <f t="shared" ca="1" si="59"/>
        <v>86.798190725933637</v>
      </c>
      <c r="U153" s="364">
        <f t="shared" ca="1" si="60"/>
        <v>0</v>
      </c>
      <c r="V153" s="359">
        <f t="shared" ca="1" si="61"/>
        <v>1.2151206985602361</v>
      </c>
      <c r="W153" s="357">
        <f t="shared" ca="1" si="62"/>
        <v>37.155444044898537</v>
      </c>
      <c r="X153" s="343"/>
      <c r="Y153" s="367" t="str">
        <f t="shared" ca="1" si="80"/>
        <v/>
      </c>
      <c r="Z153" s="368" t="str">
        <f t="shared" ca="1" si="81"/>
        <v/>
      </c>
      <c r="AA153" s="369" t="str">
        <f t="shared" ca="1" si="82"/>
        <v/>
      </c>
      <c r="AB153" s="344"/>
      <c r="AC153" s="363" t="e">
        <f t="shared" ca="1" si="83"/>
        <v>#N/A</v>
      </c>
      <c r="AD153" s="376" t="e">
        <f t="shared" ca="1" si="84"/>
        <v>#N/A</v>
      </c>
      <c r="AE153" s="377">
        <f t="shared" ca="1" si="63"/>
        <v>80.973875149642751</v>
      </c>
      <c r="AF153" s="344"/>
      <c r="AG153" s="359">
        <f t="shared" ca="1" si="85"/>
        <v>61.006627620761414</v>
      </c>
      <c r="AH153" s="357">
        <f t="shared" ca="1" si="86"/>
        <v>70.599796956083168</v>
      </c>
    </row>
    <row r="154" spans="1:34" x14ac:dyDescent="0.2">
      <c r="A154" s="402">
        <f t="shared" ca="1" si="64"/>
        <v>0.01</v>
      </c>
      <c r="B154" s="357">
        <f t="shared" ca="1" si="65"/>
        <v>1.5000000000000011</v>
      </c>
      <c r="C154" s="342"/>
      <c r="D154" s="359">
        <f t="shared" ca="1" si="66"/>
        <v>14.73251510930252</v>
      </c>
      <c r="E154" s="360">
        <f t="shared" ca="1" si="67"/>
        <v>59.02929799066888</v>
      </c>
      <c r="F154" s="357">
        <f t="shared" ca="1" si="68"/>
        <v>60.839995255728049</v>
      </c>
      <c r="G154" s="359">
        <f t="shared" ca="1" si="69"/>
        <v>22.600997871543438</v>
      </c>
      <c r="H154" s="360">
        <f t="shared" ca="1" si="70"/>
        <v>105.50754953252637</v>
      </c>
      <c r="I154" s="357">
        <f t="shared" ca="1" si="71"/>
        <v>107.90110339170779</v>
      </c>
      <c r="J154" s="359">
        <f t="shared" ca="1" si="72"/>
        <v>16.507455451404571</v>
      </c>
      <c r="K154" s="360">
        <f t="shared" ca="1" si="73"/>
        <v>82.025999180068482</v>
      </c>
      <c r="L154" s="357">
        <f t="shared" ca="1" si="58"/>
        <v>83.670548145501598</v>
      </c>
      <c r="M154" s="359">
        <f t="shared" ca="1" si="74"/>
        <v>1.359773339733513</v>
      </c>
      <c r="N154" s="357">
        <f t="shared" ca="1" si="75"/>
        <v>77.909273461138937</v>
      </c>
      <c r="O154" s="343"/>
      <c r="P154" s="363">
        <f t="shared" ca="1" si="76"/>
        <v>4</v>
      </c>
      <c r="Q154" s="357">
        <f t="shared" ca="1" si="77"/>
        <v>659.79999999999984</v>
      </c>
      <c r="R154" s="359">
        <f t="shared" ca="1" si="78"/>
        <v>0.331122878782726</v>
      </c>
      <c r="S154" s="360">
        <f t="shared" ca="1" si="79"/>
        <v>8.8446185088200853</v>
      </c>
      <c r="T154" s="357">
        <f t="shared" ca="1" si="59"/>
        <v>86.765707571525041</v>
      </c>
      <c r="U154" s="364">
        <f t="shared" ca="1" si="60"/>
        <v>0</v>
      </c>
      <c r="V154" s="359">
        <f t="shared" ca="1" si="61"/>
        <v>1.2149928573940016</v>
      </c>
      <c r="W154" s="357">
        <f t="shared" ca="1" si="62"/>
        <v>37.573821503736809</v>
      </c>
      <c r="X154" s="343"/>
      <c r="Y154" s="367" t="str">
        <f t="shared" ca="1" si="80"/>
        <v/>
      </c>
      <c r="Z154" s="368" t="str">
        <f t="shared" ca="1" si="81"/>
        <v/>
      </c>
      <c r="AA154" s="369" t="str">
        <f t="shared" ca="1" si="82"/>
        <v/>
      </c>
      <c r="AB154" s="344"/>
      <c r="AC154" s="363" t="e">
        <f t="shared" ca="1" si="83"/>
        <v>#N/A</v>
      </c>
      <c r="AD154" s="376" t="e">
        <f t="shared" ca="1" si="84"/>
        <v>#N/A</v>
      </c>
      <c r="AE154" s="377">
        <f t="shared" ca="1" si="63"/>
        <v>82.025999180068482</v>
      </c>
      <c r="AF154" s="344"/>
      <c r="AG154" s="359">
        <f t="shared" ca="1" si="85"/>
        <v>60.805347577397391</v>
      </c>
      <c r="AH154" s="357">
        <f t="shared" ca="1" si="86"/>
        <v>70.398124614892524</v>
      </c>
    </row>
    <row r="155" spans="1:34" x14ac:dyDescent="0.2">
      <c r="A155" s="402">
        <f t="shared" ca="1" si="64"/>
        <v>0.01</v>
      </c>
      <c r="B155" s="357">
        <f t="shared" ca="1" si="65"/>
        <v>1.5100000000000011</v>
      </c>
      <c r="C155" s="342"/>
      <c r="D155" s="359">
        <f t="shared" ca="1" si="66"/>
        <v>14.704963071898588</v>
      </c>
      <c r="E155" s="360">
        <f t="shared" ca="1" si="67"/>
        <v>58.83673093198955</v>
      </c>
      <c r="F155" s="357">
        <f t="shared" ca="1" si="68"/>
        <v>60.646490794680254</v>
      </c>
      <c r="G155" s="359">
        <f t="shared" ca="1" si="69"/>
        <v>22.748047502262423</v>
      </c>
      <c r="H155" s="360">
        <f t="shared" ca="1" si="70"/>
        <v>106.09591684184626</v>
      </c>
      <c r="I155" s="357">
        <f t="shared" ca="1" si="71"/>
        <v>108.5072220438674</v>
      </c>
      <c r="J155" s="359">
        <f t="shared" ca="1" si="72"/>
        <v>16.734200678273599</v>
      </c>
      <c r="K155" s="360">
        <f t="shared" ca="1" si="73"/>
        <v>83.084016511940348</v>
      </c>
      <c r="L155" s="357">
        <f t="shared" ca="1" si="58"/>
        <v>84.752505993021288</v>
      </c>
      <c r="M155" s="359">
        <f t="shared" ca="1" si="74"/>
        <v>1.3595839693347913</v>
      </c>
      <c r="N155" s="357">
        <f t="shared" ca="1" si="75"/>
        <v>77.898423336527486</v>
      </c>
      <c r="O155" s="343"/>
      <c r="P155" s="363">
        <f t="shared" ca="1" si="76"/>
        <v>5</v>
      </c>
      <c r="Q155" s="357">
        <f t="shared" ca="1" si="77"/>
        <v>658.26999999999987</v>
      </c>
      <c r="R155" s="359">
        <f t="shared" ca="1" si="78"/>
        <v>0.33035504306805863</v>
      </c>
      <c r="S155" s="360">
        <f t="shared" ca="1" si="79"/>
        <v>8.841314958389404</v>
      </c>
      <c r="T155" s="357">
        <f t="shared" ca="1" si="59"/>
        <v>86.733299741800053</v>
      </c>
      <c r="U155" s="364">
        <f t="shared" ca="1" si="60"/>
        <v>0</v>
      </c>
      <c r="V155" s="359">
        <f t="shared" ca="1" si="61"/>
        <v>1.2148643136538744</v>
      </c>
      <c r="W155" s="357">
        <f t="shared" ca="1" si="62"/>
        <v>37.993117997451542</v>
      </c>
      <c r="X155" s="343"/>
      <c r="Y155" s="367" t="str">
        <f t="shared" ca="1" si="80"/>
        <v/>
      </c>
      <c r="Z155" s="368" t="str">
        <f t="shared" ca="1" si="81"/>
        <v/>
      </c>
      <c r="AA155" s="369" t="str">
        <f t="shared" ca="1" si="82"/>
        <v/>
      </c>
      <c r="AB155" s="344"/>
      <c r="AC155" s="363" t="e">
        <f t="shared" ca="1" si="83"/>
        <v>#N/A</v>
      </c>
      <c r="AD155" s="376" t="e">
        <f t="shared" ca="1" si="84"/>
        <v>#N/A</v>
      </c>
      <c r="AE155" s="377">
        <f t="shared" ca="1" si="63"/>
        <v>83.084016511940348</v>
      </c>
      <c r="AF155" s="344"/>
      <c r="AG155" s="359">
        <f t="shared" ca="1" si="85"/>
        <v>60.611670656284716</v>
      </c>
      <c r="AH155" s="357">
        <f t="shared" ca="1" si="86"/>
        <v>70.2040569098031</v>
      </c>
    </row>
    <row r="156" spans="1:34" x14ac:dyDescent="0.2">
      <c r="A156" s="402">
        <f t="shared" ca="1" si="64"/>
        <v>0.01</v>
      </c>
      <c r="B156" s="357">
        <f t="shared" ca="1" si="65"/>
        <v>1.5200000000000011</v>
      </c>
      <c r="C156" s="342"/>
      <c r="D156" s="359">
        <f t="shared" ca="1" si="66"/>
        <v>14.678873128712274</v>
      </c>
      <c r="E156" s="360">
        <f t="shared" ca="1" si="67"/>
        <v>58.651634021160731</v>
      </c>
      <c r="F156" s="357">
        <f t="shared" ca="1" si="68"/>
        <v>60.46059451974493</v>
      </c>
      <c r="G156" s="359">
        <f t="shared" ca="1" si="69"/>
        <v>22.894836233549547</v>
      </c>
      <c r="H156" s="360">
        <f t="shared" ca="1" si="70"/>
        <v>106.68243318205786</v>
      </c>
      <c r="I156" s="357">
        <f t="shared" ca="1" si="71"/>
        <v>109.11148003672801</v>
      </c>
      <c r="J156" s="359">
        <f t="shared" ca="1" si="72"/>
        <v>16.962415096952657</v>
      </c>
      <c r="K156" s="360">
        <f t="shared" ca="1" si="73"/>
        <v>84.147908262059872</v>
      </c>
      <c r="L156" s="357">
        <f t="shared" ca="1" si="58"/>
        <v>85.840514856339084</v>
      </c>
      <c r="M156" s="359">
        <f t="shared" ca="1" si="74"/>
        <v>1.3593954811879323</v>
      </c>
      <c r="N156" s="357">
        <f t="shared" ca="1" si="75"/>
        <v>77.887623761224219</v>
      </c>
      <c r="O156" s="343"/>
      <c r="P156" s="363">
        <f t="shared" ca="1" si="76"/>
        <v>5</v>
      </c>
      <c r="Q156" s="357">
        <f t="shared" ca="1" si="77"/>
        <v>656.80999999999983</v>
      </c>
      <c r="R156" s="359">
        <f t="shared" ca="1" si="78"/>
        <v>0.3296223370919707</v>
      </c>
      <c r="S156" s="360">
        <f t="shared" ca="1" si="79"/>
        <v>8.8380187350184851</v>
      </c>
      <c r="T156" s="357">
        <f t="shared" ca="1" si="59"/>
        <v>86.700963790531347</v>
      </c>
      <c r="U156" s="364">
        <f t="shared" ca="1" si="60"/>
        <v>0</v>
      </c>
      <c r="V156" s="359">
        <f t="shared" ca="1" si="61"/>
        <v>1.2147350698578934</v>
      </c>
      <c r="W156" s="357">
        <f t="shared" ca="1" si="62"/>
        <v>38.413363413197558</v>
      </c>
      <c r="X156" s="343"/>
      <c r="Y156" s="367" t="str">
        <f t="shared" ca="1" si="80"/>
        <v/>
      </c>
      <c r="Z156" s="368" t="str">
        <f t="shared" ca="1" si="81"/>
        <v/>
      </c>
      <c r="AA156" s="369" t="str">
        <f t="shared" ca="1" si="82"/>
        <v/>
      </c>
      <c r="AB156" s="344"/>
      <c r="AC156" s="363" t="e">
        <f t="shared" ca="1" si="83"/>
        <v>#N/A</v>
      </c>
      <c r="AD156" s="376" t="e">
        <f t="shared" ca="1" si="84"/>
        <v>#N/A</v>
      </c>
      <c r="AE156" s="377">
        <f t="shared" ca="1" si="63"/>
        <v>84.147908262059872</v>
      </c>
      <c r="AF156" s="344"/>
      <c r="AG156" s="359">
        <f t="shared" ca="1" si="85"/>
        <v>60.425605461619753</v>
      </c>
      <c r="AH156" s="357">
        <f t="shared" ca="1" si="86"/>
        <v>70.017602423791871</v>
      </c>
    </row>
    <row r="157" spans="1:34" x14ac:dyDescent="0.2">
      <c r="A157" s="402">
        <f t="shared" ca="1" si="64"/>
        <v>0.01</v>
      </c>
      <c r="B157" s="357">
        <f t="shared" ca="1" si="65"/>
        <v>1.5300000000000011</v>
      </c>
      <c r="C157" s="342"/>
      <c r="D157" s="359">
        <f t="shared" ca="1" si="66"/>
        <v>14.652589489848868</v>
      </c>
      <c r="E157" s="360">
        <f t="shared" ca="1" si="67"/>
        <v>58.466264710917116</v>
      </c>
      <c r="F157" s="357">
        <f t="shared" ca="1" si="68"/>
        <v>60.274393302670923</v>
      </c>
      <c r="G157" s="359">
        <f t="shared" ca="1" si="69"/>
        <v>23.041362128448036</v>
      </c>
      <c r="H157" s="360">
        <f t="shared" ca="1" si="70"/>
        <v>107.26709582916703</v>
      </c>
      <c r="I157" s="357">
        <f t="shared" ca="1" si="71"/>
        <v>109.71387431112795</v>
      </c>
      <c r="J157" s="359">
        <f t="shared" ca="1" si="72"/>
        <v>17.192096088762646</v>
      </c>
      <c r="K157" s="360">
        <f t="shared" ca="1" si="73"/>
        <v>85.217655907115997</v>
      </c>
      <c r="L157" s="357">
        <f t="shared" ca="1" si="58"/>
        <v>86.934556111070521</v>
      </c>
      <c r="M157" s="359">
        <f t="shared" ca="1" si="74"/>
        <v>1.3592078631659339</v>
      </c>
      <c r="N157" s="357">
        <f t="shared" ca="1" si="75"/>
        <v>77.876874040403123</v>
      </c>
      <c r="O157" s="343"/>
      <c r="P157" s="363">
        <f t="shared" ca="1" si="76"/>
        <v>5</v>
      </c>
      <c r="Q157" s="357">
        <f t="shared" ca="1" si="77"/>
        <v>655.3499999999998</v>
      </c>
      <c r="R157" s="359">
        <f t="shared" ca="1" si="78"/>
        <v>0.32888963111588282</v>
      </c>
      <c r="S157" s="360">
        <f t="shared" ca="1" si="79"/>
        <v>8.834729838707327</v>
      </c>
      <c r="T157" s="357">
        <f t="shared" ca="1" si="59"/>
        <v>86.66869971771888</v>
      </c>
      <c r="U157" s="364">
        <f t="shared" ca="1" si="60"/>
        <v>0</v>
      </c>
      <c r="V157" s="359">
        <f t="shared" ca="1" si="61"/>
        <v>1.2146051284805954</v>
      </c>
      <c r="W157" s="357">
        <f t="shared" ca="1" si="62"/>
        <v>38.834532828503725</v>
      </c>
      <c r="X157" s="343"/>
      <c r="Y157" s="367" t="str">
        <f t="shared" ca="1" si="80"/>
        <v/>
      </c>
      <c r="Z157" s="368" t="str">
        <f t="shared" ca="1" si="81"/>
        <v/>
      </c>
      <c r="AA157" s="369" t="str">
        <f t="shared" ca="1" si="82"/>
        <v/>
      </c>
      <c r="AB157" s="344"/>
      <c r="AC157" s="363" t="e">
        <f t="shared" ca="1" si="83"/>
        <v>#N/A</v>
      </c>
      <c r="AD157" s="376" t="e">
        <f t="shared" ca="1" si="84"/>
        <v>#N/A</v>
      </c>
      <c r="AE157" s="377">
        <f t="shared" ca="1" si="63"/>
        <v>85.217655907115997</v>
      </c>
      <c r="AF157" s="344"/>
      <c r="AG157" s="359">
        <f t="shared" ca="1" si="85"/>
        <v>60.239234340712599</v>
      </c>
      <c r="AH157" s="357">
        <f t="shared" ca="1" si="86"/>
        <v>69.830843483615865</v>
      </c>
    </row>
    <row r="158" spans="1:34" x14ac:dyDescent="0.2">
      <c r="A158" s="402">
        <f t="shared" ca="1" si="64"/>
        <v>0.01</v>
      </c>
      <c r="B158" s="357">
        <f t="shared" ca="1" si="65"/>
        <v>1.5400000000000011</v>
      </c>
      <c r="C158" s="342"/>
      <c r="D158" s="359">
        <f t="shared" ca="1" si="66"/>
        <v>14.62611392590656</v>
      </c>
      <c r="E158" s="360">
        <f t="shared" ca="1" si="67"/>
        <v>58.280625690982419</v>
      </c>
      <c r="F158" s="357">
        <f t="shared" ca="1" si="68"/>
        <v>60.087890123601426</v>
      </c>
      <c r="G158" s="359">
        <f t="shared" ca="1" si="69"/>
        <v>23.187623267707103</v>
      </c>
      <c r="H158" s="360">
        <f t="shared" ca="1" si="70"/>
        <v>107.84990208607685</v>
      </c>
      <c r="I158" s="357">
        <f t="shared" ca="1" si="71"/>
        <v>110.31440183757276</v>
      </c>
      <c r="J158" s="359">
        <f t="shared" ca="1" si="72"/>
        <v>17.423241015743422</v>
      </c>
      <c r="K158" s="360">
        <f t="shared" ca="1" si="73"/>
        <v>86.293240896692211</v>
      </c>
      <c r="L158" s="357">
        <f t="shared" ca="1" si="58"/>
        <v>88.034611102379714</v>
      </c>
      <c r="M158" s="359">
        <f t="shared" ca="1" si="74"/>
        <v>1.3590211033688013</v>
      </c>
      <c r="N158" s="357">
        <f t="shared" ca="1" si="75"/>
        <v>77.866173492244698</v>
      </c>
      <c r="O158" s="343"/>
      <c r="P158" s="363">
        <f t="shared" ca="1" si="76"/>
        <v>5</v>
      </c>
      <c r="Q158" s="357">
        <f t="shared" ca="1" si="77"/>
        <v>653.88999999999987</v>
      </c>
      <c r="R158" s="359">
        <f t="shared" ca="1" si="78"/>
        <v>0.328156925139795</v>
      </c>
      <c r="S158" s="360">
        <f t="shared" ca="1" si="79"/>
        <v>8.8314482694559295</v>
      </c>
      <c r="T158" s="357">
        <f t="shared" ca="1" si="59"/>
        <v>86.636507523362667</v>
      </c>
      <c r="U158" s="364">
        <f t="shared" ca="1" si="60"/>
        <v>0</v>
      </c>
      <c r="V158" s="359">
        <f t="shared" ca="1" si="61"/>
        <v>1.2144744920000254</v>
      </c>
      <c r="W158" s="357">
        <f t="shared" ca="1" si="62"/>
        <v>39.256601371827351</v>
      </c>
      <c r="X158" s="343"/>
      <c r="Y158" s="367" t="str">
        <f t="shared" ca="1" si="80"/>
        <v/>
      </c>
      <c r="Z158" s="368" t="str">
        <f t="shared" ca="1" si="81"/>
        <v/>
      </c>
      <c r="AA158" s="369" t="str">
        <f t="shared" ca="1" si="82"/>
        <v/>
      </c>
      <c r="AB158" s="344"/>
      <c r="AC158" s="363" t="e">
        <f t="shared" ca="1" si="83"/>
        <v>#N/A</v>
      </c>
      <c r="AD158" s="376" t="e">
        <f t="shared" ca="1" si="84"/>
        <v>#N/A</v>
      </c>
      <c r="AE158" s="377">
        <f t="shared" ca="1" si="63"/>
        <v>86.293240896692211</v>
      </c>
      <c r="AF158" s="344"/>
      <c r="AG158" s="359">
        <f t="shared" ca="1" si="85"/>
        <v>60.052560260456616</v>
      </c>
      <c r="AH158" s="357">
        <f t="shared" ca="1" si="86"/>
        <v>69.643783035982992</v>
      </c>
    </row>
    <row r="159" spans="1:34" x14ac:dyDescent="0.2">
      <c r="A159" s="402">
        <f t="shared" ca="1" si="64"/>
        <v>0.01</v>
      </c>
      <c r="B159" s="357">
        <f t="shared" ca="1" si="65"/>
        <v>1.5500000000000012</v>
      </c>
      <c r="C159" s="342"/>
      <c r="D159" s="359">
        <f t="shared" ca="1" si="66"/>
        <v>14.599448186722142</v>
      </c>
      <c r="E159" s="360">
        <f t="shared" ca="1" si="67"/>
        <v>58.094719654539787</v>
      </c>
      <c r="F159" s="357">
        <f t="shared" ca="1" si="68"/>
        <v>59.90108796254335</v>
      </c>
      <c r="G159" s="359">
        <f t="shared" ca="1" si="69"/>
        <v>23.333617749574323</v>
      </c>
      <c r="H159" s="360">
        <f t="shared" ca="1" si="70"/>
        <v>108.43084928262225</v>
      </c>
      <c r="I159" s="357">
        <f t="shared" ca="1" si="71"/>
        <v>110.91305961623272</v>
      </c>
      <c r="J159" s="359">
        <f t="shared" ca="1" si="72"/>
        <v>17.65584722082983</v>
      </c>
      <c r="K159" s="360">
        <f t="shared" ca="1" si="73"/>
        <v>87.374644653535711</v>
      </c>
      <c r="L159" s="357">
        <f t="shared" ca="1" si="58"/>
        <v>89.140661145276013</v>
      </c>
      <c r="M159" s="359">
        <f t="shared" ca="1" si="74"/>
        <v>1.3588351901177635</v>
      </c>
      <c r="N159" s="357">
        <f t="shared" ca="1" si="75"/>
        <v>77.855521447604673</v>
      </c>
      <c r="O159" s="343"/>
      <c r="P159" s="363">
        <f t="shared" ca="1" si="76"/>
        <v>5</v>
      </c>
      <c r="Q159" s="357">
        <f t="shared" ca="1" si="77"/>
        <v>652.42999999999984</v>
      </c>
      <c r="R159" s="359">
        <f t="shared" ca="1" si="78"/>
        <v>0.32742421916370706</v>
      </c>
      <c r="S159" s="360">
        <f t="shared" ca="1" si="79"/>
        <v>8.8281740272642928</v>
      </c>
      <c r="T159" s="357">
        <f t="shared" ca="1" si="59"/>
        <v>86.604387207462722</v>
      </c>
      <c r="U159" s="364">
        <f t="shared" ca="1" si="60"/>
        <v>0</v>
      </c>
      <c r="V159" s="359">
        <f t="shared" ca="1" si="61"/>
        <v>1.2143431628976891</v>
      </c>
      <c r="W159" s="357">
        <f t="shared" ca="1" si="62"/>
        <v>39.679544223634089</v>
      </c>
      <c r="X159" s="343"/>
      <c r="Y159" s="367" t="str">
        <f t="shared" ca="1" si="80"/>
        <v/>
      </c>
      <c r="Z159" s="368" t="str">
        <f t="shared" ca="1" si="81"/>
        <v/>
      </c>
      <c r="AA159" s="369" t="str">
        <f t="shared" ca="1" si="82"/>
        <v/>
      </c>
      <c r="AB159" s="344"/>
      <c r="AC159" s="363" t="e">
        <f t="shared" ca="1" si="83"/>
        <v>#N/A</v>
      </c>
      <c r="AD159" s="376" t="e">
        <f t="shared" ca="1" si="84"/>
        <v>#N/A</v>
      </c>
      <c r="AE159" s="377">
        <f t="shared" ca="1" si="63"/>
        <v>87.374644653535711</v>
      </c>
      <c r="AF159" s="344"/>
      <c r="AG159" s="359">
        <f t="shared" ca="1" si="85"/>
        <v>59.865586187505464</v>
      </c>
      <c r="AH159" s="357">
        <f t="shared" ca="1" si="86"/>
        <v>69.456424027719905</v>
      </c>
    </row>
    <row r="160" spans="1:34" x14ac:dyDescent="0.2">
      <c r="A160" s="402">
        <f t="shared" ca="1" si="64"/>
        <v>0.01</v>
      </c>
      <c r="B160" s="357">
        <f t="shared" ca="1" si="65"/>
        <v>1.5600000000000012</v>
      </c>
      <c r="C160" s="342"/>
      <c r="D160" s="359">
        <f t="shared" ca="1" si="66"/>
        <v>14.572594001885456</v>
      </c>
      <c r="E160" s="360">
        <f t="shared" ca="1" si="67"/>
        <v>57.908549298002129</v>
      </c>
      <c r="F160" s="357">
        <f t="shared" ca="1" si="68"/>
        <v>59.713989799233232</v>
      </c>
      <c r="G160" s="359">
        <f t="shared" ca="1" si="69"/>
        <v>23.479343689593179</v>
      </c>
      <c r="H160" s="360">
        <f t="shared" ca="1" si="70"/>
        <v>109.00993477560228</v>
      </c>
      <c r="I160" s="357">
        <f t="shared" ca="1" si="71"/>
        <v>111.50984467693918</v>
      </c>
      <c r="J160" s="359">
        <f t="shared" ca="1" si="72"/>
        <v>17.88991202802567</v>
      </c>
      <c r="K160" s="360">
        <f t="shared" ca="1" si="73"/>
        <v>88.461848573826828</v>
      </c>
      <c r="L160" s="357">
        <f t="shared" ca="1" si="58"/>
        <v>90.252687524910655</v>
      </c>
      <c r="M160" s="359">
        <f t="shared" ca="1" si="74"/>
        <v>1.3586501119496737</v>
      </c>
      <c r="N160" s="357">
        <f t="shared" ca="1" si="75"/>
        <v>77.844917249693111</v>
      </c>
      <c r="O160" s="343"/>
      <c r="P160" s="363">
        <f t="shared" ca="1" si="76"/>
        <v>5</v>
      </c>
      <c r="Q160" s="357">
        <f t="shared" ca="1" si="77"/>
        <v>650.9699999999998</v>
      </c>
      <c r="R160" s="359">
        <f t="shared" ca="1" si="78"/>
        <v>0.32669151318761919</v>
      </c>
      <c r="S160" s="360">
        <f t="shared" ca="1" si="79"/>
        <v>8.8249071121324167</v>
      </c>
      <c r="T160" s="357">
        <f t="shared" ca="1" si="59"/>
        <v>86.572338770019016</v>
      </c>
      <c r="U160" s="364">
        <f t="shared" ca="1" si="60"/>
        <v>0</v>
      </c>
      <c r="V160" s="359">
        <f t="shared" ca="1" si="61"/>
        <v>1.2142111436585044</v>
      </c>
      <c r="W160" s="357">
        <f t="shared" ca="1" si="62"/>
        <v>40.103336617470106</v>
      </c>
      <c r="X160" s="343"/>
      <c r="Y160" s="367" t="str">
        <f t="shared" ca="1" si="80"/>
        <v/>
      </c>
      <c r="Z160" s="368" t="str">
        <f t="shared" ca="1" si="81"/>
        <v/>
      </c>
      <c r="AA160" s="369" t="str">
        <f t="shared" ca="1" si="82"/>
        <v/>
      </c>
      <c r="AB160" s="344"/>
      <c r="AC160" s="363" t="e">
        <f t="shared" ca="1" si="83"/>
        <v>#N/A</v>
      </c>
      <c r="AD160" s="376" t="e">
        <f t="shared" ca="1" si="84"/>
        <v>#N/A</v>
      </c>
      <c r="AE160" s="377">
        <f t="shared" ca="1" si="63"/>
        <v>88.461848573826828</v>
      </c>
      <c r="AF160" s="344"/>
      <c r="AG160" s="359">
        <f t="shared" ca="1" si="85"/>
        <v>59.678315088135591</v>
      </c>
      <c r="AH160" s="357">
        <f t="shared" ca="1" si="86"/>
        <v>69.268769405625591</v>
      </c>
    </row>
    <row r="161" spans="1:34" x14ac:dyDescent="0.2">
      <c r="A161" s="402">
        <f t="shared" ca="1" si="64"/>
        <v>0.01</v>
      </c>
      <c r="B161" s="357">
        <f t="shared" ca="1" si="65"/>
        <v>1.5700000000000012</v>
      </c>
      <c r="C161" s="342"/>
      <c r="D161" s="359">
        <f t="shared" ca="1" si="66"/>
        <v>14.545553081236418</v>
      </c>
      <c r="E161" s="360">
        <f t="shared" ca="1" si="67"/>
        <v>57.722117320785145</v>
      </c>
      <c r="F161" s="357">
        <f t="shared" ca="1" si="68"/>
        <v>59.526598613002832</v>
      </c>
      <c r="G161" s="359">
        <f t="shared" ca="1" si="69"/>
        <v>23.624799220405542</v>
      </c>
      <c r="H161" s="360">
        <f t="shared" ca="1" si="70"/>
        <v>109.58715594881012</v>
      </c>
      <c r="I161" s="357">
        <f t="shared" ca="1" si="71"/>
        <v>112.10475407917947</v>
      </c>
      <c r="J161" s="359">
        <f t="shared" ca="1" si="72"/>
        <v>18.125432742575665</v>
      </c>
      <c r="K161" s="360">
        <f t="shared" ca="1" si="73"/>
        <v>89.554834027448891</v>
      </c>
      <c r="L161" s="357">
        <f t="shared" ca="1" si="58"/>
        <v>91.370671496873385</v>
      </c>
      <c r="M161" s="359">
        <f t="shared" ca="1" si="74"/>
        <v>1.3584658576115849</v>
      </c>
      <c r="N161" s="357">
        <f t="shared" ca="1" si="75"/>
        <v>77.834360253763649</v>
      </c>
      <c r="O161" s="343"/>
      <c r="P161" s="363">
        <f t="shared" ca="1" si="76"/>
        <v>5</v>
      </c>
      <c r="Q161" s="357">
        <f t="shared" ca="1" si="77"/>
        <v>649.50999999999976</v>
      </c>
      <c r="R161" s="359">
        <f t="shared" ca="1" si="78"/>
        <v>0.32595880721153131</v>
      </c>
      <c r="S161" s="360">
        <f t="shared" ca="1" si="79"/>
        <v>8.8216475240603014</v>
      </c>
      <c r="T161" s="357">
        <f t="shared" ca="1" si="59"/>
        <v>86.540362211031564</v>
      </c>
      <c r="U161" s="364">
        <f t="shared" ca="1" si="60"/>
        <v>0</v>
      </c>
      <c r="V161" s="359">
        <f t="shared" ca="1" si="61"/>
        <v>1.2140784367707536</v>
      </c>
      <c r="W161" s="357">
        <f t="shared" ca="1" si="62"/>
        <v>40.527953841026296</v>
      </c>
      <c r="X161" s="343"/>
      <c r="Y161" s="367" t="str">
        <f t="shared" ca="1" si="80"/>
        <v/>
      </c>
      <c r="Z161" s="368" t="str">
        <f t="shared" ca="1" si="81"/>
        <v/>
      </c>
      <c r="AA161" s="369" t="str">
        <f t="shared" ca="1" si="82"/>
        <v/>
      </c>
      <c r="AB161" s="344"/>
      <c r="AC161" s="363" t="e">
        <f t="shared" ca="1" si="83"/>
        <v>#N/A</v>
      </c>
      <c r="AD161" s="376" t="e">
        <f t="shared" ca="1" si="84"/>
        <v>#N/A</v>
      </c>
      <c r="AE161" s="377">
        <f t="shared" ca="1" si="63"/>
        <v>89.554834027448891</v>
      </c>
      <c r="AF161" s="344"/>
      <c r="AG161" s="359">
        <f t="shared" ca="1" si="85"/>
        <v>59.490749928108613</v>
      </c>
      <c r="AH161" s="357">
        <f t="shared" ca="1" si="86"/>
        <v>69.080822116325137</v>
      </c>
    </row>
    <row r="162" spans="1:34" x14ac:dyDescent="0.2">
      <c r="A162" s="402">
        <f t="shared" ca="1" si="64"/>
        <v>0.01</v>
      </c>
      <c r="B162" s="357">
        <f t="shared" ca="1" si="65"/>
        <v>1.5800000000000012</v>
      </c>
      <c r="C162" s="342"/>
      <c r="D162" s="359">
        <f t="shared" ca="1" si="66"/>
        <v>14.518327115345469</v>
      </c>
      <c r="E162" s="360">
        <f t="shared" ca="1" si="67"/>
        <v>57.535426425083955</v>
      </c>
      <c r="F162" s="357">
        <f t="shared" ca="1" si="68"/>
        <v>59.338917382645469</v>
      </c>
      <c r="G162" s="359">
        <f t="shared" ca="1" si="69"/>
        <v>23.769982491558999</v>
      </c>
      <c r="H162" s="360">
        <f t="shared" ca="1" si="70"/>
        <v>110.16251021306095</v>
      </c>
      <c r="I162" s="357">
        <f t="shared" ca="1" si="71"/>
        <v>112.69778491209036</v>
      </c>
      <c r="J162" s="359">
        <f t="shared" ca="1" si="72"/>
        <v>18.362406651135487</v>
      </c>
      <c r="K162" s="360">
        <f t="shared" ca="1" si="73"/>
        <v>90.653582358258248</v>
      </c>
      <c r="L162" s="357">
        <f t="shared" ca="1" si="58"/>
        <v>92.494594287488908</v>
      </c>
      <c r="M162" s="359">
        <f t="shared" ca="1" si="74"/>
        <v>1.3582824160554978</v>
      </c>
      <c r="N162" s="357">
        <f t="shared" ca="1" si="75"/>
        <v>77.823849826812548</v>
      </c>
      <c r="O162" s="343"/>
      <c r="P162" s="363">
        <f t="shared" ca="1" si="76"/>
        <v>5</v>
      </c>
      <c r="Q162" s="357">
        <f t="shared" ca="1" si="77"/>
        <v>648.04999999999984</v>
      </c>
      <c r="R162" s="359">
        <f t="shared" ca="1" si="78"/>
        <v>0.32522610123544349</v>
      </c>
      <c r="S162" s="360">
        <f t="shared" ca="1" si="79"/>
        <v>8.8183952630479467</v>
      </c>
      <c r="T162" s="357">
        <f t="shared" ca="1" si="59"/>
        <v>86.508457530500365</v>
      </c>
      <c r="U162" s="364">
        <f t="shared" ca="1" si="60"/>
        <v>0</v>
      </c>
      <c r="V162" s="359">
        <f t="shared" ca="1" si="61"/>
        <v>1.2139450447260329</v>
      </c>
      <c r="W162" s="357">
        <f t="shared" ca="1" si="62"/>
        <v>40.95337123719456</v>
      </c>
      <c r="X162" s="343"/>
      <c r="Y162" s="367" t="str">
        <f t="shared" ca="1" si="80"/>
        <v/>
      </c>
      <c r="Z162" s="368" t="str">
        <f t="shared" ca="1" si="81"/>
        <v/>
      </c>
      <c r="AA162" s="369" t="str">
        <f t="shared" ca="1" si="82"/>
        <v/>
      </c>
      <c r="AB162" s="344"/>
      <c r="AC162" s="363" t="e">
        <f t="shared" ca="1" si="83"/>
        <v>#N/A</v>
      </c>
      <c r="AD162" s="376" t="e">
        <f t="shared" ca="1" si="84"/>
        <v>#N/A</v>
      </c>
      <c r="AE162" s="377">
        <f t="shared" ca="1" si="63"/>
        <v>90.653582358258248</v>
      </c>
      <c r="AF162" s="344"/>
      <c r="AG162" s="359">
        <f t="shared" ca="1" si="85"/>
        <v>59.302893672534182</v>
      </c>
      <c r="AH162" s="357">
        <f t="shared" ca="1" si="86"/>
        <v>68.892585106124244</v>
      </c>
    </row>
    <row r="163" spans="1:34" x14ac:dyDescent="0.2">
      <c r="A163" s="402">
        <f t="shared" ca="1" si="64"/>
        <v>0.01</v>
      </c>
      <c r="B163" s="357">
        <f t="shared" ca="1" si="65"/>
        <v>1.5900000000000012</v>
      </c>
      <c r="C163" s="342"/>
      <c r="D163" s="359">
        <f t="shared" ca="1" si="66"/>
        <v>14.490917775977895</v>
      </c>
      <c r="E163" s="360">
        <f t="shared" ca="1" si="67"/>
        <v>57.348479315652654</v>
      </c>
      <c r="F163" s="357">
        <f t="shared" ca="1" si="68"/>
        <v>59.150949086282566</v>
      </c>
      <c r="G163" s="359">
        <f t="shared" ca="1" si="69"/>
        <v>23.914891669318777</v>
      </c>
      <c r="H163" s="360">
        <f t="shared" ca="1" si="70"/>
        <v>110.73599500621748</v>
      </c>
      <c r="I163" s="357">
        <f t="shared" ca="1" si="71"/>
        <v>113.28893429445029</v>
      </c>
      <c r="J163" s="359">
        <f t="shared" ca="1" si="72"/>
        <v>18.600831021939875</v>
      </c>
      <c r="K163" s="360">
        <f t="shared" ca="1" si="73"/>
        <v>91.758074884354642</v>
      </c>
      <c r="L163" s="357">
        <f t="shared" ca="1" si="58"/>
        <v>93.624437094113389</v>
      </c>
      <c r="M163" s="359">
        <f t="shared" ca="1" si="74"/>
        <v>1.3580997764332696</v>
      </c>
      <c r="N163" s="357">
        <f t="shared" ca="1" si="75"/>
        <v>77.81338534728701</v>
      </c>
      <c r="O163" s="343"/>
      <c r="P163" s="363">
        <f t="shared" ca="1" si="76"/>
        <v>5</v>
      </c>
      <c r="Q163" s="357">
        <f t="shared" ca="1" si="77"/>
        <v>646.5899999999998</v>
      </c>
      <c r="R163" s="359">
        <f t="shared" ca="1" si="78"/>
        <v>0.32449339525935555</v>
      </c>
      <c r="S163" s="360">
        <f t="shared" ca="1" si="79"/>
        <v>8.8151503290953528</v>
      </c>
      <c r="T163" s="357">
        <f t="shared" ca="1" si="59"/>
        <v>86.476624728425421</v>
      </c>
      <c r="U163" s="364">
        <f t="shared" ca="1" si="60"/>
        <v>0</v>
      </c>
      <c r="V163" s="359">
        <f t="shared" ca="1" si="61"/>
        <v>1.2138109700192099</v>
      </c>
      <c r="W163" s="357">
        <f t="shared" ca="1" si="62"/>
        <v>41.37956420511631</v>
      </c>
      <c r="X163" s="343"/>
      <c r="Y163" s="367" t="str">
        <f t="shared" ca="1" si="80"/>
        <v/>
      </c>
      <c r="Z163" s="368" t="str">
        <f t="shared" ca="1" si="81"/>
        <v/>
      </c>
      <c r="AA163" s="369" t="str">
        <f t="shared" ca="1" si="82"/>
        <v/>
      </c>
      <c r="AB163" s="344"/>
      <c r="AC163" s="363" t="e">
        <f t="shared" ca="1" si="83"/>
        <v>#N/A</v>
      </c>
      <c r="AD163" s="376" t="e">
        <f t="shared" ca="1" si="84"/>
        <v>#N/A</v>
      </c>
      <c r="AE163" s="377">
        <f t="shared" ca="1" si="63"/>
        <v>91.758074884354642</v>
      </c>
      <c r="AF163" s="344"/>
      <c r="AG163" s="359">
        <f t="shared" ca="1" si="85"/>
        <v>59.114749285733275</v>
      </c>
      <c r="AH163" s="357">
        <f t="shared" ca="1" si="86"/>
        <v>68.704061320864412</v>
      </c>
    </row>
    <row r="164" spans="1:34" x14ac:dyDescent="0.2">
      <c r="A164" s="402">
        <f t="shared" ca="1" si="64"/>
        <v>0.01</v>
      </c>
      <c r="B164" s="357">
        <f t="shared" ca="1" si="65"/>
        <v>1.6000000000000012</v>
      </c>
      <c r="C164" s="342"/>
      <c r="D164" s="359">
        <f t="shared" ca="1" si="66"/>
        <v>14.463326716542824</v>
      </c>
      <c r="E164" s="360">
        <f t="shared" ca="1" si="67"/>
        <v>57.161278699586902</v>
      </c>
      <c r="F164" s="357">
        <f t="shared" ca="1" si="68"/>
        <v>58.962696701230591</v>
      </c>
      <c r="G164" s="359">
        <f t="shared" ca="1" si="69"/>
        <v>24.059524936484205</v>
      </c>
      <c r="H164" s="360">
        <f t="shared" ca="1" si="70"/>
        <v>111.30760779321335</v>
      </c>
      <c r="I164" s="357">
        <f t="shared" ca="1" si="71"/>
        <v>113.8781993746701</v>
      </c>
      <c r="J164" s="359">
        <f t="shared" ca="1" si="72"/>
        <v>18.840703104968892</v>
      </c>
      <c r="K164" s="360">
        <f t="shared" ca="1" si="73"/>
        <v>92.868292898351797</v>
      </c>
      <c r="L164" s="357">
        <f t="shared" ca="1" si="58"/>
        <v>94.76018108543083</v>
      </c>
      <c r="M164" s="359">
        <f t="shared" ca="1" si="74"/>
        <v>1.3579179280916813</v>
      </c>
      <c r="N164" s="357">
        <f t="shared" ca="1" si="75"/>
        <v>77.802966204802544</v>
      </c>
      <c r="O164" s="343"/>
      <c r="P164" s="363">
        <f t="shared" ca="1" si="76"/>
        <v>5</v>
      </c>
      <c r="Q164" s="357">
        <f t="shared" ca="1" si="77"/>
        <v>645.12999999999977</v>
      </c>
      <c r="R164" s="359">
        <f t="shared" ca="1" si="78"/>
        <v>0.32376068928326768</v>
      </c>
      <c r="S164" s="360">
        <f t="shared" ca="1" si="79"/>
        <v>8.8119127222025195</v>
      </c>
      <c r="T164" s="357">
        <f t="shared" ca="1" si="59"/>
        <v>86.444863804806715</v>
      </c>
      <c r="U164" s="364">
        <f t="shared" ca="1" si="60"/>
        <v>0</v>
      </c>
      <c r="V164" s="359">
        <f t="shared" ca="1" si="61"/>
        <v>1.213676215148368</v>
      </c>
      <c r="W164" s="357">
        <f t="shared" ca="1" si="62"/>
        <v>41.806508201222528</v>
      </c>
      <c r="X164" s="343"/>
      <c r="Y164" s="367" t="str">
        <f t="shared" ca="1" si="80"/>
        <v/>
      </c>
      <c r="Z164" s="368" t="str">
        <f t="shared" ca="1" si="81"/>
        <v/>
      </c>
      <c r="AA164" s="369" t="str">
        <f t="shared" ca="1" si="82"/>
        <v/>
      </c>
      <c r="AB164" s="344"/>
      <c r="AC164" s="363" t="e">
        <f t="shared" ca="1" si="83"/>
        <v>#N/A</v>
      </c>
      <c r="AD164" s="376" t="e">
        <f t="shared" ca="1" si="84"/>
        <v>#N/A</v>
      </c>
      <c r="AE164" s="377">
        <f t="shared" ca="1" si="63"/>
        <v>92.868292898351797</v>
      </c>
      <c r="AF164" s="344"/>
      <c r="AG164" s="359">
        <f t="shared" ca="1" si="85"/>
        <v>58.926319731101678</v>
      </c>
      <c r="AH164" s="357">
        <f t="shared" ca="1" si="86"/>
        <v>68.515253705778576</v>
      </c>
    </row>
    <row r="165" spans="1:34" x14ac:dyDescent="0.2">
      <c r="A165" s="402">
        <f t="shared" ca="1" si="64"/>
        <v>0.01</v>
      </c>
      <c r="B165" s="357">
        <f t="shared" ca="1" si="65"/>
        <v>1.6100000000000012</v>
      </c>
      <c r="C165" s="342"/>
      <c r="D165" s="359">
        <f t="shared" ca="1" si="66"/>
        <v>14.435555572527303</v>
      </c>
      <c r="E165" s="360">
        <f t="shared" ca="1" si="67"/>
        <v>56.973827286109426</v>
      </c>
      <c r="F165" s="357">
        <f t="shared" ca="1" si="68"/>
        <v>58.774163203868341</v>
      </c>
      <c r="G165" s="359">
        <f t="shared" ca="1" si="69"/>
        <v>24.203880492209478</v>
      </c>
      <c r="H165" s="360">
        <f t="shared" ca="1" si="70"/>
        <v>111.87734606607444</v>
      </c>
      <c r="I165" s="357">
        <f t="shared" ca="1" si="71"/>
        <v>114.46557733078247</v>
      </c>
      <c r="J165" s="359">
        <f t="shared" ca="1" si="72"/>
        <v>19.082020132112362</v>
      </c>
      <c r="K165" s="360">
        <f t="shared" ca="1" si="73"/>
        <v>93.984217667648238</v>
      </c>
      <c r="L165" s="357">
        <f t="shared" ca="1" si="58"/>
        <v>95.901807401749338</v>
      </c>
      <c r="M165" s="359">
        <f t="shared" ca="1" si="74"/>
        <v>1.3577368605676563</v>
      </c>
      <c r="N165" s="357">
        <f t="shared" ca="1" si="75"/>
        <v>77.79259179986903</v>
      </c>
      <c r="O165" s="343"/>
      <c r="P165" s="363">
        <f t="shared" ca="1" si="76"/>
        <v>5</v>
      </c>
      <c r="Q165" s="357">
        <f t="shared" ca="1" si="77"/>
        <v>643.66999999999985</v>
      </c>
      <c r="R165" s="359">
        <f t="shared" ca="1" si="78"/>
        <v>0.32302798330717986</v>
      </c>
      <c r="S165" s="360">
        <f t="shared" ca="1" si="79"/>
        <v>8.808682442369447</v>
      </c>
      <c r="T165" s="357">
        <f t="shared" ca="1" si="59"/>
        <v>86.413174759644278</v>
      </c>
      <c r="U165" s="364">
        <f t="shared" ca="1" si="60"/>
        <v>0</v>
      </c>
      <c r="V165" s="359">
        <f t="shared" ca="1" si="61"/>
        <v>1.2135407826147651</v>
      </c>
      <c r="W165" s="357">
        <f t="shared" ca="1" si="62"/>
        <v>42.23417874026606</v>
      </c>
      <c r="X165" s="343"/>
      <c r="Y165" s="367" t="str">
        <f t="shared" ca="1" si="80"/>
        <v/>
      </c>
      <c r="Z165" s="368" t="str">
        <f t="shared" ca="1" si="81"/>
        <v/>
      </c>
      <c r="AA165" s="369" t="str">
        <f t="shared" ca="1" si="82"/>
        <v/>
      </c>
      <c r="AB165" s="344"/>
      <c r="AC165" s="363" t="e">
        <f t="shared" ca="1" si="83"/>
        <v>#N/A</v>
      </c>
      <c r="AD165" s="376" t="e">
        <f t="shared" ca="1" si="84"/>
        <v>#N/A</v>
      </c>
      <c r="AE165" s="377">
        <f t="shared" ca="1" si="63"/>
        <v>93.984217667648238</v>
      </c>
      <c r="AF165" s="344"/>
      <c r="AG165" s="359">
        <f t="shared" ca="1" si="85"/>
        <v>58.737607970973819</v>
      </c>
      <c r="AH165" s="357">
        <f t="shared" ca="1" si="86"/>
        <v>68.326165205347337</v>
      </c>
    </row>
    <row r="166" spans="1:34" x14ac:dyDescent="0.2">
      <c r="A166" s="402">
        <f t="shared" ca="1" si="64"/>
        <v>0.01</v>
      </c>
      <c r="B166" s="357">
        <f t="shared" ca="1" si="65"/>
        <v>1.6200000000000012</v>
      </c>
      <c r="C166" s="342"/>
      <c r="D166" s="359">
        <f t="shared" ca="1" si="66"/>
        <v>14.407605961916133</v>
      </c>
      <c r="E166" s="360">
        <f t="shared" ca="1" si="67"/>
        <v>56.786127786358321</v>
      </c>
      <c r="F166" s="357">
        <f t="shared" ca="1" si="68"/>
        <v>58.585351569504624</v>
      </c>
      <c r="G166" s="359">
        <f t="shared" ca="1" si="69"/>
        <v>24.347956551828641</v>
      </c>
      <c r="H166" s="360">
        <f t="shared" ca="1" si="70"/>
        <v>112.44520734393802</v>
      </c>
      <c r="I166" s="357">
        <f t="shared" ca="1" si="71"/>
        <v>115.05106537042997</v>
      </c>
      <c r="J166" s="359">
        <f t="shared" ca="1" si="72"/>
        <v>19.324779317332553</v>
      </c>
      <c r="K166" s="360">
        <f t="shared" ca="1" si="73"/>
        <v>95.105830434698305</v>
      </c>
      <c r="L166" s="357">
        <f t="shared" ca="1" si="58"/>
        <v>97.049297155297268</v>
      </c>
      <c r="M166" s="359">
        <f t="shared" ca="1" si="74"/>
        <v>1.3575565635836255</v>
      </c>
      <c r="N166" s="357">
        <f t="shared" ca="1" si="75"/>
        <v>77.782261543625125</v>
      </c>
      <c r="O166" s="343"/>
      <c r="P166" s="363">
        <f t="shared" ca="1" si="76"/>
        <v>5</v>
      </c>
      <c r="Q166" s="357">
        <f t="shared" ca="1" si="77"/>
        <v>642.20999999999981</v>
      </c>
      <c r="R166" s="359">
        <f t="shared" ca="1" si="78"/>
        <v>0.32229527733109198</v>
      </c>
      <c r="S166" s="360">
        <f t="shared" ca="1" si="79"/>
        <v>8.8054594895961369</v>
      </c>
      <c r="T166" s="357">
        <f t="shared" ca="1" si="59"/>
        <v>86.381557592938108</v>
      </c>
      <c r="U166" s="364">
        <f t="shared" ca="1" si="60"/>
        <v>0</v>
      </c>
      <c r="V166" s="359">
        <f t="shared" ca="1" si="61"/>
        <v>1.2134046749227809</v>
      </c>
      <c r="W166" s="357">
        <f t="shared" ca="1" si="62"/>
        <v>42.662551396345556</v>
      </c>
      <c r="X166" s="343"/>
      <c r="Y166" s="367" t="str">
        <f t="shared" ca="1" si="80"/>
        <v/>
      </c>
      <c r="Z166" s="368" t="str">
        <f t="shared" ca="1" si="81"/>
        <v/>
      </c>
      <c r="AA166" s="369" t="str">
        <f t="shared" ca="1" si="82"/>
        <v/>
      </c>
      <c r="AB166" s="344"/>
      <c r="AC166" s="363" t="e">
        <f t="shared" ca="1" si="83"/>
        <v>#N/A</v>
      </c>
      <c r="AD166" s="376" t="e">
        <f t="shared" ca="1" si="84"/>
        <v>#N/A</v>
      </c>
      <c r="AE166" s="377">
        <f t="shared" ca="1" si="63"/>
        <v>95.105830434698305</v>
      </c>
      <c r="AF166" s="344"/>
      <c r="AG166" s="359">
        <f t="shared" ca="1" si="85"/>
        <v>58.54861696648716</v>
      </c>
      <c r="AH166" s="357">
        <f t="shared" ca="1" si="86"/>
        <v>68.136798763155937</v>
      </c>
    </row>
    <row r="167" spans="1:34" x14ac:dyDescent="0.2">
      <c r="A167" s="402">
        <f t="shared" ca="1" si="64"/>
        <v>0.01</v>
      </c>
      <c r="B167" s="357">
        <f t="shared" ca="1" si="65"/>
        <v>1.6300000000000012</v>
      </c>
      <c r="C167" s="342"/>
      <c r="D167" s="359">
        <f t="shared" ca="1" si="66"/>
        <v>14.379479485597864</v>
      </c>
      <c r="E167" s="360">
        <f t="shared" ca="1" si="67"/>
        <v>56.598182913178348</v>
      </c>
      <c r="F167" s="357">
        <f t="shared" ca="1" si="68"/>
        <v>58.396264772246546</v>
      </c>
      <c r="G167" s="359">
        <f t="shared" ca="1" si="69"/>
        <v>24.49175134668462</v>
      </c>
      <c r="H167" s="360">
        <f t="shared" ca="1" si="70"/>
        <v>113.01118917306981</v>
      </c>
      <c r="I167" s="357">
        <f t="shared" ca="1" si="71"/>
        <v>115.63466073085179</v>
      </c>
      <c r="J167" s="359">
        <f t="shared" ca="1" si="72"/>
        <v>19.568977856825118</v>
      </c>
      <c r="K167" s="360">
        <f t="shared" ca="1" si="73"/>
        <v>96.233112417283337</v>
      </c>
      <c r="L167" s="357">
        <f t="shared" ca="1" si="58"/>
        <v>98.202631430519233</v>
      </c>
      <c r="M167" s="359">
        <f t="shared" ca="1" si="74"/>
        <v>1.3573770270430319</v>
      </c>
      <c r="N167" s="357">
        <f t="shared" ca="1" si="75"/>
        <v>77.77197485758073</v>
      </c>
      <c r="O167" s="343"/>
      <c r="P167" s="363">
        <f t="shared" ca="1" si="76"/>
        <v>5</v>
      </c>
      <c r="Q167" s="357">
        <f t="shared" ca="1" si="77"/>
        <v>640.74999999999977</v>
      </c>
      <c r="R167" s="359">
        <f t="shared" ca="1" si="78"/>
        <v>0.32156257135500405</v>
      </c>
      <c r="S167" s="360">
        <f t="shared" ca="1" si="79"/>
        <v>8.8022438638825875</v>
      </c>
      <c r="T167" s="357">
        <f t="shared" ca="1" si="59"/>
        <v>86.350012304688192</v>
      </c>
      <c r="U167" s="364">
        <f t="shared" ca="1" si="60"/>
        <v>0</v>
      </c>
      <c r="V167" s="359">
        <f t="shared" ca="1" si="61"/>
        <v>1.2132678945798721</v>
      </c>
      <c r="W167" s="357">
        <f t="shared" ca="1" si="62"/>
        <v>43.09160180392135</v>
      </c>
      <c r="X167" s="343"/>
      <c r="Y167" s="367" t="str">
        <f t="shared" ca="1" si="80"/>
        <v/>
      </c>
      <c r="Z167" s="368" t="str">
        <f t="shared" ca="1" si="81"/>
        <v/>
      </c>
      <c r="AA167" s="369" t="str">
        <f t="shared" ca="1" si="82"/>
        <v/>
      </c>
      <c r="AB167" s="344"/>
      <c r="AC167" s="363" t="e">
        <f t="shared" ca="1" si="83"/>
        <v>#N/A</v>
      </c>
      <c r="AD167" s="376" t="e">
        <f t="shared" ca="1" si="84"/>
        <v>#N/A</v>
      </c>
      <c r="AE167" s="377">
        <f t="shared" ca="1" si="63"/>
        <v>96.233112417283337</v>
      </c>
      <c r="AF167" s="344"/>
      <c r="AG167" s="359">
        <f t="shared" ca="1" si="85"/>
        <v>58.359349677446851</v>
      </c>
      <c r="AH167" s="357">
        <f t="shared" ca="1" si="86"/>
        <v>67.94715732175176</v>
      </c>
    </row>
    <row r="168" spans="1:34" x14ac:dyDescent="0.2">
      <c r="A168" s="402">
        <f t="shared" ca="1" si="64"/>
        <v>0.01</v>
      </c>
      <c r="B168" s="357">
        <f t="shared" ca="1" si="65"/>
        <v>1.6400000000000012</v>
      </c>
      <c r="C168" s="342"/>
      <c r="D168" s="359">
        <f t="shared" ca="1" si="66"/>
        <v>14.351177727757648</v>
      </c>
      <c r="E168" s="360">
        <f t="shared" ca="1" si="67"/>
        <v>56.40999538091468</v>
      </c>
      <c r="F168" s="357">
        <f t="shared" ca="1" si="68"/>
        <v>58.20690578486802</v>
      </c>
      <c r="G168" s="359">
        <f t="shared" ca="1" si="69"/>
        <v>24.635263123962197</v>
      </c>
      <c r="H168" s="360">
        <f t="shared" ca="1" si="70"/>
        <v>113.57528912687896</v>
      </c>
      <c r="I168" s="357">
        <f t="shared" ca="1" si="71"/>
        <v>116.21636067886914</v>
      </c>
      <c r="J168" s="359">
        <f t="shared" ca="1" si="72"/>
        <v>19.814612929178352</v>
      </c>
      <c r="K168" s="360">
        <f t="shared" ca="1" si="73"/>
        <v>97.366044808783087</v>
      </c>
      <c r="L168" s="357">
        <f t="shared" ca="1" si="58"/>
        <v>99.361791284372075</v>
      </c>
      <c r="M168" s="359">
        <f t="shared" ca="1" si="74"/>
        <v>1.3571982410259718</v>
      </c>
      <c r="N168" s="357">
        <f t="shared" ca="1" si="75"/>
        <v>77.761731173367238</v>
      </c>
      <c r="O168" s="343"/>
      <c r="P168" s="363">
        <f t="shared" ca="1" si="76"/>
        <v>5</v>
      </c>
      <c r="Q168" s="357">
        <f t="shared" ca="1" si="77"/>
        <v>639.28999999999985</v>
      </c>
      <c r="R168" s="359">
        <f t="shared" ca="1" si="78"/>
        <v>0.32082986537891622</v>
      </c>
      <c r="S168" s="360">
        <f t="shared" ca="1" si="79"/>
        <v>8.7990355652287988</v>
      </c>
      <c r="T168" s="357">
        <f t="shared" ca="1" si="59"/>
        <v>86.318538894894516</v>
      </c>
      <c r="U168" s="364">
        <f t="shared" ca="1" si="60"/>
        <v>0</v>
      </c>
      <c r="V168" s="359">
        <f t="shared" ca="1" si="61"/>
        <v>1.213130444096522</v>
      </c>
      <c r="W168" s="357">
        <f t="shared" ca="1" si="62"/>
        <v>43.521305658822904</v>
      </c>
      <c r="X168" s="343"/>
      <c r="Y168" s="367" t="str">
        <f t="shared" ca="1" si="80"/>
        <v/>
      </c>
      <c r="Z168" s="368" t="str">
        <f t="shared" ca="1" si="81"/>
        <v/>
      </c>
      <c r="AA168" s="369" t="str">
        <f t="shared" ca="1" si="82"/>
        <v/>
      </c>
      <c r="AB168" s="344"/>
      <c r="AC168" s="363" t="e">
        <f t="shared" ca="1" si="83"/>
        <v>#N/A</v>
      </c>
      <c r="AD168" s="376" t="e">
        <f t="shared" ca="1" si="84"/>
        <v>#N/A</v>
      </c>
      <c r="AE168" s="377">
        <f t="shared" ca="1" si="63"/>
        <v>97.366044808783087</v>
      </c>
      <c r="AF168" s="344"/>
      <c r="AG168" s="359">
        <f t="shared" ca="1" si="85"/>
        <v>58.169809062190794</v>
      </c>
      <c r="AH168" s="357">
        <f t="shared" ca="1" si="86"/>
        <v>67.75724382250246</v>
      </c>
    </row>
    <row r="169" spans="1:34" x14ac:dyDescent="0.2">
      <c r="A169" s="402">
        <f t="shared" ca="1" si="64"/>
        <v>0.01</v>
      </c>
      <c r="B169" s="357">
        <f t="shared" ca="1" si="65"/>
        <v>1.6500000000000012</v>
      </c>
      <c r="C169" s="342"/>
      <c r="D169" s="359">
        <f t="shared" ca="1" si="66"/>
        <v>14.32270225625718</v>
      </c>
      <c r="E169" s="360">
        <f t="shared" ca="1" si="67"/>
        <v>56.221567905209369</v>
      </c>
      <c r="F169" s="357">
        <f t="shared" ca="1" si="68"/>
        <v>58.017277578678772</v>
      </c>
      <c r="G169" s="359">
        <f t="shared" ca="1" si="69"/>
        <v>24.778490146524767</v>
      </c>
      <c r="H169" s="360">
        <f t="shared" ca="1" si="70"/>
        <v>114.13750480593104</v>
      </c>
      <c r="I169" s="357">
        <f t="shared" ca="1" si="71"/>
        <v>116.79616251086915</v>
      </c>
      <c r="J169" s="359">
        <f t="shared" ca="1" si="72"/>
        <v>20.061681695530787</v>
      </c>
      <c r="K169" s="360">
        <f t="shared" ca="1" si="73"/>
        <v>98.504608778447135</v>
      </c>
      <c r="L169" s="357">
        <f t="shared" ca="1" si="58"/>
        <v>100.52675774662048</v>
      </c>
      <c r="M169" s="359">
        <f t="shared" ca="1" si="74"/>
        <v>1.3570201957849666</v>
      </c>
      <c r="N169" s="357">
        <f t="shared" ca="1" si="75"/>
        <v>77.751529932495245</v>
      </c>
      <c r="O169" s="343"/>
      <c r="P169" s="363">
        <f t="shared" ca="1" si="76"/>
        <v>5</v>
      </c>
      <c r="Q169" s="357">
        <f t="shared" ca="1" si="77"/>
        <v>637.82999999999981</v>
      </c>
      <c r="R169" s="359">
        <f t="shared" ca="1" si="78"/>
        <v>0.32009715940282835</v>
      </c>
      <c r="S169" s="360">
        <f t="shared" ca="1" si="79"/>
        <v>8.7958345936347708</v>
      </c>
      <c r="T169" s="357">
        <f t="shared" ca="1" si="59"/>
        <v>86.287137363557108</v>
      </c>
      <c r="U169" s="364">
        <f t="shared" ca="1" si="60"/>
        <v>0</v>
      </c>
      <c r="V169" s="359">
        <f t="shared" ca="1" si="61"/>
        <v>1.2129923259861939</v>
      </c>
      <c r="W169" s="357">
        <f t="shared" ca="1" si="62"/>
        <v>43.95163871924801</v>
      </c>
      <c r="X169" s="343"/>
      <c r="Y169" s="367" t="str">
        <f t="shared" ca="1" si="80"/>
        <v/>
      </c>
      <c r="Z169" s="368" t="str">
        <f t="shared" ca="1" si="81"/>
        <v/>
      </c>
      <c r="AA169" s="369" t="str">
        <f t="shared" ca="1" si="82"/>
        <v/>
      </c>
      <c r="AB169" s="344"/>
      <c r="AC169" s="363" t="e">
        <f t="shared" ca="1" si="83"/>
        <v>#N/A</v>
      </c>
      <c r="AD169" s="376" t="e">
        <f t="shared" ca="1" si="84"/>
        <v>#N/A</v>
      </c>
      <c r="AE169" s="377">
        <f t="shared" ca="1" si="63"/>
        <v>98.504608778447135</v>
      </c>
      <c r="AF169" s="344"/>
      <c r="AG169" s="359">
        <f t="shared" ca="1" si="85"/>
        <v>57.979998077455221</v>
      </c>
      <c r="AH169" s="357">
        <f t="shared" ca="1" si="86"/>
        <v>67.567061205454763</v>
      </c>
    </row>
    <row r="170" spans="1:34" x14ac:dyDescent="0.2">
      <c r="A170" s="402">
        <f t="shared" ca="1" si="64"/>
        <v>0.01</v>
      </c>
      <c r="B170" s="357">
        <f t="shared" ca="1" si="65"/>
        <v>1.6600000000000013</v>
      </c>
      <c r="C170" s="342"/>
      <c r="D170" s="359">
        <f t="shared" ca="1" si="66"/>
        <v>14.294054623002419</v>
      </c>
      <c r="E170" s="360">
        <f t="shared" ca="1" si="67"/>
        <v>56.032903202800597</v>
      </c>
      <c r="F170" s="357">
        <f t="shared" ca="1" si="68"/>
        <v>57.827383123394043</v>
      </c>
      <c r="G170" s="359">
        <f t="shared" ca="1" si="69"/>
        <v>24.921430692754793</v>
      </c>
      <c r="H170" s="360">
        <f t="shared" ca="1" si="70"/>
        <v>114.69783383795905</v>
      </c>
      <c r="I170" s="357">
        <f t="shared" ca="1" si="71"/>
        <v>117.3740635527877</v>
      </c>
      <c r="J170" s="359">
        <f t="shared" ca="1" si="72"/>
        <v>20.310181299727184</v>
      </c>
      <c r="K170" s="360">
        <f t="shared" ca="1" si="73"/>
        <v>99.648785471666585</v>
      </c>
      <c r="L170" s="357">
        <f t="shared" ca="1" si="58"/>
        <v>101.69751182013263</v>
      </c>
      <c r="M170" s="359">
        <f t="shared" ca="1" si="74"/>
        <v>1.3568428817408591</v>
      </c>
      <c r="N170" s="357">
        <f t="shared" ca="1" si="75"/>
        <v>77.741370586119501</v>
      </c>
      <c r="O170" s="343"/>
      <c r="P170" s="363">
        <f t="shared" ca="1" si="76"/>
        <v>5</v>
      </c>
      <c r="Q170" s="357">
        <f t="shared" ca="1" si="77"/>
        <v>636.36999999999978</v>
      </c>
      <c r="R170" s="359">
        <f t="shared" ca="1" si="78"/>
        <v>0.31936445342674041</v>
      </c>
      <c r="S170" s="360">
        <f t="shared" ca="1" si="79"/>
        <v>8.7926409491005035</v>
      </c>
      <c r="T170" s="357">
        <f t="shared" ca="1" si="59"/>
        <v>86.255807710675938</v>
      </c>
      <c r="U170" s="364">
        <f t="shared" ca="1" si="60"/>
        <v>0</v>
      </c>
      <c r="V170" s="359">
        <f t="shared" ca="1" si="61"/>
        <v>1.2128535427652822</v>
      </c>
      <c r="W170" s="357">
        <f t="shared" ca="1" si="62"/>
        <v>44.382576806753676</v>
      </c>
      <c r="X170" s="343"/>
      <c r="Y170" s="367" t="str">
        <f t="shared" ca="1" si="80"/>
        <v/>
      </c>
      <c r="Z170" s="368" t="str">
        <f t="shared" ca="1" si="81"/>
        <v/>
      </c>
      <c r="AA170" s="369" t="str">
        <f t="shared" ca="1" si="82"/>
        <v/>
      </c>
      <c r="AB170" s="344"/>
      <c r="AC170" s="363" t="e">
        <f t="shared" ca="1" si="83"/>
        <v>#N/A</v>
      </c>
      <c r="AD170" s="376" t="e">
        <f t="shared" ca="1" si="84"/>
        <v>#N/A</v>
      </c>
      <c r="AE170" s="377">
        <f t="shared" ca="1" si="63"/>
        <v>99.648785471666585</v>
      </c>
      <c r="AF170" s="344"/>
      <c r="AG170" s="359">
        <f t="shared" ca="1" si="85"/>
        <v>57.789919678240693</v>
      </c>
      <c r="AH170" s="357">
        <f t="shared" ca="1" si="86"/>
        <v>67.376612409193939</v>
      </c>
    </row>
    <row r="171" spans="1:34" x14ac:dyDescent="0.2">
      <c r="A171" s="402">
        <f t="shared" ca="1" si="64"/>
        <v>0.01</v>
      </c>
      <c r="B171" s="357">
        <f t="shared" ca="1" si="65"/>
        <v>1.6700000000000013</v>
      </c>
      <c r="C171" s="342"/>
      <c r="D171" s="359">
        <f t="shared" ca="1" si="66"/>
        <v>14.265236364299483</v>
      </c>
      <c r="E171" s="360">
        <f t="shared" ca="1" si="67"/>
        <v>55.844003991324215</v>
      </c>
      <c r="F171" s="357">
        <f t="shared" ca="1" si="68"/>
        <v>57.637225387004598</v>
      </c>
      <c r="G171" s="359">
        <f t="shared" ca="1" si="69"/>
        <v>25.064083056397788</v>
      </c>
      <c r="H171" s="360">
        <f t="shared" ca="1" si="70"/>
        <v>115.25627387787229</v>
      </c>
      <c r="I171" s="357">
        <f t="shared" ca="1" si="71"/>
        <v>117.9500611600906</v>
      </c>
      <c r="J171" s="359">
        <f t="shared" ca="1" si="72"/>
        <v>20.560108868472945</v>
      </c>
      <c r="K171" s="360">
        <f t="shared" ca="1" si="73"/>
        <v>100.79855601024575</v>
      </c>
      <c r="L171" s="357">
        <f t="shared" ca="1" si="58"/>
        <v>102.8740344811756</v>
      </c>
      <c r="M171" s="359">
        <f t="shared" ca="1" si="74"/>
        <v>1.3566662894788328</v>
      </c>
      <c r="N171" s="357">
        <f t="shared" ca="1" si="75"/>
        <v>77.731252594810726</v>
      </c>
      <c r="O171" s="343"/>
      <c r="P171" s="363">
        <f t="shared" ca="1" si="76"/>
        <v>5</v>
      </c>
      <c r="Q171" s="357">
        <f t="shared" ca="1" si="77"/>
        <v>634.90999999999985</v>
      </c>
      <c r="R171" s="359">
        <f t="shared" ca="1" si="78"/>
        <v>0.31863174745065259</v>
      </c>
      <c r="S171" s="360">
        <f t="shared" ca="1" si="79"/>
        <v>8.7894546316259969</v>
      </c>
      <c r="T171" s="357">
        <f t="shared" ca="1" si="59"/>
        <v>86.224549936251037</v>
      </c>
      <c r="U171" s="364">
        <f t="shared" ca="1" si="60"/>
        <v>0</v>
      </c>
      <c r="V171" s="359">
        <f t="shared" ca="1" si="61"/>
        <v>1.2127140969530656</v>
      </c>
      <c r="W171" s="357">
        <f t="shared" ca="1" si="62"/>
        <v>44.814095807238445</v>
      </c>
      <c r="X171" s="343"/>
      <c r="Y171" s="367" t="str">
        <f t="shared" ca="1" si="80"/>
        <v/>
      </c>
      <c r="Z171" s="368" t="str">
        <f t="shared" ca="1" si="81"/>
        <v/>
      </c>
      <c r="AA171" s="369" t="str">
        <f t="shared" ca="1" si="82"/>
        <v/>
      </c>
      <c r="AB171" s="344"/>
      <c r="AC171" s="363" t="e">
        <f t="shared" ca="1" si="83"/>
        <v>#N/A</v>
      </c>
      <c r="AD171" s="376" t="e">
        <f t="shared" ca="1" si="84"/>
        <v>#N/A</v>
      </c>
      <c r="AE171" s="377">
        <f t="shared" ca="1" si="63"/>
        <v>100.79855601024575</v>
      </c>
      <c r="AF171" s="344"/>
      <c r="AG171" s="359">
        <f t="shared" ca="1" si="85"/>
        <v>57.599576817678582</v>
      </c>
      <c r="AH171" s="357">
        <f t="shared" ca="1" si="86"/>
        <v>67.185900370703891</v>
      </c>
    </row>
    <row r="172" spans="1:34" x14ac:dyDescent="0.2">
      <c r="A172" s="402">
        <f t="shared" ca="1" si="64"/>
        <v>0.01</v>
      </c>
      <c r="B172" s="357">
        <f t="shared" ca="1" si="65"/>
        <v>1.6800000000000013</v>
      </c>
      <c r="C172" s="342"/>
      <c r="D172" s="359">
        <f t="shared" ca="1" si="66"/>
        <v>14.236249001199036</v>
      </c>
      <c r="E172" s="360">
        <f t="shared" ca="1" si="67"/>
        <v>55.654872989117848</v>
      </c>
      <c r="F172" s="357">
        <f t="shared" ca="1" si="68"/>
        <v>57.4468073356473</v>
      </c>
      <c r="G172" s="359">
        <f t="shared" ca="1" si="69"/>
        <v>25.206445546409778</v>
      </c>
      <c r="H172" s="360">
        <f t="shared" ca="1" si="70"/>
        <v>115.81282260776347</v>
      </c>
      <c r="I172" s="357">
        <f t="shared" ca="1" si="71"/>
        <v>118.52415271775372</v>
      </c>
      <c r="J172" s="359">
        <f t="shared" ca="1" si="72"/>
        <v>20.811461511486982</v>
      </c>
      <c r="K172" s="360">
        <f t="shared" ca="1" si="73"/>
        <v>101.95390149267392</v>
      </c>
      <c r="L172" s="357">
        <f t="shared" ca="1" si="58"/>
        <v>104.05630667971049</v>
      </c>
      <c r="M172" s="359">
        <f t="shared" ca="1" si="74"/>
        <v>1.3564904097445478</v>
      </c>
      <c r="N172" s="357">
        <f t="shared" ca="1" si="75"/>
        <v>77.721175428334305</v>
      </c>
      <c r="O172" s="343"/>
      <c r="P172" s="363">
        <f t="shared" ca="1" si="76"/>
        <v>5</v>
      </c>
      <c r="Q172" s="357">
        <f t="shared" ca="1" si="77"/>
        <v>633.44999999999982</v>
      </c>
      <c r="R172" s="359">
        <f t="shared" ca="1" si="78"/>
        <v>0.31789904147456471</v>
      </c>
      <c r="S172" s="360">
        <f t="shared" ca="1" si="79"/>
        <v>8.786275641211251</v>
      </c>
      <c r="T172" s="357">
        <f t="shared" ca="1" si="59"/>
        <v>86.193364040282376</v>
      </c>
      <c r="U172" s="364">
        <f t="shared" ca="1" si="60"/>
        <v>0</v>
      </c>
      <c r="V172" s="359">
        <f t="shared" ca="1" si="61"/>
        <v>1.2125739910716589</v>
      </c>
      <c r="W172" s="357">
        <f t="shared" ca="1" si="62"/>
        <v>45.246171671916485</v>
      </c>
      <c r="X172" s="343"/>
      <c r="Y172" s="367" t="str">
        <f t="shared" ca="1" si="80"/>
        <v/>
      </c>
      <c r="Z172" s="368" t="str">
        <f t="shared" ca="1" si="81"/>
        <v/>
      </c>
      <c r="AA172" s="369" t="str">
        <f t="shared" ca="1" si="82"/>
        <v/>
      </c>
      <c r="AB172" s="344"/>
      <c r="AC172" s="363" t="e">
        <f t="shared" ca="1" si="83"/>
        <v>#N/A</v>
      </c>
      <c r="AD172" s="376" t="e">
        <f t="shared" ca="1" si="84"/>
        <v>#N/A</v>
      </c>
      <c r="AE172" s="377">
        <f t="shared" ca="1" si="63"/>
        <v>101.95390149267392</v>
      </c>
      <c r="AF172" s="344"/>
      <c r="AG172" s="359">
        <f t="shared" ca="1" si="85"/>
        <v>57.408972446898019</v>
      </c>
      <c r="AH172" s="357">
        <f t="shared" ca="1" si="86"/>
        <v>66.994928025227949</v>
      </c>
    </row>
    <row r="173" spans="1:34" x14ac:dyDescent="0.2">
      <c r="A173" s="402">
        <f t="shared" ca="1" si="64"/>
        <v>0.01</v>
      </c>
      <c r="B173" s="357">
        <f t="shared" ca="1" si="65"/>
        <v>1.6900000000000013</v>
      </c>
      <c r="C173" s="342"/>
      <c r="D173" s="359">
        <f t="shared" ca="1" si="66"/>
        <v>14.207094039829673</v>
      </c>
      <c r="E173" s="360">
        <f t="shared" ca="1" si="67"/>
        <v>55.465512915027475</v>
      </c>
      <c r="F173" s="357">
        <f t="shared" ca="1" si="68"/>
        <v>57.25613193347629</v>
      </c>
      <c r="G173" s="359">
        <f t="shared" ca="1" si="69"/>
        <v>25.348516486808077</v>
      </c>
      <c r="H173" s="360">
        <f t="shared" ca="1" si="70"/>
        <v>116.36747773691374</v>
      </c>
      <c r="I173" s="357">
        <f t="shared" ca="1" si="71"/>
        <v>119.09633564024166</v>
      </c>
      <c r="J173" s="359">
        <f t="shared" ca="1" si="72"/>
        <v>21.06423632165307</v>
      </c>
      <c r="K173" s="360">
        <f t="shared" ca="1" si="73"/>
        <v>103.11480299439731</v>
      </c>
      <c r="L173" s="357">
        <f t="shared" ca="1" si="58"/>
        <v>105.24430933968742</v>
      </c>
      <c r="M173" s="359">
        <f t="shared" ca="1" si="74"/>
        <v>1.3563152334403892</v>
      </c>
      <c r="N173" s="357">
        <f t="shared" ca="1" si="75"/>
        <v>77.71113856543532</v>
      </c>
      <c r="O173" s="343"/>
      <c r="P173" s="363">
        <f t="shared" ca="1" si="76"/>
        <v>5</v>
      </c>
      <c r="Q173" s="357">
        <f t="shared" ca="1" si="77"/>
        <v>631.98999999999978</v>
      </c>
      <c r="R173" s="359">
        <f t="shared" ca="1" si="78"/>
        <v>0.31716633549847684</v>
      </c>
      <c r="S173" s="360">
        <f t="shared" ca="1" si="79"/>
        <v>8.7831039778562658</v>
      </c>
      <c r="T173" s="357">
        <f t="shared" ca="1" si="59"/>
        <v>86.162250022769967</v>
      </c>
      <c r="U173" s="364">
        <f t="shared" ca="1" si="60"/>
        <v>0</v>
      </c>
      <c r="V173" s="359">
        <f t="shared" ca="1" si="61"/>
        <v>1.2124332276459644</v>
      </c>
      <c r="W173" s="357">
        <f t="shared" ca="1" si="62"/>
        <v>45.678780418282869</v>
      </c>
      <c r="X173" s="343"/>
      <c r="Y173" s="367" t="str">
        <f t="shared" ca="1" si="80"/>
        <v/>
      </c>
      <c r="Z173" s="368" t="str">
        <f t="shared" ca="1" si="81"/>
        <v/>
      </c>
      <c r="AA173" s="369" t="str">
        <f t="shared" ca="1" si="82"/>
        <v/>
      </c>
      <c r="AB173" s="344"/>
      <c r="AC173" s="363" t="e">
        <f t="shared" ca="1" si="83"/>
        <v>#N/A</v>
      </c>
      <c r="AD173" s="376" t="e">
        <f t="shared" ca="1" si="84"/>
        <v>#N/A</v>
      </c>
      <c r="AE173" s="377">
        <f t="shared" ca="1" si="63"/>
        <v>103.11480299439731</v>
      </c>
      <c r="AF173" s="344"/>
      <c r="AG173" s="359">
        <f t="shared" ca="1" si="85"/>
        <v>57.218109514893371</v>
      </c>
      <c r="AH173" s="357">
        <f t="shared" ca="1" si="86"/>
        <v>66.803698306130343</v>
      </c>
    </row>
    <row r="174" spans="1:34" x14ac:dyDescent="0.2">
      <c r="A174" s="402">
        <f t="shared" ca="1" si="64"/>
        <v>0.01</v>
      </c>
      <c r="B174" s="357">
        <f t="shared" ca="1" si="65"/>
        <v>1.7000000000000013</v>
      </c>
      <c r="C174" s="342"/>
      <c r="D174" s="359">
        <f t="shared" ca="1" si="66"/>
        <v>14.177772971720721</v>
      </c>
      <c r="E174" s="360">
        <f t="shared" ca="1" si="67"/>
        <v>55.275926488216243</v>
      </c>
      <c r="F174" s="357">
        <f t="shared" ca="1" si="68"/>
        <v>57.065202142534645</v>
      </c>
      <c r="G174" s="359">
        <f t="shared" ca="1" si="69"/>
        <v>25.490294216525285</v>
      </c>
      <c r="H174" s="360">
        <f t="shared" ca="1" si="70"/>
        <v>116.9202370017959</v>
      </c>
      <c r="I174" s="357">
        <f t="shared" ca="1" si="71"/>
        <v>119.66660737148499</v>
      </c>
      <c r="J174" s="359">
        <f t="shared" ca="1" si="72"/>
        <v>21.318430375169736</v>
      </c>
      <c r="K174" s="360">
        <f t="shared" ca="1" si="73"/>
        <v>104.28124156809086</v>
      </c>
      <c r="L174" s="357">
        <f t="shared" ca="1" si="58"/>
        <v>106.43802335934035</v>
      </c>
      <c r="M174" s="359">
        <f t="shared" ca="1" si="74"/>
        <v>1.3561407516218258</v>
      </c>
      <c r="N174" s="357">
        <f t="shared" ca="1" si="75"/>
        <v>77.701141493629862</v>
      </c>
      <c r="O174" s="343"/>
      <c r="P174" s="363">
        <f t="shared" ca="1" si="76"/>
        <v>5</v>
      </c>
      <c r="Q174" s="357">
        <f t="shared" ca="1" si="77"/>
        <v>630.52999999999975</v>
      </c>
      <c r="R174" s="359">
        <f t="shared" ca="1" si="78"/>
        <v>0.3164336295223889</v>
      </c>
      <c r="S174" s="360">
        <f t="shared" ca="1" si="79"/>
        <v>8.7799396415610413</v>
      </c>
      <c r="T174" s="357">
        <f t="shared" ca="1" si="59"/>
        <v>86.131207883713813</v>
      </c>
      <c r="U174" s="364">
        <f t="shared" ca="1" si="60"/>
        <v>0</v>
      </c>
      <c r="V174" s="359">
        <f t="shared" ca="1" si="61"/>
        <v>1.2122918092036257</v>
      </c>
      <c r="W174" s="357">
        <f t="shared" ca="1" si="62"/>
        <v>46.111898131070532</v>
      </c>
      <c r="X174" s="343"/>
      <c r="Y174" s="367" t="str">
        <f t="shared" ca="1" si="80"/>
        <v/>
      </c>
      <c r="Z174" s="368" t="str">
        <f t="shared" ca="1" si="81"/>
        <v/>
      </c>
      <c r="AA174" s="369" t="str">
        <f t="shared" ca="1" si="82"/>
        <v/>
      </c>
      <c r="AB174" s="344"/>
      <c r="AC174" s="363" t="e">
        <f t="shared" ca="1" si="83"/>
        <v>#N/A</v>
      </c>
      <c r="AD174" s="376" t="e">
        <f t="shared" ca="1" si="84"/>
        <v>#N/A</v>
      </c>
      <c r="AE174" s="377">
        <f t="shared" ca="1" si="63"/>
        <v>104.28124156809086</v>
      </c>
      <c r="AF174" s="344"/>
      <c r="AG174" s="359">
        <f t="shared" ca="1" si="85"/>
        <v>57.026990968392212</v>
      </c>
      <c r="AH174" s="357">
        <f t="shared" ca="1" si="86"/>
        <v>66.61221414475834</v>
      </c>
    </row>
    <row r="175" spans="1:34" x14ac:dyDescent="0.2">
      <c r="A175" s="402">
        <f t="shared" ca="1" si="64"/>
        <v>0.01</v>
      </c>
      <c r="B175" s="357">
        <f t="shared" ca="1" si="65"/>
        <v>1.7100000000000013</v>
      </c>
      <c r="C175" s="342"/>
      <c r="D175" s="359">
        <f t="shared" ca="1" si="66"/>
        <v>14.148287274114697</v>
      </c>
      <c r="E175" s="360">
        <f t="shared" ca="1" si="67"/>
        <v>55.086116427975838</v>
      </c>
      <c r="F175" s="357">
        <f t="shared" ca="1" si="68"/>
        <v>56.874020922626748</v>
      </c>
      <c r="G175" s="359">
        <f t="shared" ca="1" si="69"/>
        <v>25.631777089266432</v>
      </c>
      <c r="H175" s="360">
        <f t="shared" ca="1" si="70"/>
        <v>117.47109816607565</v>
      </c>
      <c r="I175" s="357">
        <f t="shared" ca="1" si="71"/>
        <v>120.23496538485644</v>
      </c>
      <c r="J175" s="359">
        <f t="shared" ca="1" si="72"/>
        <v>21.574040731698695</v>
      </c>
      <c r="K175" s="360">
        <f t="shared" ca="1" si="73"/>
        <v>105.45319824393022</v>
      </c>
      <c r="L175" s="357">
        <f t="shared" ca="1" si="58"/>
        <v>107.63742961148154</v>
      </c>
      <c r="M175" s="359">
        <f t="shared" ca="1" si="74"/>
        <v>1.3559669554938718</v>
      </c>
      <c r="N175" s="357">
        <f t="shared" ca="1" si="75"/>
        <v>77.691183709002388</v>
      </c>
      <c r="O175" s="343"/>
      <c r="P175" s="363">
        <f t="shared" ca="1" si="76"/>
        <v>5</v>
      </c>
      <c r="Q175" s="357">
        <f t="shared" ca="1" si="77"/>
        <v>629.06999999999982</v>
      </c>
      <c r="R175" s="359">
        <f t="shared" ca="1" si="78"/>
        <v>0.31570092354630108</v>
      </c>
      <c r="S175" s="360">
        <f t="shared" ca="1" si="79"/>
        <v>8.7767826323255775</v>
      </c>
      <c r="T175" s="357">
        <f t="shared" ca="1" si="59"/>
        <v>86.100237623113927</v>
      </c>
      <c r="U175" s="364">
        <f t="shared" ca="1" si="60"/>
        <v>0</v>
      </c>
      <c r="V175" s="359">
        <f t="shared" ca="1" si="61"/>
        <v>1.2121497382749775</v>
      </c>
      <c r="W175" s="357">
        <f t="shared" ca="1" si="62"/>
        <v>46.545500963198499</v>
      </c>
      <c r="X175" s="343"/>
      <c r="Y175" s="367" t="str">
        <f t="shared" ca="1" si="80"/>
        <v/>
      </c>
      <c r="Z175" s="368" t="str">
        <f t="shared" ca="1" si="81"/>
        <v/>
      </c>
      <c r="AA175" s="369" t="str">
        <f t="shared" ca="1" si="82"/>
        <v/>
      </c>
      <c r="AB175" s="344"/>
      <c r="AC175" s="363" t="e">
        <f t="shared" ca="1" si="83"/>
        <v>#N/A</v>
      </c>
      <c r="AD175" s="376" t="e">
        <f t="shared" ca="1" si="84"/>
        <v>#N/A</v>
      </c>
      <c r="AE175" s="377">
        <f t="shared" ca="1" si="63"/>
        <v>105.45319824393022</v>
      </c>
      <c r="AF175" s="344"/>
      <c r="AG175" s="359">
        <f t="shared" ca="1" si="85"/>
        <v>56.835619751723897</v>
      </c>
      <c r="AH175" s="357">
        <f t="shared" ca="1" si="86"/>
        <v>66.420478470305156</v>
      </c>
    </row>
    <row r="176" spans="1:34" x14ac:dyDescent="0.2">
      <c r="A176" s="402">
        <f t="shared" ca="1" si="64"/>
        <v>0.01</v>
      </c>
      <c r="B176" s="357">
        <f t="shared" ca="1" si="65"/>
        <v>1.7200000000000013</v>
      </c>
      <c r="C176" s="342"/>
      <c r="D176" s="359">
        <f t="shared" ca="1" si="66"/>
        <v>14.118638410270039</v>
      </c>
      <c r="E176" s="360">
        <f t="shared" ca="1" si="67"/>
        <v>54.896085453539825</v>
      </c>
      <c r="F176" s="357">
        <f t="shared" ca="1" si="68"/>
        <v>56.682591231191076</v>
      </c>
      <c r="G176" s="359">
        <f t="shared" ca="1" si="69"/>
        <v>25.772963473369131</v>
      </c>
      <c r="H176" s="360">
        <f t="shared" ca="1" si="70"/>
        <v>118.02005902061104</v>
      </c>
      <c r="I176" s="357">
        <f t="shared" ca="1" si="71"/>
        <v>120.80140718314557</v>
      </c>
      <c r="J176" s="359">
        <f t="shared" ca="1" si="72"/>
        <v>21.831064434511873</v>
      </c>
      <c r="K176" s="360">
        <f t="shared" ca="1" si="73"/>
        <v>106.63065402986365</v>
      </c>
      <c r="L176" s="357">
        <f t="shared" ca="1" si="58"/>
        <v>108.84250894379588</v>
      </c>
      <c r="M176" s="359">
        <f t="shared" ca="1" si="74"/>
        <v>1.3557938364076532</v>
      </c>
      <c r="N176" s="357">
        <f t="shared" ca="1" si="75"/>
        <v>77.681264716008897</v>
      </c>
      <c r="O176" s="343"/>
      <c r="P176" s="363">
        <f t="shared" ca="1" si="76"/>
        <v>5</v>
      </c>
      <c r="Q176" s="357">
        <f t="shared" ca="1" si="77"/>
        <v>627.60999999999979</v>
      </c>
      <c r="R176" s="359">
        <f t="shared" ca="1" si="78"/>
        <v>0.3149682175702132</v>
      </c>
      <c r="S176" s="360">
        <f t="shared" ca="1" si="79"/>
        <v>8.7736329501498762</v>
      </c>
      <c r="T176" s="357">
        <f t="shared" ca="1" si="59"/>
        <v>86.069339240970294</v>
      </c>
      <c r="U176" s="364">
        <f t="shared" ca="1" si="60"/>
        <v>0</v>
      </c>
      <c r="V176" s="359">
        <f t="shared" ca="1" si="61"/>
        <v>1.2120070173930009</v>
      </c>
      <c r="W176" s="357">
        <f t="shared" ca="1" si="62"/>
        <v>46.979565136711543</v>
      </c>
      <c r="X176" s="343"/>
      <c r="Y176" s="367" t="str">
        <f t="shared" ca="1" si="80"/>
        <v/>
      </c>
      <c r="Z176" s="368" t="str">
        <f t="shared" ca="1" si="81"/>
        <v/>
      </c>
      <c r="AA176" s="369" t="str">
        <f t="shared" ca="1" si="82"/>
        <v/>
      </c>
      <c r="AB176" s="344"/>
      <c r="AC176" s="363" t="e">
        <f t="shared" ca="1" si="83"/>
        <v>#N/A</v>
      </c>
      <c r="AD176" s="376" t="e">
        <f t="shared" ca="1" si="84"/>
        <v>#N/A</v>
      </c>
      <c r="AE176" s="377">
        <f t="shared" ca="1" si="63"/>
        <v>106.63065402986365</v>
      </c>
      <c r="AF176" s="344"/>
      <c r="AG176" s="359">
        <f t="shared" ca="1" si="85"/>
        <v>56.643998806688579</v>
      </c>
      <c r="AH176" s="357">
        <f t="shared" ca="1" si="86"/>
        <v>66.228494209673457</v>
      </c>
    </row>
    <row r="177" spans="1:34" x14ac:dyDescent="0.2">
      <c r="A177" s="402">
        <f t="shared" ca="1" si="64"/>
        <v>0.01</v>
      </c>
      <c r="B177" s="357">
        <f t="shared" ca="1" si="65"/>
        <v>1.7300000000000013</v>
      </c>
      <c r="C177" s="342"/>
      <c r="D177" s="359">
        <f t="shared" ca="1" si="66"/>
        <v>14.088827829754086</v>
      </c>
      <c r="E177" s="360">
        <f t="shared" ca="1" si="67"/>
        <v>54.705836283899487</v>
      </c>
      <c r="F177" s="357">
        <f t="shared" ca="1" si="68"/>
        <v>56.490916023173732</v>
      </c>
      <c r="G177" s="359">
        <f t="shared" ca="1" si="69"/>
        <v>25.913851751666673</v>
      </c>
      <c r="H177" s="360">
        <f t="shared" ca="1" si="70"/>
        <v>118.56711738345004</v>
      </c>
      <c r="I177" s="357">
        <f t="shared" ca="1" si="71"/>
        <v>121.36593029853221</v>
      </c>
      <c r="J177" s="359">
        <f t="shared" ca="1" si="72"/>
        <v>22.089498510637053</v>
      </c>
      <c r="K177" s="360">
        <f t="shared" ca="1" si="73"/>
        <v>107.81358991188395</v>
      </c>
      <c r="L177" s="357">
        <f t="shared" ca="1" si="58"/>
        <v>110.05324217913491</v>
      </c>
      <c r="M177" s="359">
        <f t="shared" ca="1" si="74"/>
        <v>1.3556213858570689</v>
      </c>
      <c r="N177" s="357">
        <f t="shared" ca="1" si="75"/>
        <v>77.671384027285711</v>
      </c>
      <c r="O177" s="343"/>
      <c r="P177" s="363">
        <f t="shared" ca="1" si="76"/>
        <v>5</v>
      </c>
      <c r="Q177" s="357">
        <f t="shared" ca="1" si="77"/>
        <v>626.14999999999975</v>
      </c>
      <c r="R177" s="359">
        <f t="shared" ca="1" si="78"/>
        <v>0.31423551159412527</v>
      </c>
      <c r="S177" s="360">
        <f t="shared" ca="1" si="79"/>
        <v>8.7704905950339356</v>
      </c>
      <c r="T177" s="357">
        <f t="shared" ca="1" si="59"/>
        <v>86.038512737282915</v>
      </c>
      <c r="U177" s="364">
        <f t="shared" ca="1" si="60"/>
        <v>0</v>
      </c>
      <c r="V177" s="359">
        <f t="shared" ca="1" si="61"/>
        <v>1.2118636490932744</v>
      </c>
      <c r="W177" s="357">
        <f t="shared" ca="1" si="62"/>
        <v>47.414066943711141</v>
      </c>
      <c r="X177" s="343"/>
      <c r="Y177" s="367" t="str">
        <f t="shared" ca="1" si="80"/>
        <v/>
      </c>
      <c r="Z177" s="368" t="str">
        <f t="shared" ca="1" si="81"/>
        <v/>
      </c>
      <c r="AA177" s="369" t="str">
        <f t="shared" ca="1" si="82"/>
        <v/>
      </c>
      <c r="AB177" s="344"/>
      <c r="AC177" s="363" t="e">
        <f t="shared" ca="1" si="83"/>
        <v>#N/A</v>
      </c>
      <c r="AD177" s="376" t="e">
        <f t="shared" ca="1" si="84"/>
        <v>#N/A</v>
      </c>
      <c r="AE177" s="377">
        <f t="shared" ca="1" si="63"/>
        <v>107.81358991188395</v>
      </c>
      <c r="AF177" s="344"/>
      <c r="AG177" s="359">
        <f t="shared" ca="1" si="85"/>
        <v>56.452131072426866</v>
      </c>
      <c r="AH177" s="357">
        <f t="shared" ca="1" si="86"/>
        <v>66.036264287339691</v>
      </c>
    </row>
    <row r="178" spans="1:34" x14ac:dyDescent="0.2">
      <c r="A178" s="402">
        <f t="shared" ca="1" si="64"/>
        <v>0.01</v>
      </c>
      <c r="B178" s="357">
        <f t="shared" ca="1" si="65"/>
        <v>1.7400000000000013</v>
      </c>
      <c r="C178" s="342"/>
      <c r="D178" s="359">
        <f t="shared" ca="1" si="66"/>
        <v>14.058856968727058</v>
      </c>
      <c r="E178" s="360">
        <f t="shared" ca="1" si="67"/>
        <v>54.515371637621783</v>
      </c>
      <c r="F178" s="357">
        <f t="shared" ca="1" si="68"/>
        <v>56.298998250902685</v>
      </c>
      <c r="G178" s="359">
        <f t="shared" ca="1" si="69"/>
        <v>26.054440321353944</v>
      </c>
      <c r="H178" s="360">
        <f t="shared" ca="1" si="70"/>
        <v>119.11227109982626</v>
      </c>
      <c r="I178" s="357">
        <f t="shared" ca="1" si="71"/>
        <v>121.92853229255857</v>
      </c>
      <c r="J178" s="359">
        <f t="shared" ca="1" si="72"/>
        <v>22.349339971002156</v>
      </c>
      <c r="K178" s="360">
        <f t="shared" ca="1" si="73"/>
        <v>109.00198685430033</v>
      </c>
      <c r="L178" s="357">
        <f t="shared" ca="1" si="58"/>
        <v>111.26961011581058</v>
      </c>
      <c r="M178" s="359">
        <f t="shared" ca="1" si="74"/>
        <v>1.3554495954755497</v>
      </c>
      <c r="N178" s="357">
        <f t="shared" ca="1" si="75"/>
        <v>77.661541163463724</v>
      </c>
      <c r="O178" s="343"/>
      <c r="P178" s="363">
        <f t="shared" ca="1" si="76"/>
        <v>5</v>
      </c>
      <c r="Q178" s="357">
        <f t="shared" ca="1" si="77"/>
        <v>624.68999999999983</v>
      </c>
      <c r="R178" s="359">
        <f t="shared" ca="1" si="78"/>
        <v>0.31350280561803745</v>
      </c>
      <c r="S178" s="360">
        <f t="shared" ca="1" si="79"/>
        <v>8.7673555669777556</v>
      </c>
      <c r="T178" s="357">
        <f t="shared" ca="1" si="59"/>
        <v>86.007758112051789</v>
      </c>
      <c r="U178" s="364">
        <f t="shared" ca="1" si="60"/>
        <v>0</v>
      </c>
      <c r="V178" s="359">
        <f t="shared" ca="1" si="61"/>
        <v>1.2117196359139251</v>
      </c>
      <c r="W178" s="357">
        <f t="shared" ca="1" si="62"/>
        <v>47.848982747277581</v>
      </c>
      <c r="X178" s="343"/>
      <c r="Y178" s="367" t="str">
        <f t="shared" ca="1" si="80"/>
        <v/>
      </c>
      <c r="Z178" s="368" t="str">
        <f t="shared" ca="1" si="81"/>
        <v/>
      </c>
      <c r="AA178" s="369" t="str">
        <f t="shared" ca="1" si="82"/>
        <v/>
      </c>
      <c r="AB178" s="344"/>
      <c r="AC178" s="363" t="e">
        <f t="shared" ca="1" si="83"/>
        <v>#N/A</v>
      </c>
      <c r="AD178" s="376" t="e">
        <f t="shared" ca="1" si="84"/>
        <v>#N/A</v>
      </c>
      <c r="AE178" s="377">
        <f t="shared" ca="1" si="63"/>
        <v>109.00198685430033</v>
      </c>
      <c r="AF178" s="344"/>
      <c r="AG178" s="359">
        <f t="shared" ca="1" si="85"/>
        <v>56.260019485290108</v>
      </c>
      <c r="AH178" s="357">
        <f t="shared" ca="1" si="86"/>
        <v>65.843791625219168</v>
      </c>
    </row>
    <row r="179" spans="1:34" x14ac:dyDescent="0.2">
      <c r="A179" s="402">
        <f t="shared" ca="1" si="64"/>
        <v>0.01</v>
      </c>
      <c r="B179" s="357">
        <f t="shared" ca="1" si="65"/>
        <v>1.7500000000000013</v>
      </c>
      <c r="C179" s="342"/>
      <c r="D179" s="359">
        <f t="shared" ca="1" si="66"/>
        <v>14.028727250216974</v>
      </c>
      <c r="E179" s="360">
        <f t="shared" ca="1" si="67"/>
        <v>54.324694232669245</v>
      </c>
      <c r="F179" s="357">
        <f t="shared" ca="1" si="68"/>
        <v>56.106840863962283</v>
      </c>
      <c r="G179" s="359">
        <f t="shared" ca="1" si="69"/>
        <v>26.194727593856115</v>
      </c>
      <c r="H179" s="360">
        <f t="shared" ca="1" si="70"/>
        <v>119.65551804215295</v>
      </c>
      <c r="I179" s="357">
        <f t="shared" ca="1" si="71"/>
        <v>122.48921075610014</v>
      </c>
      <c r="J179" s="359">
        <f t="shared" ca="1" si="72"/>
        <v>22.610585810578208</v>
      </c>
      <c r="K179" s="360">
        <f t="shared" ca="1" si="73"/>
        <v>110.19582580001023</v>
      </c>
      <c r="L179" s="357">
        <f t="shared" ca="1" si="58"/>
        <v>112.49159352788865</v>
      </c>
      <c r="M179" s="359">
        <f t="shared" ca="1" si="74"/>
        <v>1.3552784570329057</v>
      </c>
      <c r="N179" s="357">
        <f t="shared" ca="1" si="75"/>
        <v>77.651735652987782</v>
      </c>
      <c r="O179" s="343"/>
      <c r="P179" s="363">
        <f t="shared" ca="1" si="76"/>
        <v>5</v>
      </c>
      <c r="Q179" s="357">
        <f t="shared" ca="1" si="77"/>
        <v>623.22999999999979</v>
      </c>
      <c r="R179" s="359">
        <f t="shared" ca="1" si="78"/>
        <v>0.31277009964194957</v>
      </c>
      <c r="S179" s="360">
        <f t="shared" ca="1" si="79"/>
        <v>8.7642278659813364</v>
      </c>
      <c r="T179" s="357">
        <f t="shared" ca="1" si="59"/>
        <v>85.977075365276917</v>
      </c>
      <c r="U179" s="364">
        <f t="shared" ca="1" si="60"/>
        <v>0</v>
      </c>
      <c r="V179" s="359">
        <f t="shared" ca="1" si="61"/>
        <v>1.2115749803955835</v>
      </c>
      <c r="W179" s="357">
        <f t="shared" ca="1" si="62"/>
        <v>48.284288982383536</v>
      </c>
      <c r="X179" s="343"/>
      <c r="Y179" s="367" t="str">
        <f t="shared" ca="1" si="80"/>
        <v/>
      </c>
      <c r="Z179" s="368" t="str">
        <f t="shared" ca="1" si="81"/>
        <v/>
      </c>
      <c r="AA179" s="369" t="str">
        <f t="shared" ca="1" si="82"/>
        <v/>
      </c>
      <c r="AB179" s="344"/>
      <c r="AC179" s="363" t="e">
        <f t="shared" ca="1" si="83"/>
        <v>#N/A</v>
      </c>
      <c r="AD179" s="376" t="e">
        <f t="shared" ca="1" si="84"/>
        <v>#N/A</v>
      </c>
      <c r="AE179" s="377">
        <f t="shared" ca="1" si="63"/>
        <v>110.19582580001023</v>
      </c>
      <c r="AF179" s="344"/>
      <c r="AG179" s="359">
        <f t="shared" ca="1" si="85"/>
        <v>56.067666978711109</v>
      </c>
      <c r="AH179" s="357">
        <f t="shared" ca="1" si="86"/>
        <v>65.651079142531685</v>
      </c>
    </row>
    <row r="180" spans="1:34" x14ac:dyDescent="0.2">
      <c r="A180" s="402">
        <f t="shared" ca="1" si="64"/>
        <v>0.01</v>
      </c>
      <c r="B180" s="357">
        <f t="shared" ca="1" si="65"/>
        <v>1.7600000000000013</v>
      </c>
      <c r="C180" s="342"/>
      <c r="D180" s="359">
        <f t="shared" ca="1" si="66"/>
        <v>13.998440084386127</v>
      </c>
      <c r="E180" s="360">
        <f t="shared" ca="1" si="67"/>
        <v>54.133806786222308</v>
      </c>
      <c r="F180" s="357">
        <f t="shared" ca="1" si="68"/>
        <v>55.914446809068913</v>
      </c>
      <c r="G180" s="359">
        <f t="shared" ca="1" si="69"/>
        <v>26.334711994699976</v>
      </c>
      <c r="H180" s="360">
        <f t="shared" ca="1" si="70"/>
        <v>120.19685611001518</v>
      </c>
      <c r="I180" s="357">
        <f t="shared" ca="1" si="71"/>
        <v>123.04796330933515</v>
      </c>
      <c r="J180" s="359">
        <f t="shared" ca="1" si="72"/>
        <v>22.873233008520987</v>
      </c>
      <c r="K180" s="360">
        <f t="shared" ca="1" si="73"/>
        <v>111.39508767077106</v>
      </c>
      <c r="L180" s="357">
        <f t="shared" ca="1" si="58"/>
        <v>113.71917316548192</v>
      </c>
      <c r="M180" s="359">
        <f t="shared" ca="1" si="74"/>
        <v>1.3551079624322651</v>
      </c>
      <c r="N180" s="357">
        <f t="shared" ca="1" si="75"/>
        <v>77.641967031941306</v>
      </c>
      <c r="O180" s="343"/>
      <c r="P180" s="363">
        <f t="shared" ca="1" si="76"/>
        <v>5</v>
      </c>
      <c r="Q180" s="357">
        <f t="shared" ca="1" si="77"/>
        <v>621.76999999999975</v>
      </c>
      <c r="R180" s="359">
        <f t="shared" ca="1" si="78"/>
        <v>0.3120373936658617</v>
      </c>
      <c r="S180" s="360">
        <f t="shared" ca="1" si="79"/>
        <v>8.7611074920446779</v>
      </c>
      <c r="T180" s="357">
        <f t="shared" ca="1" si="59"/>
        <v>85.946464496958299</v>
      </c>
      <c r="U180" s="364">
        <f t="shared" ca="1" si="60"/>
        <v>0</v>
      </c>
      <c r="V180" s="359">
        <f t="shared" ca="1" si="61"/>
        <v>1.2114296850813349</v>
      </c>
      <c r="W180" s="357">
        <f t="shared" ca="1" si="62"/>
        <v>48.719962156798637</v>
      </c>
      <c r="X180" s="343"/>
      <c r="Y180" s="367" t="str">
        <f t="shared" ca="1" si="80"/>
        <v/>
      </c>
      <c r="Z180" s="368" t="str">
        <f t="shared" ca="1" si="81"/>
        <v/>
      </c>
      <c r="AA180" s="369" t="str">
        <f t="shared" ca="1" si="82"/>
        <v/>
      </c>
      <c r="AB180" s="344"/>
      <c r="AC180" s="363" t="e">
        <f t="shared" ca="1" si="83"/>
        <v>#N/A</v>
      </c>
      <c r="AD180" s="376" t="e">
        <f t="shared" ca="1" si="84"/>
        <v>#N/A</v>
      </c>
      <c r="AE180" s="377">
        <f t="shared" ca="1" si="63"/>
        <v>111.39508767077106</v>
      </c>
      <c r="AF180" s="344"/>
      <c r="AG180" s="359">
        <f t="shared" ca="1" si="85"/>
        <v>55.87507648307556</v>
      </c>
      <c r="AH180" s="357">
        <f t="shared" ca="1" si="86"/>
        <v>65.458129755668082</v>
      </c>
    </row>
    <row r="181" spans="1:34" x14ac:dyDescent="0.2">
      <c r="A181" s="402">
        <f t="shared" ca="1" si="64"/>
        <v>0.01</v>
      </c>
      <c r="B181" s="357">
        <f t="shared" ca="1" si="65"/>
        <v>1.7700000000000014</v>
      </c>
      <c r="C181" s="342"/>
      <c r="D181" s="359">
        <f t="shared" ca="1" si="66"/>
        <v>13.967996868789214</v>
      </c>
      <c r="E181" s="360">
        <f t="shared" ca="1" si="67"/>
        <v>53.942712014503549</v>
      </c>
      <c r="F181" s="357">
        <f t="shared" ca="1" si="68"/>
        <v>55.721819029947063</v>
      </c>
      <c r="G181" s="359">
        <f t="shared" ca="1" si="69"/>
        <v>26.47439196338787</v>
      </c>
      <c r="H181" s="360">
        <f t="shared" ca="1" si="70"/>
        <v>120.73628323016021</v>
      </c>
      <c r="I181" s="357">
        <f t="shared" ca="1" si="71"/>
        <v>123.60478760171291</v>
      </c>
      <c r="J181" s="359">
        <f t="shared" ca="1" si="72"/>
        <v>23.137278528311427</v>
      </c>
      <c r="K181" s="360">
        <f t="shared" ca="1" si="73"/>
        <v>112.59975336747193</v>
      </c>
      <c r="L181" s="357">
        <f t="shared" ca="1" si="58"/>
        <v>114.9523297550431</v>
      </c>
      <c r="M181" s="359">
        <f t="shared" ca="1" si="74"/>
        <v>1.354938103707096</v>
      </c>
      <c r="N181" s="357">
        <f t="shared" ca="1" si="75"/>
        <v>77.632234843875636</v>
      </c>
      <c r="O181" s="343"/>
      <c r="P181" s="363">
        <f t="shared" ca="1" si="76"/>
        <v>5</v>
      </c>
      <c r="Q181" s="357">
        <f t="shared" ca="1" si="77"/>
        <v>620.30999999999983</v>
      </c>
      <c r="R181" s="359">
        <f t="shared" ca="1" si="78"/>
        <v>0.31130468768977382</v>
      </c>
      <c r="S181" s="360">
        <f t="shared" ca="1" si="79"/>
        <v>8.75799444516778</v>
      </c>
      <c r="T181" s="357">
        <f t="shared" ca="1" si="59"/>
        <v>85.91592550709592</v>
      </c>
      <c r="U181" s="364">
        <f t="shared" ca="1" si="60"/>
        <v>0</v>
      </c>
      <c r="V181" s="359">
        <f t="shared" ca="1" si="61"/>
        <v>1.2112837525166724</v>
      </c>
      <c r="W181" s="357">
        <f t="shared" ca="1" si="62"/>
        <v>49.155978851985253</v>
      </c>
      <c r="X181" s="343"/>
      <c r="Y181" s="367" t="str">
        <f t="shared" ca="1" si="80"/>
        <v/>
      </c>
      <c r="Z181" s="368" t="str">
        <f t="shared" ca="1" si="81"/>
        <v/>
      </c>
      <c r="AA181" s="369" t="str">
        <f t="shared" ca="1" si="82"/>
        <v/>
      </c>
      <c r="AB181" s="344"/>
      <c r="AC181" s="363" t="e">
        <f t="shared" ca="1" si="83"/>
        <v>#N/A</v>
      </c>
      <c r="AD181" s="376" t="e">
        <f t="shared" ca="1" si="84"/>
        <v>#N/A</v>
      </c>
      <c r="AE181" s="377">
        <f t="shared" ca="1" si="63"/>
        <v>112.59975336747193</v>
      </c>
      <c r="AF181" s="344"/>
      <c r="AG181" s="359">
        <f t="shared" ca="1" si="85"/>
        <v>55.682250925594175</v>
      </c>
      <c r="AH181" s="357">
        <f t="shared" ca="1" si="86"/>
        <v>65.264946378057573</v>
      </c>
    </row>
    <row r="182" spans="1:34" x14ac:dyDescent="0.2">
      <c r="A182" s="402">
        <f t="shared" ca="1" si="64"/>
        <v>0.01</v>
      </c>
      <c r="B182" s="357">
        <f t="shared" ca="1" si="65"/>
        <v>1.7800000000000014</v>
      </c>
      <c r="C182" s="342"/>
      <c r="D182" s="359">
        <f t="shared" ca="1" si="66"/>
        <v>13.937398988623448</v>
      </c>
      <c r="E182" s="360">
        <f t="shared" ca="1" si="67"/>
        <v>53.751412632603881</v>
      </c>
      <c r="F182" s="357">
        <f t="shared" ca="1" si="68"/>
        <v>55.528960467206026</v>
      </c>
      <c r="G182" s="359">
        <f t="shared" ca="1" si="69"/>
        <v>26.613765953274104</v>
      </c>
      <c r="H182" s="360">
        <f t="shared" ca="1" si="70"/>
        <v>121.27379735648626</v>
      </c>
      <c r="I182" s="357">
        <f t="shared" ca="1" si="71"/>
        <v>124.15968131192083</v>
      </c>
      <c r="J182" s="359">
        <f t="shared" ca="1" si="72"/>
        <v>23.402719317894736</v>
      </c>
      <c r="K182" s="360">
        <f t="shared" ca="1" si="73"/>
        <v>113.80980377040517</v>
      </c>
      <c r="L182" s="357">
        <f t="shared" ca="1" si="58"/>
        <v>116.19104399965728</v>
      </c>
      <c r="M182" s="359">
        <f t="shared" ca="1" si="74"/>
        <v>1.3547688730183129</v>
      </c>
      <c r="N182" s="357">
        <f t="shared" ca="1" si="75"/>
        <v>77.622538639644276</v>
      </c>
      <c r="O182" s="343"/>
      <c r="P182" s="363">
        <f t="shared" ca="1" si="76"/>
        <v>5</v>
      </c>
      <c r="Q182" s="357">
        <f t="shared" ca="1" si="77"/>
        <v>618.8499999999998</v>
      </c>
      <c r="R182" s="359">
        <f t="shared" ca="1" si="78"/>
        <v>0.31057198171368594</v>
      </c>
      <c r="S182" s="360">
        <f t="shared" ca="1" si="79"/>
        <v>8.7548887253506429</v>
      </c>
      <c r="T182" s="357">
        <f t="shared" ca="1" si="59"/>
        <v>85.88545839568981</v>
      </c>
      <c r="U182" s="364">
        <f t="shared" ca="1" si="60"/>
        <v>0</v>
      </c>
      <c r="V182" s="359">
        <f t="shared" ca="1" si="61"/>
        <v>1.2111371852494488</v>
      </c>
      <c r="W182" s="357">
        <f t="shared" ca="1" si="62"/>
        <v>49.592315723985479</v>
      </c>
      <c r="X182" s="343"/>
      <c r="Y182" s="367" t="str">
        <f t="shared" ca="1" si="80"/>
        <v/>
      </c>
      <c r="Z182" s="368" t="str">
        <f t="shared" ca="1" si="81"/>
        <v/>
      </c>
      <c r="AA182" s="369" t="str">
        <f t="shared" ca="1" si="82"/>
        <v/>
      </c>
      <c r="AB182" s="344"/>
      <c r="AC182" s="363" t="e">
        <f t="shared" ca="1" si="83"/>
        <v>#N/A</v>
      </c>
      <c r="AD182" s="376" t="e">
        <f t="shared" ca="1" si="84"/>
        <v>#N/A</v>
      </c>
      <c r="AE182" s="377">
        <f t="shared" ca="1" si="63"/>
        <v>113.80980377040517</v>
      </c>
      <c r="AF182" s="344"/>
      <c r="AG182" s="359">
        <f t="shared" ca="1" si="85"/>
        <v>55.489193230175246</v>
      </c>
      <c r="AH182" s="357">
        <f t="shared" ca="1" si="86"/>
        <v>65.071531920035653</v>
      </c>
    </row>
    <row r="183" spans="1:34" x14ac:dyDescent="0.2">
      <c r="A183" s="402">
        <f t="shared" ca="1" si="64"/>
        <v>0.01</v>
      </c>
      <c r="B183" s="357">
        <f t="shared" ca="1" si="65"/>
        <v>1.7900000000000014</v>
      </c>
      <c r="C183" s="342"/>
      <c r="D183" s="359">
        <f t="shared" ca="1" si="66"/>
        <v>13.906647816970969</v>
      </c>
      <c r="E183" s="360">
        <f t="shared" ca="1" si="67"/>
        <v>53.559911354310977</v>
      </c>
      <c r="F183" s="357">
        <f t="shared" ca="1" si="68"/>
        <v>55.335874058217541</v>
      </c>
      <c r="G183" s="359">
        <f t="shared" ca="1" si="69"/>
        <v>26.752832431443814</v>
      </c>
      <c r="H183" s="360">
        <f t="shared" ca="1" si="70"/>
        <v>121.80939647002937</v>
      </c>
      <c r="I183" s="357">
        <f t="shared" ca="1" si="71"/>
        <v>124.71264214785009</v>
      </c>
      <c r="J183" s="359">
        <f t="shared" ca="1" si="72"/>
        <v>23.669552309818325</v>
      </c>
      <c r="K183" s="360">
        <f t="shared" ca="1" si="73"/>
        <v>115.02521973953775</v>
      </c>
      <c r="L183" s="357">
        <f t="shared" ca="1" si="58"/>
        <v>117.43529657933415</v>
      </c>
      <c r="M183" s="359">
        <f t="shared" ca="1" si="74"/>
        <v>1.3546002626514606</v>
      </c>
      <c r="N183" s="357">
        <f t="shared" ca="1" si="75"/>
        <v>77.612877977241496</v>
      </c>
      <c r="O183" s="343"/>
      <c r="P183" s="363">
        <f t="shared" ca="1" si="76"/>
        <v>5</v>
      </c>
      <c r="Q183" s="357">
        <f t="shared" ca="1" si="77"/>
        <v>617.38999999999976</v>
      </c>
      <c r="R183" s="359">
        <f t="shared" ca="1" si="78"/>
        <v>0.30983927573759806</v>
      </c>
      <c r="S183" s="360">
        <f t="shared" ca="1" si="79"/>
        <v>8.7517903325932664</v>
      </c>
      <c r="T183" s="357">
        <f t="shared" ca="1" si="59"/>
        <v>85.855063162739953</v>
      </c>
      <c r="U183" s="364">
        <f t="shared" ca="1" si="60"/>
        <v>0</v>
      </c>
      <c r="V183" s="359">
        <f t="shared" ca="1" si="61"/>
        <v>1.2109899858298305</v>
      </c>
      <c r="W183" s="357">
        <f t="shared" ca="1" si="62"/>
        <v>50.028949504299099</v>
      </c>
      <c r="X183" s="343"/>
      <c r="Y183" s="367" t="str">
        <f t="shared" ca="1" si="80"/>
        <v/>
      </c>
      <c r="Z183" s="368" t="str">
        <f t="shared" ca="1" si="81"/>
        <v/>
      </c>
      <c r="AA183" s="369" t="str">
        <f t="shared" ca="1" si="82"/>
        <v/>
      </c>
      <c r="AB183" s="344"/>
      <c r="AC183" s="363" t="e">
        <f t="shared" ca="1" si="83"/>
        <v>#N/A</v>
      </c>
      <c r="AD183" s="376" t="e">
        <f t="shared" ca="1" si="84"/>
        <v>#N/A</v>
      </c>
      <c r="AE183" s="377">
        <f t="shared" ca="1" si="63"/>
        <v>115.02521973953775</v>
      </c>
      <c r="AF183" s="344"/>
      <c r="AG183" s="359">
        <f t="shared" ca="1" si="85"/>
        <v>55.295906317298019</v>
      </c>
      <c r="AH183" s="357">
        <f t="shared" ca="1" si="86"/>
        <v>64.87788928871295</v>
      </c>
    </row>
    <row r="184" spans="1:34" x14ac:dyDescent="0.2">
      <c r="A184" s="402">
        <f t="shared" ca="1" si="64"/>
        <v>0.01</v>
      </c>
      <c r="B184" s="357">
        <f t="shared" ca="1" si="65"/>
        <v>1.8000000000000014</v>
      </c>
      <c r="C184" s="342"/>
      <c r="D184" s="359">
        <f t="shared" ca="1" si="66"/>
        <v>13.875744715033864</v>
      </c>
      <c r="E184" s="360">
        <f t="shared" ca="1" si="67"/>
        <v>53.368210891939455</v>
      </c>
      <c r="F184" s="357">
        <f t="shared" ca="1" si="68"/>
        <v>55.142562736993966</v>
      </c>
      <c r="G184" s="359">
        <f t="shared" ca="1" si="69"/>
        <v>26.891589878594154</v>
      </c>
      <c r="H184" s="360">
        <f t="shared" ca="1" si="70"/>
        <v>122.34307857894876</v>
      </c>
      <c r="I184" s="357">
        <f t="shared" ca="1" si="71"/>
        <v>125.26366784656011</v>
      </c>
      <c r="J184" s="359">
        <f t="shared" ca="1" si="72"/>
        <v>23.937774421368516</v>
      </c>
      <c r="K184" s="360">
        <f t="shared" ca="1" si="73"/>
        <v>116.24598211478263</v>
      </c>
      <c r="L184" s="357">
        <f t="shared" ca="1" si="58"/>
        <v>118.68506815129984</v>
      </c>
      <c r="M184" s="359">
        <f t="shared" ca="1" si="74"/>
        <v>1.3544322650139775</v>
      </c>
      <c r="N184" s="357">
        <f t="shared" ca="1" si="75"/>
        <v>77.603252421645536</v>
      </c>
      <c r="O184" s="343"/>
      <c r="P184" s="363">
        <f t="shared" ca="1" si="76"/>
        <v>5</v>
      </c>
      <c r="Q184" s="357">
        <f t="shared" ca="1" si="77"/>
        <v>615.92999999999984</v>
      </c>
      <c r="R184" s="359">
        <f t="shared" ca="1" si="78"/>
        <v>0.30910656976151019</v>
      </c>
      <c r="S184" s="360">
        <f t="shared" ca="1" si="79"/>
        <v>8.7486992668956507</v>
      </c>
      <c r="T184" s="357">
        <f t="shared" ca="1" si="59"/>
        <v>85.824739808246335</v>
      </c>
      <c r="U184" s="364">
        <f t="shared" ca="1" si="60"/>
        <v>0</v>
      </c>
      <c r="V184" s="359">
        <f t="shared" ca="1" si="61"/>
        <v>1.2108421568102501</v>
      </c>
      <c r="W184" s="357">
        <f t="shared" ca="1" si="62"/>
        <v>50.465857000752685</v>
      </c>
      <c r="X184" s="343"/>
      <c r="Y184" s="367" t="str">
        <f t="shared" ca="1" si="80"/>
        <v/>
      </c>
      <c r="Z184" s="368" t="str">
        <f t="shared" ca="1" si="81"/>
        <v/>
      </c>
      <c r="AA184" s="369" t="str">
        <f t="shared" ca="1" si="82"/>
        <v/>
      </c>
      <c r="AB184" s="344"/>
      <c r="AC184" s="363" t="e">
        <f t="shared" ca="1" si="83"/>
        <v>#N/A</v>
      </c>
      <c r="AD184" s="376" t="e">
        <f t="shared" ca="1" si="84"/>
        <v>#N/A</v>
      </c>
      <c r="AE184" s="377">
        <f t="shared" ca="1" si="63"/>
        <v>116.24598211478263</v>
      </c>
      <c r="AF184" s="344"/>
      <c r="AG184" s="359">
        <f t="shared" ca="1" si="85"/>
        <v>55.102393103886712</v>
      </c>
      <c r="AH184" s="357">
        <f t="shared" ca="1" si="86"/>
        <v>64.684021387844837</v>
      </c>
    </row>
    <row r="185" spans="1:34" x14ac:dyDescent="0.2">
      <c r="A185" s="402">
        <f t="shared" ca="1" si="64"/>
        <v>0.01</v>
      </c>
      <c r="B185" s="357">
        <f t="shared" ca="1" si="65"/>
        <v>1.8100000000000014</v>
      </c>
      <c r="C185" s="342"/>
      <c r="D185" s="359">
        <f t="shared" ca="1" si="66"/>
        <v>13.844691032361816</v>
      </c>
      <c r="E185" s="360">
        <f t="shared" ca="1" si="67"/>
        <v>53.176313956163071</v>
      </c>
      <c r="F185" s="357">
        <f t="shared" ca="1" si="68"/>
        <v>54.949029434067192</v>
      </c>
      <c r="G185" s="359">
        <f t="shared" ca="1" si="69"/>
        <v>27.030036788917773</v>
      </c>
      <c r="H185" s="360">
        <f t="shared" ca="1" si="70"/>
        <v>122.8748417185104</v>
      </c>
      <c r="I185" s="357">
        <f t="shared" ca="1" si="71"/>
        <v>125.81275617424185</v>
      </c>
      <c r="J185" s="359">
        <f t="shared" ca="1" si="72"/>
        <v>24.207382554706076</v>
      </c>
      <c r="K185" s="360">
        <f t="shared" ca="1" si="73"/>
        <v>117.47207171626994</v>
      </c>
      <c r="L185" s="357">
        <f t="shared" ca="1" si="58"/>
        <v>119.94033935028847</v>
      </c>
      <c r="M185" s="359">
        <f t="shared" ca="1" si="74"/>
        <v>1.3542648726325326</v>
      </c>
      <c r="N185" s="357">
        <f t="shared" ca="1" si="75"/>
        <v>77.593661544666105</v>
      </c>
      <c r="O185" s="343"/>
      <c r="P185" s="363">
        <f t="shared" ca="1" si="76"/>
        <v>5</v>
      </c>
      <c r="Q185" s="357">
        <f t="shared" ca="1" si="77"/>
        <v>614.4699999999998</v>
      </c>
      <c r="R185" s="359">
        <f t="shared" ca="1" si="78"/>
        <v>0.30837386378542231</v>
      </c>
      <c r="S185" s="360">
        <f t="shared" ca="1" si="79"/>
        <v>8.7456155282577956</v>
      </c>
      <c r="T185" s="357">
        <f t="shared" ca="1" si="59"/>
        <v>85.794488332208985</v>
      </c>
      <c r="U185" s="364">
        <f t="shared" ca="1" si="60"/>
        <v>0</v>
      </c>
      <c r="V185" s="359">
        <f t="shared" ca="1" si="61"/>
        <v>1.2106937007453586</v>
      </c>
      <c r="W185" s="357">
        <f t="shared" ca="1" si="62"/>
        <v>50.903015098359731</v>
      </c>
      <c r="X185" s="343"/>
      <c r="Y185" s="367" t="str">
        <f t="shared" ca="1" si="80"/>
        <v/>
      </c>
      <c r="Z185" s="368" t="str">
        <f t="shared" ca="1" si="81"/>
        <v/>
      </c>
      <c r="AA185" s="369" t="str">
        <f t="shared" ca="1" si="82"/>
        <v/>
      </c>
      <c r="AB185" s="344"/>
      <c r="AC185" s="363" t="e">
        <f t="shared" ca="1" si="83"/>
        <v>#N/A</v>
      </c>
      <c r="AD185" s="376" t="e">
        <f t="shared" ca="1" si="84"/>
        <v>#N/A</v>
      </c>
      <c r="AE185" s="377">
        <f t="shared" ca="1" si="63"/>
        <v>117.47207171626994</v>
      </c>
      <c r="AF185" s="344"/>
      <c r="AG185" s="359">
        <f t="shared" ca="1" si="85"/>
        <v>54.908656503185028</v>
      </c>
      <c r="AH185" s="357">
        <f t="shared" ca="1" si="86"/>
        <v>64.489931117701644</v>
      </c>
    </row>
    <row r="186" spans="1:34" x14ac:dyDescent="0.2">
      <c r="A186" s="402">
        <f t="shared" ca="1" si="64"/>
        <v>0.01</v>
      </c>
      <c r="B186" s="357">
        <f t="shared" ca="1" si="65"/>
        <v>1.8200000000000014</v>
      </c>
      <c r="C186" s="342"/>
      <c r="D186" s="359">
        <f t="shared" ca="1" si="66"/>
        <v>13.813488107072919</v>
      </c>
      <c r="E186" s="360">
        <f t="shared" ca="1" si="67"/>
        <v>52.984223255848846</v>
      </c>
      <c r="F186" s="357">
        <f t="shared" ca="1" si="68"/>
        <v>54.755277076368436</v>
      </c>
      <c r="G186" s="359">
        <f t="shared" ca="1" si="69"/>
        <v>27.168171669988503</v>
      </c>
      <c r="H186" s="360">
        <f t="shared" ca="1" si="70"/>
        <v>123.40468395106889</v>
      </c>
      <c r="I186" s="357">
        <f t="shared" ca="1" si="71"/>
        <v>126.35990492617967</v>
      </c>
      <c r="J186" s="359">
        <f t="shared" ca="1" si="72"/>
        <v>24.478373597000608</v>
      </c>
      <c r="K186" s="360">
        <f t="shared" ca="1" si="73"/>
        <v>118.70346934461783</v>
      </c>
      <c r="L186" s="357">
        <f t="shared" ca="1" si="58"/>
        <v>121.2010907888331</v>
      </c>
      <c r="M186" s="359">
        <f t="shared" ca="1" si="74"/>
        <v>1.3540980781504344</v>
      </c>
      <c r="N186" s="357">
        <f t="shared" ca="1" si="75"/>
        <v>77.58410492479581</v>
      </c>
      <c r="O186" s="343"/>
      <c r="P186" s="363">
        <f t="shared" ca="1" si="76"/>
        <v>5</v>
      </c>
      <c r="Q186" s="357">
        <f t="shared" ca="1" si="77"/>
        <v>613.00999999999976</v>
      </c>
      <c r="R186" s="359">
        <f t="shared" ca="1" si="78"/>
        <v>0.30764115780933443</v>
      </c>
      <c r="S186" s="360">
        <f t="shared" ca="1" si="79"/>
        <v>8.7425391166797031</v>
      </c>
      <c r="T186" s="357">
        <f t="shared" ca="1" si="59"/>
        <v>85.764308734627889</v>
      </c>
      <c r="U186" s="364">
        <f t="shared" ca="1" si="60"/>
        <v>0</v>
      </c>
      <c r="V186" s="359">
        <f t="shared" ca="1" si="61"/>
        <v>1.2105446201919796</v>
      </c>
      <c r="W186" s="357">
        <f t="shared" ca="1" si="62"/>
        <v>51.34040076017164</v>
      </c>
      <c r="X186" s="343"/>
      <c r="Y186" s="367" t="str">
        <f t="shared" ca="1" si="80"/>
        <v/>
      </c>
      <c r="Z186" s="368" t="str">
        <f t="shared" ca="1" si="81"/>
        <v/>
      </c>
      <c r="AA186" s="369" t="str">
        <f t="shared" ca="1" si="82"/>
        <v/>
      </c>
      <c r="AB186" s="344"/>
      <c r="AC186" s="363" t="e">
        <f t="shared" ca="1" si="83"/>
        <v>#N/A</v>
      </c>
      <c r="AD186" s="376" t="e">
        <f t="shared" ca="1" si="84"/>
        <v>#N/A</v>
      </c>
      <c r="AE186" s="377">
        <f t="shared" ca="1" si="63"/>
        <v>118.70346934461783</v>
      </c>
      <c r="AF186" s="344"/>
      <c r="AG186" s="359">
        <f t="shared" ca="1" si="85"/>
        <v>54.714699424631583</v>
      </c>
      <c r="AH186" s="357">
        <f t="shared" ca="1" si="86"/>
        <v>64.295621374939941</v>
      </c>
    </row>
    <row r="187" spans="1:34" x14ac:dyDescent="0.2">
      <c r="A187" s="402">
        <f t="shared" ca="1" si="64"/>
        <v>0.01</v>
      </c>
      <c r="B187" s="357">
        <f t="shared" ca="1" si="65"/>
        <v>1.8300000000000014</v>
      </c>
      <c r="C187" s="342"/>
      <c r="D187" s="359">
        <f t="shared" ca="1" si="66"/>
        <v>13.782137266067734</v>
      </c>
      <c r="E187" s="360">
        <f t="shared" ca="1" si="67"/>
        <v>52.791941497893127</v>
      </c>
      <c r="F187" s="357">
        <f t="shared" ca="1" si="68"/>
        <v>54.561308587108712</v>
      </c>
      <c r="G187" s="359">
        <f t="shared" ca="1" si="69"/>
        <v>27.305993042649181</v>
      </c>
      <c r="H187" s="360">
        <f t="shared" ca="1" si="70"/>
        <v>123.93260336604781</v>
      </c>
      <c r="I187" s="357">
        <f t="shared" ca="1" si="71"/>
        <v>126.90511192671212</v>
      </c>
      <c r="J187" s="359">
        <f t="shared" ca="1" si="72"/>
        <v>24.750744420563798</v>
      </c>
      <c r="K187" s="360">
        <f t="shared" ca="1" si="73"/>
        <v>119.94015578120342</v>
      </c>
      <c r="L187" s="357">
        <f t="shared" ca="1" si="58"/>
        <v>122.46730305755661</v>
      </c>
      <c r="M187" s="359">
        <f t="shared" ca="1" si="74"/>
        <v>1.3539318743251101</v>
      </c>
      <c r="N187" s="357">
        <f t="shared" ca="1" si="75"/>
        <v>77.574582147065797</v>
      </c>
      <c r="O187" s="343"/>
      <c r="P187" s="363">
        <f t="shared" ca="1" si="76"/>
        <v>5</v>
      </c>
      <c r="Q187" s="357">
        <f t="shared" ca="1" si="77"/>
        <v>611.54999999999973</v>
      </c>
      <c r="R187" s="359">
        <f t="shared" ca="1" si="78"/>
        <v>0.30690845183324655</v>
      </c>
      <c r="S187" s="360">
        <f t="shared" ca="1" si="79"/>
        <v>8.7394700321613712</v>
      </c>
      <c r="T187" s="357">
        <f t="shared" ca="1" si="59"/>
        <v>85.734201015503061</v>
      </c>
      <c r="U187" s="364">
        <f t="shared" ca="1" si="60"/>
        <v>0</v>
      </c>
      <c r="V187" s="359">
        <f t="shared" ca="1" si="61"/>
        <v>1.2103949177090616</v>
      </c>
      <c r="W187" s="357">
        <f t="shared" ca="1" si="62"/>
        <v>51.777991028119914</v>
      </c>
      <c r="X187" s="343"/>
      <c r="Y187" s="367" t="str">
        <f t="shared" ca="1" si="80"/>
        <v/>
      </c>
      <c r="Z187" s="368" t="str">
        <f t="shared" ca="1" si="81"/>
        <v/>
      </c>
      <c r="AA187" s="369" t="str">
        <f t="shared" ca="1" si="82"/>
        <v/>
      </c>
      <c r="AB187" s="344"/>
      <c r="AC187" s="363" t="e">
        <f t="shared" ca="1" si="83"/>
        <v>#N/A</v>
      </c>
      <c r="AD187" s="376" t="e">
        <f t="shared" ca="1" si="84"/>
        <v>#N/A</v>
      </c>
      <c r="AE187" s="377">
        <f t="shared" ca="1" si="63"/>
        <v>119.94015578120342</v>
      </c>
      <c r="AF187" s="344"/>
      <c r="AG187" s="359">
        <f t="shared" ca="1" si="85"/>
        <v>54.520524773735914</v>
      </c>
      <c r="AH187" s="357">
        <f t="shared" ca="1" si="86"/>
        <v>64.101095052474463</v>
      </c>
    </row>
    <row r="188" spans="1:34" x14ac:dyDescent="0.2">
      <c r="A188" s="402">
        <f t="shared" ca="1" si="64"/>
        <v>0.01</v>
      </c>
      <c r="B188" s="357">
        <f t="shared" ca="1" si="65"/>
        <v>1.8400000000000014</v>
      </c>
      <c r="C188" s="342"/>
      <c r="D188" s="359">
        <f t="shared" ca="1" si="66"/>
        <v>13.750639825236808</v>
      </c>
      <c r="E188" s="360">
        <f t="shared" ca="1" si="67"/>
        <v>52.599471387059324</v>
      </c>
      <c r="F188" s="357">
        <f t="shared" ca="1" si="68"/>
        <v>54.367126885660063</v>
      </c>
      <c r="G188" s="359">
        <f t="shared" ca="1" si="69"/>
        <v>27.443499440901547</v>
      </c>
      <c r="H188" s="360">
        <f t="shared" ca="1" si="70"/>
        <v>124.4585980799184</v>
      </c>
      <c r="I188" s="357">
        <f t="shared" ca="1" si="71"/>
        <v>127.44837502919145</v>
      </c>
      <c r="J188" s="359">
        <f t="shared" ca="1" si="72"/>
        <v>25.02449188298155</v>
      </c>
      <c r="K188" s="360">
        <f t="shared" ca="1" si="73"/>
        <v>121.18211178843325</v>
      </c>
      <c r="L188" s="357">
        <f t="shared" ca="1" si="58"/>
        <v>123.73895672546193</v>
      </c>
      <c r="M188" s="359">
        <f t="shared" ca="1" si="74"/>
        <v>1.3537662540256523</v>
      </c>
      <c r="N188" s="357">
        <f t="shared" ca="1" si="75"/>
        <v>77.56509280290517</v>
      </c>
      <c r="O188" s="343"/>
      <c r="P188" s="363">
        <f t="shared" ca="1" si="76"/>
        <v>5</v>
      </c>
      <c r="Q188" s="357">
        <f t="shared" ca="1" si="77"/>
        <v>610.0899999999998</v>
      </c>
      <c r="R188" s="359">
        <f t="shared" ca="1" si="78"/>
        <v>0.30617574585715868</v>
      </c>
      <c r="S188" s="360">
        <f t="shared" ca="1" si="79"/>
        <v>8.7364082747028</v>
      </c>
      <c r="T188" s="357">
        <f t="shared" ca="1" si="59"/>
        <v>85.704165174834472</v>
      </c>
      <c r="U188" s="364">
        <f t="shared" ca="1" si="60"/>
        <v>0</v>
      </c>
      <c r="V188" s="359">
        <f t="shared" ca="1" si="61"/>
        <v>1.2102445958576302</v>
      </c>
      <c r="W188" s="357">
        <f t="shared" ca="1" si="62"/>
        <v>52.215763023849057</v>
      </c>
      <c r="X188" s="343"/>
      <c r="Y188" s="367" t="str">
        <f t="shared" ca="1" si="80"/>
        <v/>
      </c>
      <c r="Z188" s="368" t="str">
        <f t="shared" ca="1" si="81"/>
        <v/>
      </c>
      <c r="AA188" s="369" t="str">
        <f t="shared" ca="1" si="82"/>
        <v/>
      </c>
      <c r="AB188" s="344"/>
      <c r="AC188" s="363" t="e">
        <f t="shared" ca="1" si="83"/>
        <v>#N/A</v>
      </c>
      <c r="AD188" s="376" t="e">
        <f t="shared" ca="1" si="84"/>
        <v>#N/A</v>
      </c>
      <c r="AE188" s="377">
        <f t="shared" ca="1" si="63"/>
        <v>121.18211178843325</v>
      </c>
      <c r="AF188" s="344"/>
      <c r="AG188" s="359">
        <f t="shared" ca="1" si="85"/>
        <v>54.326135451955182</v>
      </c>
      <c r="AH188" s="357">
        <f t="shared" ca="1" si="86"/>
        <v>63.906355039350863</v>
      </c>
    </row>
    <row r="189" spans="1:34" x14ac:dyDescent="0.2">
      <c r="A189" s="402">
        <f t="shared" ca="1" si="64"/>
        <v>0.01</v>
      </c>
      <c r="B189" s="357">
        <f t="shared" ca="1" si="65"/>
        <v>1.8500000000000014</v>
      </c>
      <c r="C189" s="342"/>
      <c r="D189" s="359">
        <f t="shared" ca="1" si="66"/>
        <v>13.718997089661917</v>
      </c>
      <c r="E189" s="360">
        <f t="shared" ca="1" si="67"/>
        <v>52.406815625817678</v>
      </c>
      <c r="F189" s="357">
        <f t="shared" ca="1" si="68"/>
        <v>54.172734887437606</v>
      </c>
      <c r="G189" s="359">
        <f t="shared" ca="1" si="69"/>
        <v>27.580689411798165</v>
      </c>
      <c r="H189" s="360">
        <f t="shared" ca="1" si="70"/>
        <v>124.98266623617658</v>
      </c>
      <c r="I189" s="357">
        <f t="shared" ca="1" si="71"/>
        <v>127.98969211594185</v>
      </c>
      <c r="J189" s="359">
        <f t="shared" ca="1" si="72"/>
        <v>25.299612827245049</v>
      </c>
      <c r="K189" s="360">
        <f t="shared" ca="1" si="73"/>
        <v>122.42931811001372</v>
      </c>
      <c r="L189" s="357">
        <f t="shared" ca="1" si="58"/>
        <v>125.01603234022201</v>
      </c>
      <c r="M189" s="359">
        <f t="shared" ca="1" si="74"/>
        <v>1.353601210230432</v>
      </c>
      <c r="N189" s="357">
        <f t="shared" ca="1" si="75"/>
        <v>77.555636490004218</v>
      </c>
      <c r="O189" s="343"/>
      <c r="P189" s="363">
        <f t="shared" ca="1" si="76"/>
        <v>5</v>
      </c>
      <c r="Q189" s="357">
        <f t="shared" ca="1" si="77"/>
        <v>608.62999999999977</v>
      </c>
      <c r="R189" s="359">
        <f t="shared" ca="1" si="78"/>
        <v>0.3054430398810708</v>
      </c>
      <c r="S189" s="360">
        <f t="shared" ca="1" si="79"/>
        <v>8.7333538443039895</v>
      </c>
      <c r="T189" s="357">
        <f t="shared" ca="1" si="59"/>
        <v>85.674201212622137</v>
      </c>
      <c r="U189" s="364">
        <f t="shared" ca="1" si="60"/>
        <v>0</v>
      </c>
      <c r="V189" s="359">
        <f t="shared" ca="1" si="61"/>
        <v>1.2100936572007448</v>
      </c>
      <c r="W189" s="357">
        <f t="shared" ca="1" si="62"/>
        <v>52.653693949540582</v>
      </c>
      <c r="X189" s="343"/>
      <c r="Y189" s="367" t="str">
        <f t="shared" ca="1" si="80"/>
        <v/>
      </c>
      <c r="Z189" s="368" t="str">
        <f t="shared" ca="1" si="81"/>
        <v/>
      </c>
      <c r="AA189" s="369" t="str">
        <f t="shared" ca="1" si="82"/>
        <v/>
      </c>
      <c r="AB189" s="344"/>
      <c r="AC189" s="363" t="e">
        <f t="shared" ca="1" si="83"/>
        <v>#N/A</v>
      </c>
      <c r="AD189" s="376" t="e">
        <f t="shared" ca="1" si="84"/>
        <v>#N/A</v>
      </c>
      <c r="AE189" s="377">
        <f t="shared" ca="1" si="63"/>
        <v>122.42931811001372</v>
      </c>
      <c r="AF189" s="344"/>
      <c r="AG189" s="359">
        <f t="shared" ca="1" si="85"/>
        <v>54.131534356571578</v>
      </c>
      <c r="AH189" s="357">
        <f t="shared" ca="1" si="86"/>
        <v>63.711404220619272</v>
      </c>
    </row>
    <row r="190" spans="1:34" x14ac:dyDescent="0.2">
      <c r="A190" s="402">
        <f t="shared" ca="1" si="64"/>
        <v>0.01</v>
      </c>
      <c r="B190" s="357">
        <f t="shared" ca="1" si="65"/>
        <v>1.8600000000000014</v>
      </c>
      <c r="C190" s="342"/>
      <c r="D190" s="359">
        <f t="shared" ca="1" si="66"/>
        <v>13.687210353811169</v>
      </c>
      <c r="E190" s="360">
        <f t="shared" ca="1" si="67"/>
        <v>52.213976914186681</v>
      </c>
      <c r="F190" s="357">
        <f t="shared" ca="1" si="68"/>
        <v>53.978135503782411</v>
      </c>
      <c r="G190" s="359">
        <f t="shared" ca="1" si="69"/>
        <v>27.717561515336275</v>
      </c>
      <c r="H190" s="360">
        <f t="shared" ca="1" si="70"/>
        <v>125.50480600531846</v>
      </c>
      <c r="I190" s="357">
        <f t="shared" ca="1" si="71"/>
        <v>128.52906109821652</v>
      </c>
      <c r="J190" s="359">
        <f t="shared" ca="1" si="72"/>
        <v>25.576104081880722</v>
      </c>
      <c r="K190" s="360">
        <f t="shared" ca="1" si="73"/>
        <v>123.68175547122119</v>
      </c>
      <c r="L190" s="357">
        <f t="shared" ca="1" si="58"/>
        <v>126.29851042846923</v>
      </c>
      <c r="M190" s="359">
        <f t="shared" ca="1" si="74"/>
        <v>1.3534367360247719</v>
      </c>
      <c r="N190" s="357">
        <f t="shared" ca="1" si="75"/>
        <v>77.546212812181139</v>
      </c>
      <c r="O190" s="343"/>
      <c r="P190" s="363">
        <f t="shared" ca="1" si="76"/>
        <v>5</v>
      </c>
      <c r="Q190" s="357">
        <f t="shared" ca="1" si="77"/>
        <v>607.16999999999973</v>
      </c>
      <c r="R190" s="359">
        <f t="shared" ca="1" si="78"/>
        <v>0.30471033390498292</v>
      </c>
      <c r="S190" s="360">
        <f t="shared" ca="1" si="79"/>
        <v>8.7303067409649397</v>
      </c>
      <c r="T190" s="357">
        <f t="shared" ca="1" si="59"/>
        <v>85.64430912886607</v>
      </c>
      <c r="U190" s="364">
        <f t="shared" ca="1" si="60"/>
        <v>0</v>
      </c>
      <c r="V190" s="359">
        <f t="shared" ca="1" si="61"/>
        <v>1.209942104303448</v>
      </c>
      <c r="W190" s="357">
        <f t="shared" ca="1" si="62"/>
        <v>53.091761088727765</v>
      </c>
      <c r="X190" s="343"/>
      <c r="Y190" s="367" t="str">
        <f t="shared" ca="1" si="80"/>
        <v/>
      </c>
      <c r="Z190" s="368" t="str">
        <f t="shared" ca="1" si="81"/>
        <v/>
      </c>
      <c r="AA190" s="369" t="str">
        <f t="shared" ca="1" si="82"/>
        <v/>
      </c>
      <c r="AB190" s="344"/>
      <c r="AC190" s="363" t="e">
        <f t="shared" ca="1" si="83"/>
        <v>#N/A</v>
      </c>
      <c r="AD190" s="376" t="e">
        <f t="shared" ca="1" si="84"/>
        <v>#N/A</v>
      </c>
      <c r="AE190" s="377">
        <f t="shared" ca="1" si="63"/>
        <v>123.68175547122119</v>
      </c>
      <c r="AF190" s="344"/>
      <c r="AG190" s="359">
        <f t="shared" ca="1" si="85"/>
        <v>53.936724380570531</v>
      </c>
      <c r="AH190" s="357">
        <f t="shared" ca="1" si="86"/>
        <v>63.516245477208727</v>
      </c>
    </row>
    <row r="191" spans="1:34" x14ac:dyDescent="0.2">
      <c r="A191" s="402">
        <f t="shared" ca="1" si="64"/>
        <v>0.01</v>
      </c>
      <c r="B191" s="357">
        <f t="shared" ca="1" si="65"/>
        <v>1.8700000000000014</v>
      </c>
      <c r="C191" s="342"/>
      <c r="D191" s="359">
        <f t="shared" ca="1" si="66"/>
        <v>13.655280901728403</v>
      </c>
      <c r="E191" s="360">
        <f t="shared" ca="1" si="67"/>
        <v>52.020957949576356</v>
      </c>
      <c r="F191" s="357">
        <f t="shared" ca="1" si="68"/>
        <v>53.78333164184513</v>
      </c>
      <c r="G191" s="359">
        <f t="shared" ca="1" si="69"/>
        <v>27.85411432435356</v>
      </c>
      <c r="H191" s="360">
        <f t="shared" ca="1" si="70"/>
        <v>126.02501558481423</v>
      </c>
      <c r="I191" s="357">
        <f t="shared" ca="1" si="71"/>
        <v>129.06647991615338</v>
      </c>
      <c r="J191" s="359">
        <f t="shared" ca="1" si="72"/>
        <v>25.853962461079171</v>
      </c>
      <c r="K191" s="360">
        <f t="shared" ca="1" si="73"/>
        <v>124.93940457917186</v>
      </c>
      <c r="L191" s="357">
        <f t="shared" ca="1" si="58"/>
        <v>127.5863714960845</v>
      </c>
      <c r="M191" s="359">
        <f t="shared" ca="1" si="74"/>
        <v>1.3532728245986856</v>
      </c>
      <c r="N191" s="357">
        <f t="shared" ca="1" si="75"/>
        <v>77.536821379252416</v>
      </c>
      <c r="O191" s="343"/>
      <c r="P191" s="363">
        <f t="shared" ca="1" si="76"/>
        <v>5</v>
      </c>
      <c r="Q191" s="357">
        <f t="shared" ca="1" si="77"/>
        <v>605.70999999999981</v>
      </c>
      <c r="R191" s="359">
        <f t="shared" ca="1" si="78"/>
        <v>0.30397762792889504</v>
      </c>
      <c r="S191" s="360">
        <f t="shared" ca="1" si="79"/>
        <v>8.7272669646856507</v>
      </c>
      <c r="T191" s="357">
        <f t="shared" ca="1" si="59"/>
        <v>85.614488923566242</v>
      </c>
      <c r="U191" s="364">
        <f t="shared" ca="1" si="60"/>
        <v>0</v>
      </c>
      <c r="V191" s="359">
        <f t="shared" ca="1" si="61"/>
        <v>1.2097899397327221</v>
      </c>
      <c r="W191" s="357">
        <f t="shared" ca="1" si="62"/>
        <v>53.529941807101231</v>
      </c>
      <c r="X191" s="343"/>
      <c r="Y191" s="367" t="str">
        <f t="shared" ca="1" si="80"/>
        <v/>
      </c>
      <c r="Z191" s="368" t="str">
        <f t="shared" ca="1" si="81"/>
        <v/>
      </c>
      <c r="AA191" s="369" t="str">
        <f t="shared" ca="1" si="82"/>
        <v/>
      </c>
      <c r="AB191" s="344"/>
      <c r="AC191" s="363" t="e">
        <f t="shared" ca="1" si="83"/>
        <v>#N/A</v>
      </c>
      <c r="AD191" s="376" t="e">
        <f t="shared" ca="1" si="84"/>
        <v>#N/A</v>
      </c>
      <c r="AE191" s="377">
        <f t="shared" ca="1" si="63"/>
        <v>124.93940457917186</v>
      </c>
      <c r="AF191" s="344"/>
      <c r="AG191" s="359">
        <f t="shared" ca="1" si="85"/>
        <v>53.741708412519571</v>
      </c>
      <c r="AH191" s="357">
        <f t="shared" ca="1" si="86"/>
        <v>63.320881685802419</v>
      </c>
    </row>
    <row r="192" spans="1:34" x14ac:dyDescent="0.2">
      <c r="A192" s="402">
        <f t="shared" ca="1" si="64"/>
        <v>0.01</v>
      </c>
      <c r="B192" s="357">
        <f t="shared" ca="1" si="65"/>
        <v>1.8800000000000014</v>
      </c>
      <c r="C192" s="342"/>
      <c r="D192" s="359">
        <f t="shared" ca="1" si="66"/>
        <v>13.623210007216631</v>
      </c>
      <c r="E192" s="360">
        <f t="shared" ca="1" si="67"/>
        <v>51.827761426633273</v>
      </c>
      <c r="F192" s="357">
        <f t="shared" ca="1" si="68"/>
        <v>53.588326204470533</v>
      </c>
      <c r="G192" s="359">
        <f t="shared" ca="1" si="69"/>
        <v>27.990346424425727</v>
      </c>
      <c r="H192" s="360">
        <f t="shared" ca="1" si="70"/>
        <v>126.54329319908057</v>
      </c>
      <c r="I192" s="357">
        <f t="shared" ca="1" si="71"/>
        <v>129.60194653873</v>
      </c>
      <c r="J192" s="359">
        <f t="shared" ca="1" si="72"/>
        <v>26.133184764823067</v>
      </c>
      <c r="K192" s="360">
        <f t="shared" ca="1" si="73"/>
        <v>126.20224612309134</v>
      </c>
      <c r="L192" s="357">
        <f t="shared" ca="1" si="58"/>
        <v>128.87959602848585</v>
      </c>
      <c r="M192" s="359">
        <f t="shared" ca="1" si="74"/>
        <v>1.3531094692446719</v>
      </c>
      <c r="N192" s="357">
        <f t="shared" ca="1" si="75"/>
        <v>77.527461806906572</v>
      </c>
      <c r="O192" s="343"/>
      <c r="P192" s="363">
        <f t="shared" ca="1" si="76"/>
        <v>5</v>
      </c>
      <c r="Q192" s="357">
        <f t="shared" ca="1" si="77"/>
        <v>604.24999999999977</v>
      </c>
      <c r="R192" s="359">
        <f t="shared" ca="1" si="78"/>
        <v>0.30324492195280717</v>
      </c>
      <c r="S192" s="360">
        <f t="shared" ca="1" si="79"/>
        <v>8.7242345154661223</v>
      </c>
      <c r="T192" s="357">
        <f t="shared" ca="1" si="59"/>
        <v>85.584740596722668</v>
      </c>
      <c r="U192" s="364">
        <f t="shared" ca="1" si="60"/>
        <v>0</v>
      </c>
      <c r="V192" s="359">
        <f t="shared" ca="1" si="61"/>
        <v>1.2096371660574397</v>
      </c>
      <c r="W192" s="357">
        <f t="shared" ca="1" si="62"/>
        <v>53.96821355330561</v>
      </c>
      <c r="X192" s="343"/>
      <c r="Y192" s="367" t="str">
        <f t="shared" ca="1" si="80"/>
        <v/>
      </c>
      <c r="Z192" s="368" t="str">
        <f t="shared" ca="1" si="81"/>
        <v/>
      </c>
      <c r="AA192" s="369" t="str">
        <f t="shared" ca="1" si="82"/>
        <v/>
      </c>
      <c r="AB192" s="344"/>
      <c r="AC192" s="363" t="e">
        <f t="shared" ca="1" si="83"/>
        <v>#N/A</v>
      </c>
      <c r="AD192" s="376" t="e">
        <f t="shared" ca="1" si="84"/>
        <v>#N/A</v>
      </c>
      <c r="AE192" s="377">
        <f t="shared" ca="1" si="63"/>
        <v>126.20224612309134</v>
      </c>
      <c r="AF192" s="344"/>
      <c r="AG192" s="359">
        <f t="shared" ca="1" si="85"/>
        <v>53.546489336447955</v>
      </c>
      <c r="AH192" s="357">
        <f t="shared" ca="1" si="86"/>
        <v>63.125315718713743</v>
      </c>
    </row>
    <row r="193" spans="1:34" x14ac:dyDescent="0.2">
      <c r="A193" s="402">
        <f t="shared" ca="1" si="64"/>
        <v>0.01</v>
      </c>
      <c r="B193" s="357">
        <f t="shared" ca="1" si="65"/>
        <v>1.8900000000000015</v>
      </c>
      <c r="C193" s="342"/>
      <c r="D193" s="359">
        <f t="shared" ca="1" si="66"/>
        <v>13.590998934016225</v>
      </c>
      <c r="E193" s="360">
        <f t="shared" ca="1" si="67"/>
        <v>51.634390037087293</v>
      </c>
      <c r="F193" s="357">
        <f t="shared" ca="1" si="68"/>
        <v>53.393122090082819</v>
      </c>
      <c r="G193" s="359">
        <f t="shared" ca="1" si="69"/>
        <v>28.126256413765891</v>
      </c>
      <c r="H193" s="360">
        <f t="shared" ca="1" si="70"/>
        <v>127.05963709945144</v>
      </c>
      <c r="I193" s="357">
        <f t="shared" ca="1" si="71"/>
        <v>130.13545896371673</v>
      </c>
      <c r="J193" s="359">
        <f t="shared" ca="1" si="72"/>
        <v>26.413767779014027</v>
      </c>
      <c r="K193" s="360">
        <f t="shared" ca="1" si="73"/>
        <v>127.47026077458401</v>
      </c>
      <c r="L193" s="357">
        <f t="shared" ca="1" si="58"/>
        <v>130.17816449091657</v>
      </c>
      <c r="M193" s="359">
        <f t="shared" ca="1" si="74"/>
        <v>1.3529466633555696</v>
      </c>
      <c r="N193" s="357">
        <f t="shared" ca="1" si="75"/>
        <v>77.518133716581133</v>
      </c>
      <c r="O193" s="343"/>
      <c r="P193" s="363">
        <f t="shared" ca="1" si="76"/>
        <v>5</v>
      </c>
      <c r="Q193" s="357">
        <f t="shared" ca="1" si="77"/>
        <v>602.78999999999974</v>
      </c>
      <c r="R193" s="359">
        <f t="shared" ca="1" si="78"/>
        <v>0.30251221597671929</v>
      </c>
      <c r="S193" s="360">
        <f t="shared" ca="1" si="79"/>
        <v>8.7212093933063546</v>
      </c>
      <c r="T193" s="357">
        <f t="shared" ca="1" si="59"/>
        <v>85.555064148335347</v>
      </c>
      <c r="U193" s="364">
        <f t="shared" ca="1" si="60"/>
        <v>0</v>
      </c>
      <c r="V193" s="359">
        <f t="shared" ca="1" si="61"/>
        <v>1.2094837858483209</v>
      </c>
      <c r="W193" s="357">
        <f t="shared" ca="1" si="62"/>
        <v>54.406553859726792</v>
      </c>
      <c r="X193" s="343"/>
      <c r="Y193" s="367" t="str">
        <f t="shared" ca="1" si="80"/>
        <v/>
      </c>
      <c r="Z193" s="368" t="str">
        <f t="shared" ca="1" si="81"/>
        <v/>
      </c>
      <c r="AA193" s="369" t="str">
        <f t="shared" ca="1" si="82"/>
        <v/>
      </c>
      <c r="AB193" s="344"/>
      <c r="AC193" s="363" t="e">
        <f t="shared" ca="1" si="83"/>
        <v>#N/A</v>
      </c>
      <c r="AD193" s="376" t="e">
        <f t="shared" ca="1" si="84"/>
        <v>#N/A</v>
      </c>
      <c r="AE193" s="377">
        <f t="shared" ca="1" si="63"/>
        <v>127.47026077458401</v>
      </c>
      <c r="AF193" s="344"/>
      <c r="AG193" s="359">
        <f t="shared" ca="1" si="85"/>
        <v>53.351070031727104</v>
      </c>
      <c r="AH193" s="357">
        <f t="shared" ca="1" si="86"/>
        <v>62.929550443763247</v>
      </c>
    </row>
    <row r="194" spans="1:34" x14ac:dyDescent="0.2">
      <c r="A194" s="402">
        <f t="shared" ca="1" si="64"/>
        <v>0.01</v>
      </c>
      <c r="B194" s="357">
        <f t="shared" ca="1" si="65"/>
        <v>1.9000000000000015</v>
      </c>
      <c r="C194" s="342"/>
      <c r="D194" s="359">
        <f t="shared" ca="1" si="66"/>
        <v>13.558648935977613</v>
      </c>
      <c r="E194" s="360">
        <f t="shared" ca="1" si="67"/>
        <v>51.440846469600061</v>
      </c>
      <c r="F194" s="357">
        <f t="shared" ca="1" si="68"/>
        <v>53.197722192571852</v>
      </c>
      <c r="G194" s="359">
        <f t="shared" ca="1" si="69"/>
        <v>28.261842903125668</v>
      </c>
      <c r="H194" s="360">
        <f t="shared" ca="1" si="70"/>
        <v>127.57404556414744</v>
      </c>
      <c r="I194" s="357">
        <f t="shared" ca="1" si="71"/>
        <v>130.66701521762911</v>
      </c>
      <c r="J194" s="359">
        <f t="shared" ca="1" si="72"/>
        <v>26.695708275598484</v>
      </c>
      <c r="K194" s="360">
        <f t="shared" ca="1" si="73"/>
        <v>128.743429187902</v>
      </c>
      <c r="L194" s="357">
        <f t="shared" ca="1" si="58"/>
        <v>131.48205732873285</v>
      </c>
      <c r="M194" s="359">
        <f t="shared" ca="1" si="74"/>
        <v>1.3527844004224658</v>
      </c>
      <c r="N194" s="357">
        <f t="shared" ca="1" si="75"/>
        <v>77.508836735342868</v>
      </c>
      <c r="O194" s="343"/>
      <c r="P194" s="363">
        <f t="shared" ca="1" si="76"/>
        <v>5</v>
      </c>
      <c r="Q194" s="357">
        <f t="shared" ca="1" si="77"/>
        <v>601.32999999999981</v>
      </c>
      <c r="R194" s="359">
        <f t="shared" ca="1" si="78"/>
        <v>0.30177951000063147</v>
      </c>
      <c r="S194" s="360">
        <f t="shared" ca="1" si="79"/>
        <v>8.7181915982063476</v>
      </c>
      <c r="T194" s="357">
        <f t="shared" ca="1" si="59"/>
        <v>85.525459578404281</v>
      </c>
      <c r="U194" s="364">
        <f t="shared" ca="1" si="60"/>
        <v>0</v>
      </c>
      <c r="V194" s="359">
        <f t="shared" ca="1" si="61"/>
        <v>1.2093298016778842</v>
      </c>
      <c r="W194" s="357">
        <f t="shared" ca="1" si="62"/>
        <v>54.844940343269968</v>
      </c>
      <c r="X194" s="343"/>
      <c r="Y194" s="367" t="str">
        <f t="shared" ca="1" si="80"/>
        <v/>
      </c>
      <c r="Z194" s="368" t="str">
        <f t="shared" ca="1" si="81"/>
        <v/>
      </c>
      <c r="AA194" s="369" t="str">
        <f t="shared" ca="1" si="82"/>
        <v/>
      </c>
      <c r="AB194" s="344"/>
      <c r="AC194" s="363" t="e">
        <f t="shared" ca="1" si="83"/>
        <v>#N/A</v>
      </c>
      <c r="AD194" s="376" t="e">
        <f t="shared" ca="1" si="84"/>
        <v>#N/A</v>
      </c>
      <c r="AE194" s="377">
        <f t="shared" ca="1" si="63"/>
        <v>128.743429187902</v>
      </c>
      <c r="AF194" s="344"/>
      <c r="AG194" s="359">
        <f t="shared" ca="1" si="85"/>
        <v>53.155453372951762</v>
      </c>
      <c r="AH194" s="357">
        <f t="shared" ca="1" si="86"/>
        <v>62.733588724156419</v>
      </c>
    </row>
    <row r="195" spans="1:34" x14ac:dyDescent="0.2">
      <c r="A195" s="402">
        <f t="shared" ca="1" si="64"/>
        <v>0.01</v>
      </c>
      <c r="B195" s="357">
        <f t="shared" ca="1" si="65"/>
        <v>1.9100000000000015</v>
      </c>
      <c r="C195" s="342"/>
      <c r="D195" s="359">
        <f t="shared" ca="1" si="66"/>
        <v>13.526161257228916</v>
      </c>
      <c r="E195" s="360">
        <f t="shared" ca="1" si="67"/>
        <v>51.247133409615074</v>
      </c>
      <c r="F195" s="357">
        <f t="shared" ca="1" si="68"/>
        <v>53.002129401180156</v>
      </c>
      <c r="G195" s="359">
        <f t="shared" ca="1" si="69"/>
        <v>28.397104515697958</v>
      </c>
      <c r="H195" s="360">
        <f t="shared" ca="1" si="70"/>
        <v>128.08651689824359</v>
      </c>
      <c r="I195" s="357">
        <f t="shared" ca="1" si="71"/>
        <v>131.19661335567895</v>
      </c>
      <c r="J195" s="359">
        <f t="shared" ca="1" si="72"/>
        <v>26.979003012692601</v>
      </c>
      <c r="K195" s="360">
        <f t="shared" ca="1" si="73"/>
        <v>130.02173200021394</v>
      </c>
      <c r="L195" s="357">
        <f t="shared" ca="1" si="58"/>
        <v>132.79125496769106</v>
      </c>
      <c r="M195" s="359">
        <f t="shared" ca="1" si="74"/>
        <v>1.3526226740326603</v>
      </c>
      <c r="N195" s="357">
        <f t="shared" ca="1" si="75"/>
        <v>77.499570495771124</v>
      </c>
      <c r="O195" s="343"/>
      <c r="P195" s="363">
        <f t="shared" ca="1" si="76"/>
        <v>5</v>
      </c>
      <c r="Q195" s="357">
        <f t="shared" ca="1" si="77"/>
        <v>599.86999999999978</v>
      </c>
      <c r="R195" s="359">
        <f t="shared" ca="1" si="78"/>
        <v>0.30104680402454354</v>
      </c>
      <c r="S195" s="360">
        <f t="shared" ca="1" si="79"/>
        <v>8.7151811301661013</v>
      </c>
      <c r="T195" s="357">
        <f t="shared" ca="1" si="59"/>
        <v>85.495926886929453</v>
      </c>
      <c r="U195" s="364">
        <f t="shared" ca="1" si="60"/>
        <v>0</v>
      </c>
      <c r="V195" s="359">
        <f t="shared" ca="1" si="61"/>
        <v>1.2091752161204015</v>
      </c>
      <c r="W195" s="357">
        <f t="shared" ca="1" si="62"/>
        <v>55.283350706128694</v>
      </c>
      <c r="X195" s="343"/>
      <c r="Y195" s="367" t="str">
        <f t="shared" ca="1" si="80"/>
        <v/>
      </c>
      <c r="Z195" s="368" t="str">
        <f t="shared" ca="1" si="81"/>
        <v/>
      </c>
      <c r="AA195" s="369" t="str">
        <f t="shared" ca="1" si="82"/>
        <v/>
      </c>
      <c r="AB195" s="344"/>
      <c r="AC195" s="363" t="e">
        <f t="shared" ca="1" si="83"/>
        <v>#N/A</v>
      </c>
      <c r="AD195" s="376" t="e">
        <f t="shared" ca="1" si="84"/>
        <v>#N/A</v>
      </c>
      <c r="AE195" s="377">
        <f t="shared" ca="1" si="63"/>
        <v>130.02173200021394</v>
      </c>
      <c r="AF195" s="344"/>
      <c r="AG195" s="359">
        <f t="shared" ca="1" si="85"/>
        <v>52.959642229821839</v>
      </c>
      <c r="AH195" s="357">
        <f t="shared" ca="1" si="86"/>
        <v>62.537433418362269</v>
      </c>
    </row>
    <row r="196" spans="1:34" x14ac:dyDescent="0.2">
      <c r="A196" s="402">
        <f t="shared" ca="1" si="64"/>
        <v>0.01</v>
      </c>
      <c r="B196" s="357">
        <f t="shared" ca="1" si="65"/>
        <v>1.9200000000000015</v>
      </c>
      <c r="C196" s="342"/>
      <c r="D196" s="359">
        <f t="shared" ca="1" si="66"/>
        <v>13.49353713233854</v>
      </c>
      <c r="E196" s="360">
        <f t="shared" ca="1" si="67"/>
        <v>51.053253539209564</v>
      </c>
      <c r="F196" s="357">
        <f t="shared" ca="1" si="68"/>
        <v>52.806346600390874</v>
      </c>
      <c r="G196" s="359">
        <f t="shared" ca="1" si="69"/>
        <v>28.532039887021345</v>
      </c>
      <c r="H196" s="360">
        <f t="shared" ca="1" si="70"/>
        <v>128.59704943363568</v>
      </c>
      <c r="I196" s="357">
        <f t="shared" ca="1" si="71"/>
        <v>131.72425146172407</v>
      </c>
      <c r="J196" s="359">
        <f t="shared" ca="1" si="72"/>
        <v>27.263648734706198</v>
      </c>
      <c r="K196" s="360">
        <f t="shared" ca="1" si="73"/>
        <v>131.30514983187334</v>
      </c>
      <c r="L196" s="357">
        <f t="shared" ref="L196:L259" ca="1" si="87">SQRT(pos_x^2+pos_z^2)</f>
        <v>134.10573781423432</v>
      </c>
      <c r="M196" s="359">
        <f t="shared" ca="1" si="74"/>
        <v>1.3524614778676798</v>
      </c>
      <c r="N196" s="357">
        <f t="shared" ca="1" si="75"/>
        <v>77.49033463584405</v>
      </c>
      <c r="O196" s="343"/>
      <c r="P196" s="363">
        <f t="shared" ca="1" si="76"/>
        <v>5</v>
      </c>
      <c r="Q196" s="357">
        <f t="shared" ca="1" si="77"/>
        <v>598.40999999999974</v>
      </c>
      <c r="R196" s="359">
        <f t="shared" ca="1" si="78"/>
        <v>0.30031409804845566</v>
      </c>
      <c r="S196" s="360">
        <f t="shared" ca="1" si="79"/>
        <v>8.7121779891856175</v>
      </c>
      <c r="T196" s="357">
        <f t="shared" ref="T196:T259" ca="1" si="88">m*g</f>
        <v>85.466466073910908</v>
      </c>
      <c r="U196" s="364">
        <f t="shared" ref="U196:U259" ca="1" si="89">IF(pos_xz&lt;L_rampe,Poids*COS(Beta),0)</f>
        <v>0</v>
      </c>
      <c r="V196" s="359">
        <f t="shared" ref="V196:V259" ca="1" si="90">Rho_moyen*(20000-Alt_rampe-pos_z)/(20000+Alt_rampe+pos_z)</f>
        <v>1.209020031751852</v>
      </c>
      <c r="W196" s="357">
        <f t="shared" ref="W196:W259" ca="1" si="91">1/2*Rho*Sref*Cx*vit_xz^2</f>
        <v>55.72176273654437</v>
      </c>
      <c r="X196" s="343"/>
      <c r="Y196" s="367" t="str">
        <f t="shared" ca="1" si="80"/>
        <v/>
      </c>
      <c r="Z196" s="368" t="str">
        <f t="shared" ca="1" si="81"/>
        <v/>
      </c>
      <c r="AA196" s="369" t="str">
        <f t="shared" ca="1" si="82"/>
        <v/>
      </c>
      <c r="AB196" s="344"/>
      <c r="AC196" s="363" t="e">
        <f t="shared" ca="1" si="83"/>
        <v>#N/A</v>
      </c>
      <c r="AD196" s="376" t="e">
        <f t="shared" ca="1" si="84"/>
        <v>#N/A</v>
      </c>
      <c r="AE196" s="377">
        <f t="shared" ref="AE196:AE259" ca="1" si="92">IF(t&lt;T_para, pos_z, NA())</f>
        <v>131.30514983187334</v>
      </c>
      <c r="AF196" s="344"/>
      <c r="AG196" s="359">
        <f t="shared" ca="1" si="85"/>
        <v>52.763639467025222</v>
      </c>
      <c r="AH196" s="357">
        <f t="shared" ca="1" si="86"/>
        <v>62.341087379992864</v>
      </c>
    </row>
    <row r="197" spans="1:34" x14ac:dyDescent="0.2">
      <c r="A197" s="402">
        <f t="shared" ref="A197:A260" ca="1" si="93">IF(B196+0.01&lt;=T_ini+ROUNDUP(Temps_fin_propu,0), 0.01, IF(K196&gt;0, 0.1, 0.0001))</f>
        <v>0.01</v>
      </c>
      <c r="B197" s="357">
        <f t="shared" ref="B197:B260" ca="1" si="94">B196+pas</f>
        <v>1.9300000000000015</v>
      </c>
      <c r="C197" s="342"/>
      <c r="D197" s="359">
        <f t="shared" ref="D197:D260" ca="1" si="95">IF(AND(L196&lt;L_rampe,Poussee&lt;Poids*SIN(M196)),0,(-W196+Poussee)/m*COS(M196)-U196/m*SIN(M196))</f>
        <v>13.460777786473024</v>
      </c>
      <c r="E197" s="360">
        <f t="shared" ref="E197:E260" ca="1" si="96">IF(AND(L196&lt;L_rampe,Poussee&lt;Poids*SIN(M196)),0,(-W196+Poussee)/m*SIN(M196)+U196/m*COS(M196)-Poids/m)</f>
        <v>50.859209536948015</v>
      </c>
      <c r="F197" s="357">
        <f t="shared" ref="F197:F260" ca="1" si="97">SQRT(acc_x^2+acc_z^2)</f>
        <v>52.610376669816667</v>
      </c>
      <c r="G197" s="359">
        <f t="shared" ref="G197:G260" ca="1" si="98">G196+acc_x*pas</f>
        <v>28.666647664886074</v>
      </c>
      <c r="H197" s="360">
        <f t="shared" ref="H197:H260" ca="1" si="99">H196+acc_z*pas</f>
        <v>129.10564152900517</v>
      </c>
      <c r="I197" s="357">
        <f t="shared" ref="I197:I260" ca="1" si="100">SQRT(vit_x^2+vit_z^2)</f>
        <v>132.24992764821727</v>
      </c>
      <c r="J197" s="359">
        <f t="shared" ref="J197:J260" ca="1" si="101">J196+0.5*(vit_x+G196)*pas*(K196&gt;=0)</f>
        <v>27.549642172465735</v>
      </c>
      <c r="K197" s="360">
        <f t="shared" ref="K197:K260" ca="1" si="102">K196+0.5*(vit_z+H196)*pas</f>
        <v>132.59366328668654</v>
      </c>
      <c r="L197" s="357">
        <f t="shared" ca="1" si="87"/>
        <v>135.42548625577871</v>
      </c>
      <c r="M197" s="359">
        <f t="shared" ref="M197:M260" ca="1" si="103">IF(AND(L196&gt;L_rampe,G197&gt;0),ATAN2(G197,H197),$M$4)</f>
        <v>1.3523008057013453</v>
      </c>
      <c r="N197" s="357">
        <f t="shared" ref="N197:N260" ca="1" si="104">DEGREES(Beta)</f>
        <v>77.481128798827854</v>
      </c>
      <c r="O197" s="343"/>
      <c r="P197" s="363">
        <f t="shared" ref="P197:P260" ca="1" si="105">MATCH(t-pas/2-T_ini,CdP_t)</f>
        <v>5</v>
      </c>
      <c r="Q197" s="357">
        <f t="shared" ref="Q197:Q260" ca="1" si="106">(INDEX(CdP,2,i_P+1)-INDEX(CdP,2,i_P+0))/(INDEX(CdP,1,i_P+1)-INDEX(CdP,1,i_P+0))*(t-pas/2-T_ini-INDEX(CdP,1,i_P+0))+INDEX(CdP,2,i_P+0)</f>
        <v>596.94999999999982</v>
      </c>
      <c r="R197" s="359">
        <f t="shared" ref="R197:R260" ca="1" si="107">Poussee/(g*ISP)</f>
        <v>0.29958139207236784</v>
      </c>
      <c r="S197" s="360">
        <f t="shared" ref="S197:S260" ca="1" si="108">S196-Débit*pas</f>
        <v>8.7091821752648944</v>
      </c>
      <c r="T197" s="357">
        <f t="shared" ca="1" si="88"/>
        <v>85.437077139348617</v>
      </c>
      <c r="U197" s="364">
        <f t="shared" ca="1" si="89"/>
        <v>0</v>
      </c>
      <c r="V197" s="359">
        <f t="shared" ca="1" si="90"/>
        <v>1.2088642511498766</v>
      </c>
      <c r="W197" s="357">
        <f t="shared" ca="1" si="91"/>
        <v>56.16015430955683</v>
      </c>
      <c r="X197" s="343"/>
      <c r="Y197" s="367" t="str">
        <f t="shared" ref="Y197:Y260" ca="1" si="109">IF(AND(pos_z&lt;=0,K196&gt;0),"Impact balistique","") &amp; IF(AND(H198&lt;0,vit_z&gt;=0),"Apogée","") &amp; IF(AND(Poussee=0,Q196&gt;0),"Fin de propulsion","") &amp; IF(AND(L198&gt;L_rampe,pos_xz&lt;=L_rampe),"Sortie de rampe","")</f>
        <v/>
      </c>
      <c r="Z197" s="368" t="str">
        <f t="shared" ref="Z197:Z260" ca="1" si="110">IF(ABS(t-T_para)&lt;pas/2,"Para","")</f>
        <v/>
      </c>
      <c r="AA197" s="369" t="str">
        <f t="shared" ref="AA197:AA260" ca="1" si="111">IF(ABS(t-T_satellite)&lt;pas/2,"Satellite","")</f>
        <v/>
      </c>
      <c r="AB197" s="344"/>
      <c r="AC197" s="363" t="e">
        <f t="shared" ref="AC197:AC260" ca="1" si="112">IF(ABS(t-ROUND(t,0))&lt;0.001,t,NA())</f>
        <v>#N/A</v>
      </c>
      <c r="AD197" s="376" t="e">
        <f t="shared" ref="AD197:AD260" ca="1" si="113">IF(ABS(t-ROUND(t,0))&lt;0.001,pos_x,NA())</f>
        <v>#N/A</v>
      </c>
      <c r="AE197" s="377">
        <f t="shared" ca="1" si="92"/>
        <v>132.59366328668654</v>
      </c>
      <c r="AF197" s="344"/>
      <c r="AG197" s="359">
        <f t="shared" ref="AG197:AG260" ca="1" si="114">IF(AND(L196&lt;L_rampe,Poussee&lt;Poids*SIN(M196)),0,(-W196+Poussee)/m-Poids*SIN(M196)/m)</f>
        <v>52.567447944121255</v>
      </c>
      <c r="AH197" s="357">
        <f t="shared" ref="AH197:AH260" ca="1" si="115">IF(AND(L196&lt;L_rampe,Poussee&lt;Poids*SIN(M196)), g*SIN(M196), (-W196+Poussee)/m)</f>
        <v>62.14455345768372</v>
      </c>
    </row>
    <row r="198" spans="1:34" x14ac:dyDescent="0.2">
      <c r="A198" s="402">
        <f t="shared" ca="1" si="93"/>
        <v>0.01</v>
      </c>
      <c r="B198" s="357">
        <f t="shared" ca="1" si="94"/>
        <v>1.9400000000000015</v>
      </c>
      <c r="C198" s="342"/>
      <c r="D198" s="359">
        <f t="shared" ca="1" si="95"/>
        <v>13.427884435550109</v>
      </c>
      <c r="E198" s="360">
        <f t="shared" ca="1" si="96"/>
        <v>50.665004077737194</v>
      </c>
      <c r="F198" s="357">
        <f t="shared" ca="1" si="97"/>
        <v>52.414222484089329</v>
      </c>
      <c r="G198" s="359">
        <f t="shared" ca="1" si="98"/>
        <v>28.800926509241574</v>
      </c>
      <c r="H198" s="360">
        <f t="shared" ca="1" si="99"/>
        <v>129.61229156978254</v>
      </c>
      <c r="I198" s="357">
        <f t="shared" ca="1" si="100"/>
        <v>132.77364005615368</v>
      </c>
      <c r="J198" s="359">
        <f t="shared" ca="1" si="101"/>
        <v>27.836980043336371</v>
      </c>
      <c r="K198" s="360">
        <f t="shared" ca="1" si="102"/>
        <v>133.88725295218046</v>
      </c>
      <c r="L198" s="357">
        <f t="shared" ca="1" si="87"/>
        <v>136.75048066099899</v>
      </c>
      <c r="M198" s="359">
        <f t="shared" ca="1" si="103"/>
        <v>1.3521406513978864</v>
      </c>
      <c r="N198" s="357">
        <f t="shared" ca="1" si="104"/>
        <v>77.471952633168812</v>
      </c>
      <c r="O198" s="343"/>
      <c r="P198" s="363">
        <f t="shared" ca="1" si="105"/>
        <v>5</v>
      </c>
      <c r="Q198" s="357">
        <f t="shared" ca="1" si="106"/>
        <v>595.48999999999978</v>
      </c>
      <c r="R198" s="359">
        <f t="shared" ca="1" si="107"/>
        <v>0.2988486860962799</v>
      </c>
      <c r="S198" s="360">
        <f t="shared" ca="1" si="108"/>
        <v>8.7061936884039319</v>
      </c>
      <c r="T198" s="357">
        <f t="shared" ca="1" si="88"/>
        <v>85.407760083242579</v>
      </c>
      <c r="U198" s="364">
        <f t="shared" ca="1" si="89"/>
        <v>0</v>
      </c>
      <c r="V198" s="359">
        <f t="shared" ca="1" si="90"/>
        <v>1.2087078768937309</v>
      </c>
      <c r="W198" s="357">
        <f t="shared" ca="1" si="91"/>
        <v>56.598503387745268</v>
      </c>
      <c r="X198" s="343"/>
      <c r="Y198" s="367" t="str">
        <f t="shared" ca="1" si="109"/>
        <v/>
      </c>
      <c r="Z198" s="368" t="str">
        <f t="shared" ca="1" si="110"/>
        <v/>
      </c>
      <c r="AA198" s="369" t="str">
        <f t="shared" ca="1" si="111"/>
        <v/>
      </c>
      <c r="AB198" s="344"/>
      <c r="AC198" s="363" t="e">
        <f t="shared" ca="1" si="112"/>
        <v>#N/A</v>
      </c>
      <c r="AD198" s="376" t="e">
        <f t="shared" ca="1" si="113"/>
        <v>#N/A</v>
      </c>
      <c r="AE198" s="377">
        <f t="shared" ca="1" si="92"/>
        <v>133.88725295218046</v>
      </c>
      <c r="AF198" s="344"/>
      <c r="AG198" s="359">
        <f t="shared" ca="1" si="114"/>
        <v>52.371070515425032</v>
      </c>
      <c r="AH198" s="357">
        <f t="shared" ca="1" si="115"/>
        <v>61.947834494975034</v>
      </c>
    </row>
    <row r="199" spans="1:34" x14ac:dyDescent="0.2">
      <c r="A199" s="402">
        <f t="shared" ca="1" si="93"/>
        <v>0.01</v>
      </c>
      <c r="B199" s="357">
        <f t="shared" ca="1" si="94"/>
        <v>1.9500000000000015</v>
      </c>
      <c r="C199" s="342"/>
      <c r="D199" s="359">
        <f t="shared" ca="1" si="95"/>
        <v>13.3948582863874</v>
      </c>
      <c r="E199" s="360">
        <f t="shared" ca="1" si="96"/>
        <v>50.470639832682906</v>
      </c>
      <c r="F199" s="357">
        <f t="shared" ca="1" si="97"/>
        <v>52.217886912750494</v>
      </c>
      <c r="G199" s="359">
        <f t="shared" ca="1" si="98"/>
        <v>28.934875092105447</v>
      </c>
      <c r="H199" s="360">
        <f t="shared" ca="1" si="99"/>
        <v>130.11699796810936</v>
      </c>
      <c r="I199" s="357">
        <f t="shared" ca="1" si="100"/>
        <v>133.29538685501731</v>
      </c>
      <c r="J199" s="359">
        <f t="shared" ca="1" si="101"/>
        <v>28.125659051343106</v>
      </c>
      <c r="K199" s="360">
        <f t="shared" ca="1" si="102"/>
        <v>135.18589939986992</v>
      </c>
      <c r="L199" s="357">
        <f t="shared" ca="1" si="87"/>
        <v>138.08070138011377</v>
      </c>
      <c r="M199" s="359">
        <f t="shared" ca="1" si="103"/>
        <v>1.3519810089101059</v>
      </c>
      <c r="N199" s="357">
        <f t="shared" ca="1" si="104"/>
        <v>77.462805792388011</v>
      </c>
      <c r="O199" s="343"/>
      <c r="P199" s="363">
        <f t="shared" ca="1" si="105"/>
        <v>5</v>
      </c>
      <c r="Q199" s="357">
        <f t="shared" ca="1" si="106"/>
        <v>594.02999999999975</v>
      </c>
      <c r="R199" s="359">
        <f t="shared" ca="1" si="107"/>
        <v>0.29811598012019203</v>
      </c>
      <c r="S199" s="360">
        <f t="shared" ca="1" si="108"/>
        <v>8.7032125286027302</v>
      </c>
      <c r="T199" s="357">
        <f t="shared" ca="1" si="88"/>
        <v>85.378514905592795</v>
      </c>
      <c r="U199" s="364">
        <f t="shared" ca="1" si="89"/>
        <v>0</v>
      </c>
      <c r="V199" s="359">
        <f t="shared" ca="1" si="90"/>
        <v>1.208550911564241</v>
      </c>
      <c r="W199" s="357">
        <f t="shared" ca="1" si="91"/>
        <v>57.036788021960213</v>
      </c>
      <c r="X199" s="343"/>
      <c r="Y199" s="367" t="str">
        <f t="shared" ca="1" si="109"/>
        <v/>
      </c>
      <c r="Z199" s="368" t="str">
        <f t="shared" ca="1" si="110"/>
        <v/>
      </c>
      <c r="AA199" s="369" t="str">
        <f t="shared" ca="1" si="111"/>
        <v/>
      </c>
      <c r="AB199" s="344"/>
      <c r="AC199" s="363" t="e">
        <f t="shared" ca="1" si="112"/>
        <v>#N/A</v>
      </c>
      <c r="AD199" s="376" t="e">
        <f t="shared" ca="1" si="113"/>
        <v>#N/A</v>
      </c>
      <c r="AE199" s="377">
        <f t="shared" ca="1" si="92"/>
        <v>135.18589939986992</v>
      </c>
      <c r="AF199" s="344"/>
      <c r="AG199" s="359">
        <f t="shared" ca="1" si="114"/>
        <v>52.174510029892502</v>
      </c>
      <c r="AH199" s="357">
        <f t="shared" ca="1" si="115"/>
        <v>61.750933330193789</v>
      </c>
    </row>
    <row r="200" spans="1:34" x14ac:dyDescent="0.2">
      <c r="A200" s="402">
        <f t="shared" ca="1" si="93"/>
        <v>0.01</v>
      </c>
      <c r="B200" s="357">
        <f t="shared" ca="1" si="94"/>
        <v>1.9600000000000015</v>
      </c>
      <c r="C200" s="342"/>
      <c r="D200" s="359">
        <f t="shared" ca="1" si="95"/>
        <v>13.36170053684654</v>
      </c>
      <c r="E200" s="360">
        <f t="shared" ca="1" si="96"/>
        <v>50.276119468948409</v>
      </c>
      <c r="F200" s="357">
        <f t="shared" ca="1" si="97"/>
        <v>52.021372820143242</v>
      </c>
      <c r="G200" s="359">
        <f t="shared" ca="1" si="98"/>
        <v>29.068492097473911</v>
      </c>
      <c r="H200" s="360">
        <f t="shared" ca="1" si="99"/>
        <v>130.61975916279886</v>
      </c>
      <c r="I200" s="357">
        <f t="shared" ca="1" si="100"/>
        <v>133.81516624272632</v>
      </c>
      <c r="J200" s="359">
        <f t="shared" ca="1" si="101"/>
        <v>28.415675887291002</v>
      </c>
      <c r="K200" s="360">
        <f t="shared" ca="1" si="102"/>
        <v>136.48958318552445</v>
      </c>
      <c r="L200" s="357">
        <f t="shared" ca="1" si="87"/>
        <v>139.41612874516983</v>
      </c>
      <c r="M200" s="359">
        <f t="shared" ca="1" si="103"/>
        <v>1.3518218722775865</v>
      </c>
      <c r="N200" s="357">
        <f t="shared" ca="1" si="104"/>
        <v>77.453687934978731</v>
      </c>
      <c r="O200" s="343"/>
      <c r="P200" s="363">
        <f t="shared" ca="1" si="105"/>
        <v>5</v>
      </c>
      <c r="Q200" s="357">
        <f t="shared" ca="1" si="106"/>
        <v>592.56999999999971</v>
      </c>
      <c r="R200" s="359">
        <f t="shared" ca="1" si="107"/>
        <v>0.29738327414410415</v>
      </c>
      <c r="S200" s="360">
        <f t="shared" ca="1" si="108"/>
        <v>8.7002386958612892</v>
      </c>
      <c r="T200" s="357">
        <f t="shared" ca="1" si="88"/>
        <v>85.34934160639925</v>
      </c>
      <c r="U200" s="364">
        <f t="shared" ca="1" si="89"/>
        <v>0</v>
      </c>
      <c r="V200" s="359">
        <f t="shared" ca="1" si="90"/>
        <v>1.2083933577437567</v>
      </c>
      <c r="W200" s="357">
        <f t="shared" ca="1" si="91"/>
        <v>57.474986352046038</v>
      </c>
      <c r="X200" s="343"/>
      <c r="Y200" s="367" t="str">
        <f t="shared" ca="1" si="109"/>
        <v/>
      </c>
      <c r="Z200" s="368" t="str">
        <f t="shared" ca="1" si="110"/>
        <v/>
      </c>
      <c r="AA200" s="369" t="str">
        <f t="shared" ca="1" si="111"/>
        <v/>
      </c>
      <c r="AB200" s="344"/>
      <c r="AC200" s="363" t="e">
        <f t="shared" ca="1" si="112"/>
        <v>#N/A</v>
      </c>
      <c r="AD200" s="376" t="e">
        <f t="shared" ca="1" si="113"/>
        <v>#N/A</v>
      </c>
      <c r="AE200" s="377">
        <f t="shared" ca="1" si="92"/>
        <v>136.48958318552445</v>
      </c>
      <c r="AF200" s="344"/>
      <c r="AG200" s="359">
        <f t="shared" ca="1" si="114"/>
        <v>51.977769331006435</v>
      </c>
      <c r="AH200" s="357">
        <f t="shared" ca="1" si="115"/>
        <v>61.553852796336855</v>
      </c>
    </row>
    <row r="201" spans="1:34" x14ac:dyDescent="0.2">
      <c r="A201" s="402">
        <f t="shared" ca="1" si="93"/>
        <v>0.01</v>
      </c>
      <c r="B201" s="357">
        <f t="shared" ca="1" si="94"/>
        <v>1.9700000000000015</v>
      </c>
      <c r="C201" s="342"/>
      <c r="D201" s="359">
        <f t="shared" ca="1" si="95"/>
        <v>13.32841237597329</v>
      </c>
      <c r="E201" s="360">
        <f t="shared" ca="1" si="96"/>
        <v>50.081445649614238</v>
      </c>
      <c r="F201" s="357">
        <f t="shared" ca="1" si="97"/>
        <v>51.824683065304541</v>
      </c>
      <c r="G201" s="359">
        <f t="shared" ca="1" si="98"/>
        <v>29.201776221233644</v>
      </c>
      <c r="H201" s="360">
        <f t="shared" ca="1" si="99"/>
        <v>131.12057361929499</v>
      </c>
      <c r="I201" s="357">
        <f t="shared" ca="1" si="100"/>
        <v>134.33297644557706</v>
      </c>
      <c r="J201" s="359">
        <f t="shared" ca="1" si="101"/>
        <v>28.707027228884538</v>
      </c>
      <c r="K201" s="360">
        <f t="shared" ca="1" si="102"/>
        <v>137.79828484943494</v>
      </c>
      <c r="L201" s="357">
        <f t="shared" ca="1" si="87"/>
        <v>140.75674307032656</v>
      </c>
      <c r="M201" s="359">
        <f t="shared" ca="1" si="103"/>
        <v>1.3516632356249469</v>
      </c>
      <c r="N201" s="357">
        <f t="shared" ca="1" si="104"/>
        <v>77.444598724306402</v>
      </c>
      <c r="O201" s="343"/>
      <c r="P201" s="363">
        <f t="shared" ca="1" si="105"/>
        <v>5</v>
      </c>
      <c r="Q201" s="357">
        <f t="shared" ca="1" si="106"/>
        <v>591.10999999999979</v>
      </c>
      <c r="R201" s="359">
        <f t="shared" ca="1" si="107"/>
        <v>0.29665056816801633</v>
      </c>
      <c r="S201" s="360">
        <f t="shared" ca="1" si="108"/>
        <v>8.6972721901796088</v>
      </c>
      <c r="T201" s="357">
        <f t="shared" ca="1" si="88"/>
        <v>85.320240185661973</v>
      </c>
      <c r="U201" s="364">
        <f t="shared" ca="1" si="89"/>
        <v>0</v>
      </c>
      <c r="V201" s="359">
        <f t="shared" ca="1" si="90"/>
        <v>1.2082352180161069</v>
      </c>
      <c r="W201" s="357">
        <f t="shared" ca="1" si="91"/>
        <v>57.913076607554174</v>
      </c>
      <c r="X201" s="343"/>
      <c r="Y201" s="367" t="str">
        <f t="shared" ca="1" si="109"/>
        <v/>
      </c>
      <c r="Z201" s="368" t="str">
        <f t="shared" ca="1" si="110"/>
        <v/>
      </c>
      <c r="AA201" s="369" t="str">
        <f t="shared" ca="1" si="111"/>
        <v/>
      </c>
      <c r="AB201" s="344"/>
      <c r="AC201" s="363" t="e">
        <f t="shared" ca="1" si="112"/>
        <v>#N/A</v>
      </c>
      <c r="AD201" s="376" t="e">
        <f t="shared" ca="1" si="113"/>
        <v>#N/A</v>
      </c>
      <c r="AE201" s="377">
        <f t="shared" ca="1" si="92"/>
        <v>137.79828484943494</v>
      </c>
      <c r="AF201" s="344"/>
      <c r="AG201" s="359">
        <f t="shared" ca="1" si="114"/>
        <v>51.780851256663169</v>
      </c>
      <c r="AH201" s="357">
        <f t="shared" ca="1" si="115"/>
        <v>61.356595720954843</v>
      </c>
    </row>
    <row r="202" spans="1:34" x14ac:dyDescent="0.2">
      <c r="A202" s="402">
        <f t="shared" ca="1" si="93"/>
        <v>0.01</v>
      </c>
      <c r="B202" s="357">
        <f t="shared" ca="1" si="94"/>
        <v>1.9800000000000015</v>
      </c>
      <c r="C202" s="342"/>
      <c r="D202" s="359">
        <f t="shared" ca="1" si="95"/>
        <v>13.294994984133355</v>
      </c>
      <c r="E202" s="360">
        <f t="shared" ca="1" si="96"/>
        <v>49.886621033539697</v>
      </c>
      <c r="F202" s="357">
        <f t="shared" ca="1" si="97"/>
        <v>51.62782050185865</v>
      </c>
      <c r="G202" s="359">
        <f t="shared" ca="1" si="98"/>
        <v>29.334726171074976</v>
      </c>
      <c r="H202" s="360">
        <f t="shared" ca="1" si="99"/>
        <v>131.61943982963038</v>
      </c>
      <c r="I202" s="357">
        <f t="shared" ca="1" si="100"/>
        <v>134.84881571818732</v>
      </c>
      <c r="J202" s="359">
        <f t="shared" ca="1" si="101"/>
        <v>28.999709740846082</v>
      </c>
      <c r="K202" s="360">
        <f t="shared" ca="1" si="102"/>
        <v>139.11198491667957</v>
      </c>
      <c r="L202" s="357">
        <f t="shared" ca="1" si="87"/>
        <v>142.10252465213912</v>
      </c>
      <c r="M202" s="359">
        <f t="shared" ca="1" si="103"/>
        <v>1.351505093160138</v>
      </c>
      <c r="N202" s="357">
        <f t="shared" ca="1" si="104"/>
        <v>77.435537828511045</v>
      </c>
      <c r="O202" s="343"/>
      <c r="P202" s="363">
        <f t="shared" ca="1" si="105"/>
        <v>5</v>
      </c>
      <c r="Q202" s="357">
        <f t="shared" ca="1" si="106"/>
        <v>589.64999999999975</v>
      </c>
      <c r="R202" s="359">
        <f t="shared" ca="1" si="107"/>
        <v>0.29591786219192839</v>
      </c>
      <c r="S202" s="360">
        <f t="shared" ca="1" si="108"/>
        <v>8.6943130115576892</v>
      </c>
      <c r="T202" s="357">
        <f t="shared" ca="1" si="88"/>
        <v>85.291210643380936</v>
      </c>
      <c r="U202" s="364">
        <f t="shared" ca="1" si="89"/>
        <v>0</v>
      </c>
      <c r="V202" s="359">
        <f t="shared" ca="1" si="90"/>
        <v>1.2080764949665543</v>
      </c>
      <c r="W202" s="357">
        <f t="shared" ca="1" si="91"/>
        <v>58.351037108447088</v>
      </c>
      <c r="X202" s="343"/>
      <c r="Y202" s="367" t="str">
        <f t="shared" ca="1" si="109"/>
        <v/>
      </c>
      <c r="Z202" s="368" t="str">
        <f t="shared" ca="1" si="110"/>
        <v/>
      </c>
      <c r="AA202" s="369" t="str">
        <f t="shared" ca="1" si="111"/>
        <v/>
      </c>
      <c r="AB202" s="344"/>
      <c r="AC202" s="363" t="e">
        <f t="shared" ca="1" si="112"/>
        <v>#N/A</v>
      </c>
      <c r="AD202" s="376" t="e">
        <f t="shared" ca="1" si="113"/>
        <v>#N/A</v>
      </c>
      <c r="AE202" s="377">
        <f t="shared" ca="1" si="92"/>
        <v>139.11198491667957</v>
      </c>
      <c r="AF202" s="344"/>
      <c r="AG202" s="359">
        <f t="shared" ca="1" si="114"/>
        <v>51.583758639060136</v>
      </c>
      <c r="AH202" s="357">
        <f t="shared" ca="1" si="115"/>
        <v>61.159164926036929</v>
      </c>
    </row>
    <row r="203" spans="1:34" x14ac:dyDescent="0.2">
      <c r="A203" s="402">
        <f t="shared" ca="1" si="93"/>
        <v>0.01</v>
      </c>
      <c r="B203" s="357">
        <f t="shared" ca="1" si="94"/>
        <v>1.9900000000000015</v>
      </c>
      <c r="C203" s="342"/>
      <c r="D203" s="359">
        <f t="shared" ca="1" si="95"/>
        <v>13.261449533144338</v>
      </c>
      <c r="E203" s="360">
        <f t="shared" ca="1" si="96"/>
        <v>49.691648275226008</v>
      </c>
      <c r="F203" s="357">
        <f t="shared" ca="1" si="97"/>
        <v>51.430787977911699</v>
      </c>
      <c r="G203" s="359">
        <f t="shared" ca="1" si="98"/>
        <v>29.467340666406418</v>
      </c>
      <c r="H203" s="360">
        <f t="shared" ca="1" si="99"/>
        <v>132.11635631238263</v>
      </c>
      <c r="I203" s="357">
        <f t="shared" ca="1" si="100"/>
        <v>135.36268234343797</v>
      </c>
      <c r="J203" s="359">
        <f t="shared" ca="1" si="101"/>
        <v>29.293720075033491</v>
      </c>
      <c r="K203" s="360">
        <f t="shared" ca="1" si="102"/>
        <v>140.43066389738965</v>
      </c>
      <c r="L203" s="357">
        <f t="shared" ca="1" si="87"/>
        <v>143.45345376984145</v>
      </c>
      <c r="M203" s="359">
        <f t="shared" ca="1" si="103"/>
        <v>1.3513474391727829</v>
      </c>
      <c r="N203" s="357">
        <f t="shared" ca="1" si="104"/>
        <v>77.426504920412199</v>
      </c>
      <c r="O203" s="343"/>
      <c r="P203" s="363">
        <f t="shared" ca="1" si="105"/>
        <v>5</v>
      </c>
      <c r="Q203" s="357">
        <f t="shared" ca="1" si="106"/>
        <v>588.18999999999971</v>
      </c>
      <c r="R203" s="359">
        <f t="shared" ca="1" si="107"/>
        <v>0.29518515621584052</v>
      </c>
      <c r="S203" s="360">
        <f t="shared" ca="1" si="108"/>
        <v>8.6913611599955303</v>
      </c>
      <c r="T203" s="357">
        <f t="shared" ca="1" si="88"/>
        <v>85.262252979556152</v>
      </c>
      <c r="U203" s="364">
        <f t="shared" ca="1" si="89"/>
        <v>0</v>
      </c>
      <c r="V203" s="359">
        <f t="shared" ca="1" si="90"/>
        <v>1.2079171911817488</v>
      </c>
      <c r="W203" s="357">
        <f t="shared" ca="1" si="91"/>
        <v>58.788846265792642</v>
      </c>
      <c r="X203" s="343"/>
      <c r="Y203" s="367" t="str">
        <f t="shared" ca="1" si="109"/>
        <v/>
      </c>
      <c r="Z203" s="368" t="str">
        <f t="shared" ca="1" si="110"/>
        <v/>
      </c>
      <c r="AA203" s="369" t="str">
        <f t="shared" ca="1" si="111"/>
        <v/>
      </c>
      <c r="AB203" s="344"/>
      <c r="AC203" s="363" t="e">
        <f t="shared" ca="1" si="112"/>
        <v>#N/A</v>
      </c>
      <c r="AD203" s="376" t="e">
        <f t="shared" ca="1" si="113"/>
        <v>#N/A</v>
      </c>
      <c r="AE203" s="377">
        <f t="shared" ca="1" si="92"/>
        <v>140.43066389738965</v>
      </c>
      <c r="AF203" s="344"/>
      <c r="AG203" s="359">
        <f t="shared" ca="1" si="114"/>
        <v>51.38649430458441</v>
      </c>
      <c r="AH203" s="357">
        <f t="shared" ca="1" si="115"/>
        <v>60.961563227896647</v>
      </c>
    </row>
    <row r="204" spans="1:34" x14ac:dyDescent="0.2">
      <c r="A204" s="402">
        <f t="shared" ca="1" si="93"/>
        <v>0.01</v>
      </c>
      <c r="B204" s="357">
        <f t="shared" ca="1" si="94"/>
        <v>2.0000000000000013</v>
      </c>
      <c r="C204" s="342"/>
      <c r="D204" s="359">
        <f t="shared" ca="1" si="95"/>
        <v>13.227777186403792</v>
      </c>
      <c r="E204" s="360">
        <f t="shared" ca="1" si="96"/>
        <v>49.49653002468078</v>
      </c>
      <c r="F204" s="357">
        <f t="shared" ca="1" si="97"/>
        <v>51.233588335946862</v>
      </c>
      <c r="G204" s="359">
        <f t="shared" ca="1" si="98"/>
        <v>29.599618438270458</v>
      </c>
      <c r="H204" s="360">
        <f t="shared" ca="1" si="99"/>
        <v>132.61132161262944</v>
      </c>
      <c r="I204" s="357">
        <f t="shared" ca="1" si="100"/>
        <v>135.87457463241398</v>
      </c>
      <c r="J204" s="359">
        <f t="shared" ca="1" si="101"/>
        <v>29.589054870556875</v>
      </c>
      <c r="K204" s="360">
        <f t="shared" ca="1" si="102"/>
        <v>141.75430228701472</v>
      </c>
      <c r="L204" s="357">
        <f t="shared" ca="1" si="87"/>
        <v>144.80951068562857</v>
      </c>
      <c r="M204" s="359">
        <f t="shared" ca="1" si="103"/>
        <v>1.3511902680325567</v>
      </c>
      <c r="N204" s="357">
        <f t="shared" ca="1" si="104"/>
        <v>77.417499677415975</v>
      </c>
      <c r="O204" s="343"/>
      <c r="P204" s="363">
        <f t="shared" ca="1" si="105"/>
        <v>5</v>
      </c>
      <c r="Q204" s="357">
        <f t="shared" ca="1" si="106"/>
        <v>586.72999999999979</v>
      </c>
      <c r="R204" s="359">
        <f t="shared" ca="1" si="107"/>
        <v>0.29445245023975269</v>
      </c>
      <c r="S204" s="360">
        <f t="shared" ca="1" si="108"/>
        <v>8.688416635493132</v>
      </c>
      <c r="T204" s="357">
        <f t="shared" ca="1" si="88"/>
        <v>85.233367194187636</v>
      </c>
      <c r="U204" s="364">
        <f t="shared" ca="1" si="89"/>
        <v>0</v>
      </c>
      <c r="V204" s="359">
        <f t="shared" ca="1" si="90"/>
        <v>1.2077573092496838</v>
      </c>
      <c r="W204" s="357">
        <f t="shared" ca="1" si="91"/>
        <v>59.226482582449613</v>
      </c>
      <c r="X204" s="343"/>
      <c r="Y204" s="367" t="str">
        <f t="shared" ca="1" si="109"/>
        <v/>
      </c>
      <c r="Z204" s="368" t="str">
        <f t="shared" ca="1" si="110"/>
        <v/>
      </c>
      <c r="AA204" s="369" t="str">
        <f t="shared" ca="1" si="111"/>
        <v/>
      </c>
      <c r="AB204" s="344"/>
      <c r="AC204" s="363">
        <f t="shared" ca="1" si="112"/>
        <v>2.0000000000000013</v>
      </c>
      <c r="AD204" s="376">
        <f t="shared" ca="1" si="113"/>
        <v>29.589054870556875</v>
      </c>
      <c r="AE204" s="377">
        <f t="shared" ca="1" si="92"/>
        <v>141.75430228701472</v>
      </c>
      <c r="AF204" s="344"/>
      <c r="AG204" s="359">
        <f t="shared" ca="1" si="114"/>
        <v>51.189061073701858</v>
      </c>
      <c r="AH204" s="357">
        <f t="shared" ca="1" si="115"/>
        <v>60.763793437058453</v>
      </c>
    </row>
    <row r="205" spans="1:34" x14ac:dyDescent="0.2">
      <c r="A205" s="402">
        <f t="shared" ca="1" si="93"/>
        <v>0.01</v>
      </c>
      <c r="B205" s="357">
        <f t="shared" ca="1" si="94"/>
        <v>2.0100000000000011</v>
      </c>
      <c r="C205" s="342"/>
      <c r="D205" s="359">
        <f t="shared" ca="1" si="95"/>
        <v>13.193979099013614</v>
      </c>
      <c r="E205" s="360">
        <f t="shared" ca="1" si="96"/>
        <v>49.30126892728422</v>
      </c>
      <c r="F205" s="357">
        <f t="shared" ca="1" si="97"/>
        <v>51.036224412720905</v>
      </c>
      <c r="G205" s="359">
        <f t="shared" ca="1" si="98"/>
        <v>29.731558229260592</v>
      </c>
      <c r="H205" s="360">
        <f t="shared" ca="1" si="99"/>
        <v>133.10433430190227</v>
      </c>
      <c r="I205" s="357">
        <f t="shared" ca="1" si="100"/>
        <v>136.38449092434399</v>
      </c>
      <c r="J205" s="359">
        <f t="shared" ca="1" si="101"/>
        <v>29.885710753894532</v>
      </c>
      <c r="K205" s="360">
        <f t="shared" ca="1" si="102"/>
        <v>143.08288056658739</v>
      </c>
      <c r="L205" s="357">
        <f t="shared" ca="1" si="87"/>
        <v>146.17067564493829</v>
      </c>
      <c r="M205" s="359">
        <f t="shared" ca="1" si="103"/>
        <v>1.3510335741876069</v>
      </c>
      <c r="N205" s="357">
        <f t="shared" ca="1" si="104"/>
        <v>77.408521781424682</v>
      </c>
      <c r="O205" s="343"/>
      <c r="P205" s="363">
        <f t="shared" ca="1" si="105"/>
        <v>6</v>
      </c>
      <c r="Q205" s="357">
        <f t="shared" ca="1" si="106"/>
        <v>585.26999999999987</v>
      </c>
      <c r="R205" s="359">
        <f t="shared" ca="1" si="107"/>
        <v>0.29371974426366482</v>
      </c>
      <c r="S205" s="360">
        <f t="shared" ca="1" si="108"/>
        <v>8.6854794380504963</v>
      </c>
      <c r="T205" s="357">
        <f t="shared" ca="1" si="88"/>
        <v>85.204553287275374</v>
      </c>
      <c r="U205" s="364">
        <f t="shared" ca="1" si="89"/>
        <v>0</v>
      </c>
      <c r="V205" s="359">
        <f t="shared" ca="1" si="90"/>
        <v>1.2075968517596509</v>
      </c>
      <c r="W205" s="357">
        <f t="shared" ca="1" si="91"/>
        <v>59.663924653743287</v>
      </c>
      <c r="X205" s="343"/>
      <c r="Y205" s="367" t="str">
        <f t="shared" ca="1" si="109"/>
        <v/>
      </c>
      <c r="Z205" s="368" t="str">
        <f t="shared" ca="1" si="110"/>
        <v/>
      </c>
      <c r="AA205" s="369" t="str">
        <f t="shared" ca="1" si="111"/>
        <v/>
      </c>
      <c r="AB205" s="344"/>
      <c r="AC205" s="363" t="e">
        <f t="shared" ca="1" si="112"/>
        <v>#N/A</v>
      </c>
      <c r="AD205" s="376" t="e">
        <f t="shared" ca="1" si="113"/>
        <v>#N/A</v>
      </c>
      <c r="AE205" s="377">
        <f t="shared" ca="1" si="92"/>
        <v>143.08288056658739</v>
      </c>
      <c r="AF205" s="344"/>
      <c r="AG205" s="359">
        <f t="shared" ca="1" si="114"/>
        <v>50.991461760847372</v>
      </c>
      <c r="AH205" s="357">
        <f t="shared" ca="1" si="115"/>
        <v>60.565858358145348</v>
      </c>
    </row>
    <row r="206" spans="1:34" x14ac:dyDescent="0.2">
      <c r="A206" s="402">
        <f t="shared" ca="1" si="93"/>
        <v>0.01</v>
      </c>
      <c r="B206" s="357">
        <f t="shared" ca="1" si="94"/>
        <v>2.0200000000000009</v>
      </c>
      <c r="C206" s="342"/>
      <c r="D206" s="359">
        <f t="shared" ca="1" si="95"/>
        <v>13.160056417900757</v>
      </c>
      <c r="E206" s="360">
        <f t="shared" ca="1" si="96"/>
        <v>49.105867623656678</v>
      </c>
      <c r="F206" s="357">
        <f t="shared" ca="1" si="97"/>
        <v>50.838699039161341</v>
      </c>
      <c r="G206" s="359">
        <f t="shared" ca="1" si="98"/>
        <v>29.863158793439599</v>
      </c>
      <c r="H206" s="360">
        <f t="shared" ca="1" si="99"/>
        <v>133.59539297813885</v>
      </c>
      <c r="I206" s="357">
        <f t="shared" ca="1" si="100"/>
        <v>136.89242958653901</v>
      </c>
      <c r="J206" s="359">
        <f t="shared" ca="1" si="101"/>
        <v>30.183684339008032</v>
      </c>
      <c r="K206" s="360">
        <f t="shared" ca="1" si="102"/>
        <v>144.4163792029876</v>
      </c>
      <c r="L206" s="357">
        <f t="shared" ca="1" si="87"/>
        <v>147.53692887673236</v>
      </c>
      <c r="M206" s="359">
        <f t="shared" ca="1" si="103"/>
        <v>1.350877352163012</v>
      </c>
      <c r="N206" s="357">
        <f t="shared" ca="1" si="104"/>
        <v>77.399570918748395</v>
      </c>
      <c r="O206" s="343"/>
      <c r="P206" s="363">
        <f t="shared" ca="1" si="105"/>
        <v>6</v>
      </c>
      <c r="Q206" s="357">
        <f t="shared" ca="1" si="106"/>
        <v>583.80999999999983</v>
      </c>
      <c r="R206" s="359">
        <f t="shared" ca="1" si="107"/>
        <v>0.29298703828757694</v>
      </c>
      <c r="S206" s="360">
        <f t="shared" ca="1" si="108"/>
        <v>8.6825495676676212</v>
      </c>
      <c r="T206" s="357">
        <f t="shared" ca="1" si="88"/>
        <v>85.175811258819365</v>
      </c>
      <c r="U206" s="364">
        <f t="shared" ca="1" si="89"/>
        <v>0</v>
      </c>
      <c r="V206" s="359">
        <f t="shared" ca="1" si="90"/>
        <v>1.2074358213021947</v>
      </c>
      <c r="W206" s="357">
        <f t="shared" ca="1" si="91"/>
        <v>60.101151168132183</v>
      </c>
      <c r="X206" s="343"/>
      <c r="Y206" s="367" t="str">
        <f t="shared" ca="1" si="109"/>
        <v/>
      </c>
      <c r="Z206" s="368" t="str">
        <f t="shared" ca="1" si="110"/>
        <v/>
      </c>
      <c r="AA206" s="369" t="str">
        <f t="shared" ca="1" si="111"/>
        <v/>
      </c>
      <c r="AB206" s="344"/>
      <c r="AC206" s="363" t="e">
        <f t="shared" ca="1" si="112"/>
        <v>#N/A</v>
      </c>
      <c r="AD206" s="376" t="e">
        <f t="shared" ca="1" si="113"/>
        <v>#N/A</v>
      </c>
      <c r="AE206" s="377">
        <f t="shared" ca="1" si="92"/>
        <v>144.4163792029876</v>
      </c>
      <c r="AF206" s="344"/>
      <c r="AG206" s="359">
        <f t="shared" ca="1" si="114"/>
        <v>50.793699174315776</v>
      </c>
      <c r="AH206" s="357">
        <f t="shared" ca="1" si="115"/>
        <v>60.367760789767317</v>
      </c>
    </row>
    <row r="207" spans="1:34" x14ac:dyDescent="0.2">
      <c r="A207" s="402">
        <f t="shared" ca="1" si="93"/>
        <v>0.01</v>
      </c>
      <c r="B207" s="357">
        <f t="shared" ca="1" si="94"/>
        <v>2.0300000000000007</v>
      </c>
      <c r="C207" s="342"/>
      <c r="D207" s="359">
        <f t="shared" ca="1" si="95"/>
        <v>13.126010281934473</v>
      </c>
      <c r="E207" s="360">
        <f t="shared" ca="1" si="96"/>
        <v>48.910328749527871</v>
      </c>
      <c r="F207" s="357">
        <f t="shared" ca="1" si="97"/>
        <v>50.641015040264961</v>
      </c>
      <c r="G207" s="359">
        <f t="shared" ca="1" si="98"/>
        <v>29.994418896258942</v>
      </c>
      <c r="H207" s="360">
        <f t="shared" ca="1" si="99"/>
        <v>134.08449626563413</v>
      </c>
      <c r="I207" s="357">
        <f t="shared" ca="1" si="100"/>
        <v>137.39838901432981</v>
      </c>
      <c r="J207" s="359">
        <f t="shared" ca="1" si="101"/>
        <v>30.482972227456525</v>
      </c>
      <c r="K207" s="360">
        <f t="shared" ca="1" si="102"/>
        <v>145.75477864920646</v>
      </c>
      <c r="L207" s="357">
        <f t="shared" ca="1" si="87"/>
        <v>148.9082505937769</v>
      </c>
      <c r="M207" s="359">
        <f t="shared" ca="1" si="103"/>
        <v>1.3507215965592769</v>
      </c>
      <c r="N207" s="357">
        <f t="shared" ca="1" si="104"/>
        <v>77.390646780018869</v>
      </c>
      <c r="O207" s="343"/>
      <c r="P207" s="363">
        <f t="shared" ca="1" si="105"/>
        <v>6</v>
      </c>
      <c r="Q207" s="357">
        <f t="shared" ca="1" si="106"/>
        <v>582.34999999999991</v>
      </c>
      <c r="R207" s="359">
        <f t="shared" ca="1" si="107"/>
        <v>0.29225433231148912</v>
      </c>
      <c r="S207" s="360">
        <f t="shared" ca="1" si="108"/>
        <v>8.6796270243445068</v>
      </c>
      <c r="T207" s="357">
        <f t="shared" ca="1" si="88"/>
        <v>85.147141108819611</v>
      </c>
      <c r="U207" s="364">
        <f t="shared" ca="1" si="89"/>
        <v>0</v>
      </c>
      <c r="V207" s="359">
        <f t="shared" ca="1" si="90"/>
        <v>1.2072742204690681</v>
      </c>
      <c r="W207" s="357">
        <f t="shared" ca="1" si="91"/>
        <v>60.538140907864992</v>
      </c>
      <c r="X207" s="343"/>
      <c r="Y207" s="367" t="str">
        <f t="shared" ca="1" si="109"/>
        <v/>
      </c>
      <c r="Z207" s="368" t="str">
        <f t="shared" ca="1" si="110"/>
        <v/>
      </c>
      <c r="AA207" s="369" t="str">
        <f t="shared" ca="1" si="111"/>
        <v/>
      </c>
      <c r="AB207" s="344"/>
      <c r="AC207" s="363" t="e">
        <f t="shared" ca="1" si="112"/>
        <v>#N/A</v>
      </c>
      <c r="AD207" s="376" t="e">
        <f t="shared" ca="1" si="113"/>
        <v>#N/A</v>
      </c>
      <c r="AE207" s="377">
        <f t="shared" ca="1" si="92"/>
        <v>145.75477864920646</v>
      </c>
      <c r="AF207" s="344"/>
      <c r="AG207" s="359">
        <f t="shared" ca="1" si="114"/>
        <v>50.595776116153743</v>
      </c>
      <c r="AH207" s="357">
        <f t="shared" ca="1" si="115"/>
        <v>60.169503524410764</v>
      </c>
    </row>
    <row r="208" spans="1:34" x14ac:dyDescent="0.2">
      <c r="A208" s="402">
        <f t="shared" ca="1" si="93"/>
        <v>0.01</v>
      </c>
      <c r="B208" s="357">
        <f t="shared" ca="1" si="94"/>
        <v>2.0400000000000005</v>
      </c>
      <c r="C208" s="342"/>
      <c r="D208" s="359">
        <f t="shared" ca="1" si="95"/>
        <v>13.091841822040175</v>
      </c>
      <c r="E208" s="360">
        <f t="shared" ca="1" si="96"/>
        <v>48.714654935607463</v>
      </c>
      <c r="F208" s="357">
        <f t="shared" ca="1" si="97"/>
        <v>50.443175234997099</v>
      </c>
      <c r="G208" s="359">
        <f t="shared" ca="1" si="98"/>
        <v>30.125337314479346</v>
      </c>
      <c r="H208" s="360">
        <f t="shared" ca="1" si="99"/>
        <v>134.57164281499021</v>
      </c>
      <c r="I208" s="357">
        <f t="shared" ca="1" si="100"/>
        <v>137.90236763100359</v>
      </c>
      <c r="J208" s="359">
        <f t="shared" ca="1" si="101"/>
        <v>30.783571008510215</v>
      </c>
      <c r="K208" s="360">
        <f t="shared" ca="1" si="102"/>
        <v>147.09805934460957</v>
      </c>
      <c r="L208" s="357">
        <f t="shared" ca="1" si="87"/>
        <v>150.28462099292219</v>
      </c>
      <c r="M208" s="359">
        <f t="shared" ca="1" si="103"/>
        <v>1.350566302050866</v>
      </c>
      <c r="N208" s="357">
        <f t="shared" ca="1" si="104"/>
        <v>77.381749060105363</v>
      </c>
      <c r="O208" s="343"/>
      <c r="P208" s="363">
        <f t="shared" ca="1" si="105"/>
        <v>6</v>
      </c>
      <c r="Q208" s="357">
        <f t="shared" ca="1" si="106"/>
        <v>580.88999999999987</v>
      </c>
      <c r="R208" s="359">
        <f t="shared" ca="1" si="107"/>
        <v>0.29152162633540124</v>
      </c>
      <c r="S208" s="360">
        <f t="shared" ca="1" si="108"/>
        <v>8.6767118080811532</v>
      </c>
      <c r="T208" s="357">
        <f t="shared" ca="1" si="88"/>
        <v>85.118542837276124</v>
      </c>
      <c r="U208" s="364">
        <f t="shared" ca="1" si="89"/>
        <v>0</v>
      </c>
      <c r="V208" s="359">
        <f t="shared" ca="1" si="90"/>
        <v>1.2071120518531879</v>
      </c>
      <c r="W208" s="357">
        <f t="shared" ca="1" si="91"/>
        <v>60.974872749628624</v>
      </c>
      <c r="X208" s="343"/>
      <c r="Y208" s="367" t="str">
        <f t="shared" ca="1" si="109"/>
        <v/>
      </c>
      <c r="Z208" s="368" t="str">
        <f t="shared" ca="1" si="110"/>
        <v/>
      </c>
      <c r="AA208" s="369" t="str">
        <f t="shared" ca="1" si="111"/>
        <v/>
      </c>
      <c r="AB208" s="344"/>
      <c r="AC208" s="363" t="e">
        <f t="shared" ca="1" si="112"/>
        <v>#N/A</v>
      </c>
      <c r="AD208" s="376" t="e">
        <f t="shared" ca="1" si="113"/>
        <v>#N/A</v>
      </c>
      <c r="AE208" s="377">
        <f t="shared" ca="1" si="92"/>
        <v>147.09805934460957</v>
      </c>
      <c r="AF208" s="344"/>
      <c r="AG208" s="359">
        <f t="shared" ca="1" si="114"/>
        <v>50.397695382052547</v>
      </c>
      <c r="AH208" s="357">
        <f t="shared" ca="1" si="115"/>
        <v>59.97108934832886</v>
      </c>
    </row>
    <row r="209" spans="1:34" x14ac:dyDescent="0.2">
      <c r="A209" s="402">
        <f t="shared" ca="1" si="93"/>
        <v>0.01</v>
      </c>
      <c r="B209" s="357">
        <f t="shared" ca="1" si="94"/>
        <v>2.0500000000000003</v>
      </c>
      <c r="C209" s="342"/>
      <c r="D209" s="359">
        <f t="shared" ca="1" si="95"/>
        <v>13.057552161309998</v>
      </c>
      <c r="E209" s="360">
        <f t="shared" ca="1" si="96"/>
        <v>48.518848807457154</v>
      </c>
      <c r="F209" s="357">
        <f t="shared" ca="1" si="97"/>
        <v>50.245182436192003</v>
      </c>
      <c r="G209" s="359">
        <f t="shared" ca="1" si="98"/>
        <v>30.255912836092445</v>
      </c>
      <c r="H209" s="360">
        <f t="shared" ca="1" si="99"/>
        <v>135.0568313030648</v>
      </c>
      <c r="I209" s="357">
        <f t="shared" ca="1" si="100"/>
        <v>138.40436388773921</v>
      </c>
      <c r="J209" s="359">
        <f t="shared" ca="1" si="101"/>
        <v>31.085477259263072</v>
      </c>
      <c r="K209" s="360">
        <f t="shared" ca="1" si="102"/>
        <v>148.44620171519983</v>
      </c>
      <c r="L209" s="357">
        <f t="shared" ca="1" si="87"/>
        <v>151.66602025538205</v>
      </c>
      <c r="M209" s="359">
        <f t="shared" ca="1" si="103"/>
        <v>1.3504114633847693</v>
      </c>
      <c r="N209" s="357">
        <f t="shared" ca="1" si="104"/>
        <v>77.372877458032576</v>
      </c>
      <c r="O209" s="343"/>
      <c r="P209" s="363">
        <f t="shared" ca="1" si="105"/>
        <v>6</v>
      </c>
      <c r="Q209" s="357">
        <f t="shared" ca="1" si="106"/>
        <v>579.42999999999995</v>
      </c>
      <c r="R209" s="359">
        <f t="shared" ca="1" si="107"/>
        <v>0.29078892035931336</v>
      </c>
      <c r="S209" s="360">
        <f t="shared" ca="1" si="108"/>
        <v>8.6738039188775602</v>
      </c>
      <c r="T209" s="357">
        <f t="shared" ca="1" si="88"/>
        <v>85.090016444188876</v>
      </c>
      <c r="U209" s="364">
        <f t="shared" ca="1" si="89"/>
        <v>0</v>
      </c>
      <c r="V209" s="359">
        <f t="shared" ca="1" si="90"/>
        <v>1.2069493180485908</v>
      </c>
      <c r="W209" s="357">
        <f t="shared" ca="1" si="91"/>
        <v>61.411325665186453</v>
      </c>
      <c r="X209" s="343"/>
      <c r="Y209" s="367" t="str">
        <f t="shared" ca="1" si="109"/>
        <v/>
      </c>
      <c r="Z209" s="368" t="str">
        <f t="shared" ca="1" si="110"/>
        <v/>
      </c>
      <c r="AA209" s="369" t="str">
        <f t="shared" ca="1" si="111"/>
        <v/>
      </c>
      <c r="AB209" s="344"/>
      <c r="AC209" s="363" t="e">
        <f t="shared" ca="1" si="112"/>
        <v>#N/A</v>
      </c>
      <c r="AD209" s="376" t="e">
        <f t="shared" ca="1" si="113"/>
        <v>#N/A</v>
      </c>
      <c r="AE209" s="377">
        <f t="shared" ca="1" si="92"/>
        <v>148.44620171519983</v>
      </c>
      <c r="AF209" s="344"/>
      <c r="AG209" s="359">
        <f t="shared" ca="1" si="114"/>
        <v>50.199459761241599</v>
      </c>
      <c r="AH209" s="357">
        <f t="shared" ca="1" si="115"/>
        <v>59.77252104143281</v>
      </c>
    </row>
    <row r="210" spans="1:34" x14ac:dyDescent="0.2">
      <c r="A210" s="402">
        <f t="shared" ca="1" si="93"/>
        <v>0.01</v>
      </c>
      <c r="B210" s="357">
        <f t="shared" ca="1" si="94"/>
        <v>2.06</v>
      </c>
      <c r="C210" s="342"/>
      <c r="D210" s="359">
        <f t="shared" ca="1" si="95"/>
        <v>13.023142415110216</v>
      </c>
      <c r="E210" s="360">
        <f t="shared" ca="1" si="96"/>
        <v>48.322912985364262</v>
      </c>
      <c r="F210" s="357">
        <f t="shared" ca="1" si="97"/>
        <v>50.047039450454292</v>
      </c>
      <c r="G210" s="359">
        <f t="shared" ca="1" si="98"/>
        <v>30.386144260243547</v>
      </c>
      <c r="H210" s="360">
        <f t="shared" ca="1" si="99"/>
        <v>135.54006043291844</v>
      </c>
      <c r="I210" s="357">
        <f t="shared" ca="1" si="100"/>
        <v>138.90437626354151</v>
      </c>
      <c r="J210" s="359">
        <f t="shared" ca="1" si="101"/>
        <v>31.388687544744752</v>
      </c>
      <c r="K210" s="360">
        <f t="shared" ca="1" si="102"/>
        <v>149.79918617387975</v>
      </c>
      <c r="L210" s="357">
        <f t="shared" ca="1" si="87"/>
        <v>153.05242854701228</v>
      </c>
      <c r="M210" s="359">
        <f t="shared" ca="1" si="103"/>
        <v>1.3502570753791054</v>
      </c>
      <c r="N210" s="357">
        <f t="shared" ca="1" si="104"/>
        <v>77.364031676900609</v>
      </c>
      <c r="O210" s="343"/>
      <c r="P210" s="363">
        <f t="shared" ca="1" si="105"/>
        <v>6</v>
      </c>
      <c r="Q210" s="357">
        <f t="shared" ca="1" si="106"/>
        <v>577.97</v>
      </c>
      <c r="R210" s="359">
        <f t="shared" ca="1" si="107"/>
        <v>0.29005621438322554</v>
      </c>
      <c r="S210" s="360">
        <f t="shared" ca="1" si="108"/>
        <v>8.6709033567337279</v>
      </c>
      <c r="T210" s="357">
        <f t="shared" ca="1" si="88"/>
        <v>85.061561929557868</v>
      </c>
      <c r="U210" s="364">
        <f t="shared" ca="1" si="89"/>
        <v>0</v>
      </c>
      <c r="V210" s="359">
        <f t="shared" ca="1" si="90"/>
        <v>1.2067860216503878</v>
      </c>
      <c r="W210" s="357">
        <f t="shared" ca="1" si="91"/>
        <v>61.847478722007267</v>
      </c>
      <c r="X210" s="343"/>
      <c r="Y210" s="367" t="str">
        <f t="shared" ca="1" si="109"/>
        <v/>
      </c>
      <c r="Z210" s="368" t="str">
        <f t="shared" ca="1" si="110"/>
        <v/>
      </c>
      <c r="AA210" s="369" t="str">
        <f t="shared" ca="1" si="111"/>
        <v/>
      </c>
      <c r="AB210" s="344"/>
      <c r="AC210" s="363" t="e">
        <f t="shared" ca="1" si="112"/>
        <v>#N/A</v>
      </c>
      <c r="AD210" s="376" t="e">
        <f t="shared" ca="1" si="113"/>
        <v>#N/A</v>
      </c>
      <c r="AE210" s="377">
        <f t="shared" ca="1" si="92"/>
        <v>149.79918617387975</v>
      </c>
      <c r="AF210" s="344"/>
      <c r="AG210" s="359">
        <f t="shared" ca="1" si="114"/>
        <v>50.001072036383</v>
      </c>
      <c r="AH210" s="357">
        <f t="shared" ca="1" si="115"/>
        <v>59.573801377184047</v>
      </c>
    </row>
    <row r="211" spans="1:34" x14ac:dyDescent="0.2">
      <c r="A211" s="402">
        <f t="shared" ca="1" si="93"/>
        <v>0.01</v>
      </c>
      <c r="B211" s="357">
        <f t="shared" ca="1" si="94"/>
        <v>2.0699999999999998</v>
      </c>
      <c r="C211" s="342"/>
      <c r="D211" s="359">
        <f t="shared" ca="1" si="95"/>
        <v>12.988613691185487</v>
      </c>
      <c r="E211" s="360">
        <f t="shared" ca="1" si="96"/>
        <v>48.126850084216748</v>
      </c>
      <c r="F211" s="357">
        <f t="shared" ca="1" si="97"/>
        <v>49.848749078061374</v>
      </c>
      <c r="G211" s="359">
        <f t="shared" ca="1" si="98"/>
        <v>30.516030397155401</v>
      </c>
      <c r="H211" s="360">
        <f t="shared" ca="1" si="99"/>
        <v>136.0213289337606</v>
      </c>
      <c r="I211" s="357">
        <f t="shared" ca="1" si="100"/>
        <v>139.40240326517477</v>
      </c>
      <c r="J211" s="359">
        <f t="shared" ca="1" si="101"/>
        <v>31.693198418031745</v>
      </c>
      <c r="K211" s="360">
        <f t="shared" ca="1" si="102"/>
        <v>151.15699312071314</v>
      </c>
      <c r="L211" s="357">
        <f t="shared" ca="1" si="87"/>
        <v>154.44382601858854</v>
      </c>
      <c r="M211" s="359">
        <f t="shared" ca="1" si="103"/>
        <v>1.350103132921755</v>
      </c>
      <c r="N211" s="357">
        <f t="shared" ca="1" si="104"/>
        <v>77.355211423806551</v>
      </c>
      <c r="O211" s="343"/>
      <c r="P211" s="363">
        <f t="shared" ca="1" si="105"/>
        <v>6</v>
      </c>
      <c r="Q211" s="357">
        <f t="shared" ca="1" si="106"/>
        <v>576.51</v>
      </c>
      <c r="R211" s="359">
        <f t="shared" ca="1" si="107"/>
        <v>0.28932350840713766</v>
      </c>
      <c r="S211" s="360">
        <f t="shared" ca="1" si="108"/>
        <v>8.6680101216496563</v>
      </c>
      <c r="T211" s="357">
        <f t="shared" ca="1" si="88"/>
        <v>85.033179293383128</v>
      </c>
      <c r="U211" s="364">
        <f t="shared" ca="1" si="89"/>
        <v>0</v>
      </c>
      <c r="V211" s="359">
        <f t="shared" ca="1" si="90"/>
        <v>1.2066221652547211</v>
      </c>
      <c r="W211" s="357">
        <f t="shared" ca="1" si="91"/>
        <v>62.283311083885181</v>
      </c>
      <c r="X211" s="343"/>
      <c r="Y211" s="367" t="str">
        <f t="shared" ca="1" si="109"/>
        <v/>
      </c>
      <c r="Z211" s="368" t="str">
        <f t="shared" ca="1" si="110"/>
        <v/>
      </c>
      <c r="AA211" s="369" t="str">
        <f t="shared" ca="1" si="111"/>
        <v/>
      </c>
      <c r="AB211" s="344"/>
      <c r="AC211" s="363" t="e">
        <f t="shared" ca="1" si="112"/>
        <v>#N/A</v>
      </c>
      <c r="AD211" s="376" t="e">
        <f t="shared" ca="1" si="113"/>
        <v>#N/A</v>
      </c>
      <c r="AE211" s="377">
        <f t="shared" ca="1" si="92"/>
        <v>151.15699312071314</v>
      </c>
      <c r="AF211" s="344"/>
      <c r="AG211" s="359">
        <f t="shared" ca="1" si="114"/>
        <v>49.802534983466941</v>
      </c>
      <c r="AH211" s="357">
        <f t="shared" ca="1" si="115"/>
        <v>59.374933122487455</v>
      </c>
    </row>
    <row r="212" spans="1:34" x14ac:dyDescent="0.2">
      <c r="A212" s="402">
        <f t="shared" ca="1" si="93"/>
        <v>0.01</v>
      </c>
      <c r="B212" s="357">
        <f t="shared" ca="1" si="94"/>
        <v>2.0799999999999996</v>
      </c>
      <c r="C212" s="342"/>
      <c r="D212" s="359">
        <f t="shared" ca="1" si="95"/>
        <v>12.953967089760283</v>
      </c>
      <c r="E212" s="360">
        <f t="shared" ca="1" si="96"/>
        <v>47.930662713379704</v>
      </c>
      <c r="F212" s="357">
        <f t="shared" ca="1" si="97"/>
        <v>49.650314112867001</v>
      </c>
      <c r="G212" s="359">
        <f t="shared" ca="1" si="98"/>
        <v>30.645570068053004</v>
      </c>
      <c r="H212" s="360">
        <f t="shared" ca="1" si="99"/>
        <v>136.50063556089441</v>
      </c>
      <c r="I212" s="357">
        <f t="shared" ca="1" si="100"/>
        <v>139.89844342709483</v>
      </c>
      <c r="J212" s="359">
        <f t="shared" ca="1" si="101"/>
        <v>31.999006420357787</v>
      </c>
      <c r="K212" s="360">
        <f t="shared" ca="1" si="102"/>
        <v>152.51960294318641</v>
      </c>
      <c r="L212" s="357">
        <f t="shared" ca="1" si="87"/>
        <v>155.84019280608368</v>
      </c>
      <c r="M212" s="359">
        <f t="shared" ca="1" si="103"/>
        <v>1.3499496309690295</v>
      </c>
      <c r="N212" s="357">
        <f t="shared" ca="1" si="104"/>
        <v>77.346416409768366</v>
      </c>
      <c r="O212" s="343"/>
      <c r="P212" s="363">
        <f t="shared" ca="1" si="105"/>
        <v>6</v>
      </c>
      <c r="Q212" s="357">
        <f t="shared" ca="1" si="106"/>
        <v>575.05000000000007</v>
      </c>
      <c r="R212" s="359">
        <f t="shared" ca="1" si="107"/>
        <v>0.28859080243104984</v>
      </c>
      <c r="S212" s="360">
        <f t="shared" ca="1" si="108"/>
        <v>8.6651242136253455</v>
      </c>
      <c r="T212" s="357">
        <f t="shared" ca="1" si="88"/>
        <v>85.004868535664642</v>
      </c>
      <c r="U212" s="364">
        <f t="shared" ca="1" si="89"/>
        <v>0</v>
      </c>
      <c r="V212" s="359">
        <f t="shared" ca="1" si="90"/>
        <v>1.2064577514587194</v>
      </c>
      <c r="W212" s="357">
        <f t="shared" ca="1" si="91"/>
        <v>62.718802011549805</v>
      </c>
      <c r="X212" s="343"/>
      <c r="Y212" s="367" t="str">
        <f t="shared" ca="1" si="109"/>
        <v/>
      </c>
      <c r="Z212" s="368" t="str">
        <f t="shared" ca="1" si="110"/>
        <v/>
      </c>
      <c r="AA212" s="369" t="str">
        <f t="shared" ca="1" si="111"/>
        <v/>
      </c>
      <c r="AB212" s="344"/>
      <c r="AC212" s="363" t="e">
        <f t="shared" ca="1" si="112"/>
        <v>#N/A</v>
      </c>
      <c r="AD212" s="376" t="e">
        <f t="shared" ca="1" si="113"/>
        <v>#N/A</v>
      </c>
      <c r="AE212" s="377">
        <f t="shared" ca="1" si="92"/>
        <v>152.51960294318641</v>
      </c>
      <c r="AF212" s="344"/>
      <c r="AG212" s="359">
        <f t="shared" ca="1" si="114"/>
        <v>49.603851371707997</v>
      </c>
      <c r="AH212" s="357">
        <f t="shared" ca="1" si="115"/>
        <v>59.175919037585466</v>
      </c>
    </row>
    <row r="213" spans="1:34" x14ac:dyDescent="0.2">
      <c r="A213" s="402">
        <f t="shared" ca="1" si="93"/>
        <v>0.01</v>
      </c>
      <c r="B213" s="357">
        <f t="shared" ca="1" si="94"/>
        <v>2.0899999999999994</v>
      </c>
      <c r="C213" s="342"/>
      <c r="D213" s="359">
        <f t="shared" ca="1" si="95"/>
        <v>12.919203703637153</v>
      </c>
      <c r="E213" s="360">
        <f t="shared" ca="1" si="96"/>
        <v>47.734353476573183</v>
      </c>
      <c r="F213" s="357">
        <f t="shared" ca="1" si="97"/>
        <v>49.451737342205746</v>
      </c>
      <c r="G213" s="359">
        <f t="shared" ca="1" si="98"/>
        <v>30.774762105089376</v>
      </c>
      <c r="H213" s="360">
        <f t="shared" ca="1" si="99"/>
        <v>136.97797909566015</v>
      </c>
      <c r="I213" s="357">
        <f t="shared" ca="1" si="100"/>
        <v>140.39249531138034</v>
      </c>
      <c r="J213" s="359">
        <f t="shared" ca="1" si="101"/>
        <v>32.306108081223499</v>
      </c>
      <c r="K213" s="360">
        <f t="shared" ca="1" si="102"/>
        <v>153.8869960164692</v>
      </c>
      <c r="L213" s="357">
        <f t="shared" ca="1" si="87"/>
        <v>157.2415090309442</v>
      </c>
      <c r="M213" s="359">
        <f t="shared" ca="1" si="103"/>
        <v>1.3497965645443679</v>
      </c>
      <c r="N213" s="357">
        <f t="shared" ca="1" si="104"/>
        <v>77.3376463496501</v>
      </c>
      <c r="O213" s="343"/>
      <c r="P213" s="363">
        <f t="shared" ca="1" si="105"/>
        <v>6</v>
      </c>
      <c r="Q213" s="357">
        <f t="shared" ca="1" si="106"/>
        <v>573.59</v>
      </c>
      <c r="R213" s="359">
        <f t="shared" ca="1" si="107"/>
        <v>0.28785809645496191</v>
      </c>
      <c r="S213" s="360">
        <f t="shared" ca="1" si="108"/>
        <v>8.6622456326607953</v>
      </c>
      <c r="T213" s="357">
        <f t="shared" ca="1" si="88"/>
        <v>84.976629656402409</v>
      </c>
      <c r="U213" s="364">
        <f t="shared" ca="1" si="89"/>
        <v>0</v>
      </c>
      <c r="V213" s="359">
        <f t="shared" ca="1" si="90"/>
        <v>1.2062927828604539</v>
      </c>
      <c r="W213" s="357">
        <f t="shared" ca="1" si="91"/>
        <v>63.153930863267057</v>
      </c>
      <c r="X213" s="343"/>
      <c r="Y213" s="367" t="str">
        <f t="shared" ca="1" si="109"/>
        <v/>
      </c>
      <c r="Z213" s="368" t="str">
        <f t="shared" ca="1" si="110"/>
        <v/>
      </c>
      <c r="AA213" s="369" t="str">
        <f t="shared" ca="1" si="111"/>
        <v/>
      </c>
      <c r="AB213" s="344"/>
      <c r="AC213" s="363" t="e">
        <f t="shared" ca="1" si="112"/>
        <v>#N/A</v>
      </c>
      <c r="AD213" s="376" t="e">
        <f t="shared" ca="1" si="113"/>
        <v>#N/A</v>
      </c>
      <c r="AE213" s="377">
        <f t="shared" ca="1" si="92"/>
        <v>153.8869960164692</v>
      </c>
      <c r="AF213" s="344"/>
      <c r="AG213" s="359">
        <f t="shared" ca="1" si="114"/>
        <v>49.405023963442247</v>
      </c>
      <c r="AH213" s="357">
        <f t="shared" ca="1" si="115"/>
        <v>58.976761875953073</v>
      </c>
    </row>
    <row r="214" spans="1:34" x14ac:dyDescent="0.2">
      <c r="A214" s="402">
        <f t="shared" ca="1" si="93"/>
        <v>0.01</v>
      </c>
      <c r="B214" s="357">
        <f t="shared" ca="1" si="94"/>
        <v>2.0999999999999992</v>
      </c>
      <c r="C214" s="342"/>
      <c r="D214" s="359">
        <f t="shared" ca="1" si="95"/>
        <v>12.884324618292506</v>
      </c>
      <c r="E214" s="360">
        <f t="shared" ca="1" si="96"/>
        <v>47.537924971751622</v>
      </c>
      <c r="F214" s="357">
        <f t="shared" ca="1" si="97"/>
        <v>49.253021546798777</v>
      </c>
      <c r="G214" s="359">
        <f t="shared" ca="1" si="98"/>
        <v>30.903605351272301</v>
      </c>
      <c r="H214" s="360">
        <f t="shared" ca="1" si="99"/>
        <v>137.45335834537767</v>
      </c>
      <c r="I214" s="357">
        <f t="shared" ca="1" si="100"/>
        <v>140.88455750766295</v>
      </c>
      <c r="J214" s="359">
        <f t="shared" ca="1" si="101"/>
        <v>32.614499918505309</v>
      </c>
      <c r="K214" s="360">
        <f t="shared" ca="1" si="102"/>
        <v>155.25915270367437</v>
      </c>
      <c r="L214" s="357">
        <f t="shared" ca="1" si="87"/>
        <v>158.64775480036602</v>
      </c>
      <c r="M214" s="359">
        <f t="shared" ca="1" si="103"/>
        <v>1.349643928737067</v>
      </c>
      <c r="N214" s="357">
        <f t="shared" ca="1" si="104"/>
        <v>77.328900962089179</v>
      </c>
      <c r="O214" s="343"/>
      <c r="P214" s="363">
        <f t="shared" ca="1" si="105"/>
        <v>6</v>
      </c>
      <c r="Q214" s="357">
        <f t="shared" ca="1" si="106"/>
        <v>572.13000000000011</v>
      </c>
      <c r="R214" s="359">
        <f t="shared" ca="1" si="107"/>
        <v>0.28712539047887409</v>
      </c>
      <c r="S214" s="360">
        <f t="shared" ca="1" si="108"/>
        <v>8.6593743787560058</v>
      </c>
      <c r="T214" s="357">
        <f t="shared" ca="1" si="88"/>
        <v>84.948462655596416</v>
      </c>
      <c r="U214" s="364">
        <f t="shared" ca="1" si="89"/>
        <v>0</v>
      </c>
      <c r="V214" s="359">
        <f t="shared" ca="1" si="90"/>
        <v>1.2061272620588965</v>
      </c>
      <c r="W214" s="357">
        <f t="shared" ca="1" si="91"/>
        <v>63.588677095430938</v>
      </c>
      <c r="X214" s="343"/>
      <c r="Y214" s="367" t="str">
        <f t="shared" ca="1" si="109"/>
        <v/>
      </c>
      <c r="Z214" s="368" t="str">
        <f t="shared" ca="1" si="110"/>
        <v/>
      </c>
      <c r="AA214" s="369" t="str">
        <f t="shared" ca="1" si="111"/>
        <v/>
      </c>
      <c r="AB214" s="344"/>
      <c r="AC214" s="363" t="e">
        <f t="shared" ca="1" si="112"/>
        <v>#N/A</v>
      </c>
      <c r="AD214" s="376" t="e">
        <f t="shared" ca="1" si="113"/>
        <v>#N/A</v>
      </c>
      <c r="AE214" s="377">
        <f t="shared" ca="1" si="92"/>
        <v>155.25915270367437</v>
      </c>
      <c r="AF214" s="344"/>
      <c r="AG214" s="359">
        <f t="shared" ca="1" si="114"/>
        <v>49.20605551402555</v>
      </c>
      <c r="AH214" s="357">
        <f t="shared" ca="1" si="115"/>
        <v>58.777464384193983</v>
      </c>
    </row>
    <row r="215" spans="1:34" x14ac:dyDescent="0.2">
      <c r="A215" s="402">
        <f t="shared" ca="1" si="93"/>
        <v>0.01</v>
      </c>
      <c r="B215" s="357">
        <f t="shared" ca="1" si="94"/>
        <v>2.109999999999999</v>
      </c>
      <c r="C215" s="342"/>
      <c r="D215" s="359">
        <f t="shared" ca="1" si="95"/>
        <v>12.849330911969371</v>
      </c>
      <c r="E215" s="360">
        <f t="shared" ca="1" si="96"/>
        <v>47.341379790984504</v>
      </c>
      <c r="F215" s="357">
        <f t="shared" ca="1" si="97"/>
        <v>49.054169500660471</v>
      </c>
      <c r="G215" s="359">
        <f t="shared" ca="1" si="98"/>
        <v>31.032098660391995</v>
      </c>
      <c r="H215" s="360">
        <f t="shared" ca="1" si="99"/>
        <v>137.92677214328751</v>
      </c>
      <c r="I215" s="357">
        <f t="shared" ca="1" si="100"/>
        <v>141.37462863305655</v>
      </c>
      <c r="J215" s="359">
        <f t="shared" ca="1" si="101"/>
        <v>32.924178438563629</v>
      </c>
      <c r="K215" s="360">
        <f t="shared" ca="1" si="102"/>
        <v>156.63605335611771</v>
      </c>
      <c r="L215" s="357">
        <f t="shared" ca="1" si="87"/>
        <v>160.05891020756994</v>
      </c>
      <c r="M215" s="359">
        <f t="shared" ca="1" si="103"/>
        <v>1.3494917187010391</v>
      </c>
      <c r="N215" s="357">
        <f t="shared" ca="1" si="104"/>
        <v>77.320179969425254</v>
      </c>
      <c r="O215" s="343"/>
      <c r="P215" s="363">
        <f t="shared" ca="1" si="105"/>
        <v>6</v>
      </c>
      <c r="Q215" s="357">
        <f t="shared" ca="1" si="106"/>
        <v>570.67000000000019</v>
      </c>
      <c r="R215" s="359">
        <f t="shared" ca="1" si="107"/>
        <v>0.28639268450278627</v>
      </c>
      <c r="S215" s="360">
        <f t="shared" ca="1" si="108"/>
        <v>8.6565104519109788</v>
      </c>
      <c r="T215" s="357">
        <f t="shared" ca="1" si="88"/>
        <v>84.920367533246704</v>
      </c>
      <c r="U215" s="364">
        <f t="shared" ca="1" si="89"/>
        <v>0</v>
      </c>
      <c r="V215" s="359">
        <f t="shared" ca="1" si="90"/>
        <v>1.2059611916538728</v>
      </c>
      <c r="W215" s="357">
        <f t="shared" ca="1" si="91"/>
        <v>64.023020263145497</v>
      </c>
      <c r="X215" s="343"/>
      <c r="Y215" s="367" t="str">
        <f t="shared" ca="1" si="109"/>
        <v/>
      </c>
      <c r="Z215" s="368" t="str">
        <f t="shared" ca="1" si="110"/>
        <v/>
      </c>
      <c r="AA215" s="369" t="str">
        <f t="shared" ca="1" si="111"/>
        <v/>
      </c>
      <c r="AB215" s="344"/>
      <c r="AC215" s="363" t="e">
        <f t="shared" ca="1" si="112"/>
        <v>#N/A</v>
      </c>
      <c r="AD215" s="376" t="e">
        <f t="shared" ca="1" si="113"/>
        <v>#N/A</v>
      </c>
      <c r="AE215" s="377">
        <f t="shared" ca="1" si="92"/>
        <v>156.63605335611771</v>
      </c>
      <c r="AF215" s="344"/>
      <c r="AG215" s="359">
        <f t="shared" ca="1" si="114"/>
        <v>49.006948771732354</v>
      </c>
      <c r="AH215" s="357">
        <f t="shared" ca="1" si="115"/>
        <v>58.578029301937462</v>
      </c>
    </row>
    <row r="216" spans="1:34" x14ac:dyDescent="0.2">
      <c r="A216" s="402">
        <f t="shared" ca="1" si="93"/>
        <v>0.01</v>
      </c>
      <c r="B216" s="357">
        <f t="shared" ca="1" si="94"/>
        <v>2.1199999999999988</v>
      </c>
      <c r="C216" s="342"/>
      <c r="D216" s="359">
        <f t="shared" ca="1" si="95"/>
        <v>12.814223655767714</v>
      </c>
      <c r="E216" s="360">
        <f t="shared" ca="1" si="96"/>
        <v>47.144720520338545</v>
      </c>
      <c r="F216" s="357">
        <f t="shared" ca="1" si="97"/>
        <v>48.855183971006262</v>
      </c>
      <c r="G216" s="359">
        <f t="shared" ca="1" si="98"/>
        <v>31.160240896949674</v>
      </c>
      <c r="H216" s="360">
        <f t="shared" ca="1" si="99"/>
        <v>138.3982193484909</v>
      </c>
      <c r="I216" s="357">
        <f t="shared" ca="1" si="100"/>
        <v>141.86270733208548</v>
      </c>
      <c r="J216" s="359">
        <f t="shared" ca="1" si="101"/>
        <v>33.235140136350338</v>
      </c>
      <c r="K216" s="360">
        <f t="shared" ca="1" si="102"/>
        <v>158.0176783135766</v>
      </c>
      <c r="L216" s="357">
        <f t="shared" ca="1" si="87"/>
        <v>161.47495533207564</v>
      </c>
      <c r="M216" s="359">
        <f t="shared" ca="1" si="103"/>
        <v>1.3493399296536002</v>
      </c>
      <c r="N216" s="357">
        <f t="shared" ca="1" si="104"/>
        <v>77.311483097630685</v>
      </c>
      <c r="O216" s="343"/>
      <c r="P216" s="363">
        <f t="shared" ca="1" si="105"/>
        <v>6</v>
      </c>
      <c r="Q216" s="357">
        <f t="shared" ca="1" si="106"/>
        <v>569.21000000000015</v>
      </c>
      <c r="R216" s="359">
        <f t="shared" ca="1" si="107"/>
        <v>0.28565997852669833</v>
      </c>
      <c r="S216" s="360">
        <f t="shared" ca="1" si="108"/>
        <v>8.6536538521257125</v>
      </c>
      <c r="T216" s="357">
        <f t="shared" ca="1" si="88"/>
        <v>84.892344289353247</v>
      </c>
      <c r="U216" s="364">
        <f t="shared" ca="1" si="89"/>
        <v>0</v>
      </c>
      <c r="V216" s="359">
        <f t="shared" ca="1" si="90"/>
        <v>1.2057945742460205</v>
      </c>
      <c r="W216" s="357">
        <f t="shared" ca="1" si="91"/>
        <v>64.456940020797774</v>
      </c>
      <c r="X216" s="343"/>
      <c r="Y216" s="367" t="str">
        <f t="shared" ca="1" si="109"/>
        <v/>
      </c>
      <c r="Z216" s="368" t="str">
        <f t="shared" ca="1" si="110"/>
        <v/>
      </c>
      <c r="AA216" s="369" t="str">
        <f t="shared" ca="1" si="111"/>
        <v/>
      </c>
      <c r="AB216" s="344"/>
      <c r="AC216" s="363" t="e">
        <f t="shared" ca="1" si="112"/>
        <v>#N/A</v>
      </c>
      <c r="AD216" s="376" t="e">
        <f t="shared" ca="1" si="113"/>
        <v>#N/A</v>
      </c>
      <c r="AE216" s="377">
        <f t="shared" ca="1" si="92"/>
        <v>158.0176783135766</v>
      </c>
      <c r="AF216" s="344"/>
      <c r="AG216" s="359">
        <f t="shared" ca="1" si="114"/>
        <v>48.807706477655806</v>
      </c>
      <c r="AH216" s="357">
        <f t="shared" ca="1" si="115"/>
        <v>58.378459361736411</v>
      </c>
    </row>
    <row r="217" spans="1:34" x14ac:dyDescent="0.2">
      <c r="A217" s="402">
        <f t="shared" ca="1" si="93"/>
        <v>0.01</v>
      </c>
      <c r="B217" s="357">
        <f t="shared" ca="1" si="94"/>
        <v>2.1299999999999986</v>
      </c>
      <c r="C217" s="342"/>
      <c r="D217" s="359">
        <f t="shared" ca="1" si="95"/>
        <v>12.779003913732124</v>
      </c>
      <c r="E217" s="360">
        <f t="shared" ca="1" si="96"/>
        <v>46.947949739761242</v>
      </c>
      <c r="F217" s="357">
        <f t="shared" ca="1" si="97"/>
        <v>48.656067718161616</v>
      </c>
      <c r="G217" s="359">
        <f t="shared" ca="1" si="98"/>
        <v>31.288030936086994</v>
      </c>
      <c r="H217" s="360">
        <f t="shared" ca="1" si="99"/>
        <v>138.8676988458885</v>
      </c>
      <c r="I217" s="357">
        <f t="shared" ca="1" si="100"/>
        <v>142.34879227661159</v>
      </c>
      <c r="J217" s="359">
        <f t="shared" ca="1" si="101"/>
        <v>33.547381495515523</v>
      </c>
      <c r="K217" s="360">
        <f t="shared" ca="1" si="102"/>
        <v>159.40400790454851</v>
      </c>
      <c r="L217" s="357">
        <f t="shared" ca="1" si="87"/>
        <v>162.89587023997578</v>
      </c>
      <c r="M217" s="359">
        <f t="shared" ca="1" si="103"/>
        <v>1.3491885568742843</v>
      </c>
      <c r="N217" s="357">
        <f t="shared" ca="1" si="104"/>
        <v>77.302810076242721</v>
      </c>
      <c r="O217" s="343"/>
      <c r="P217" s="363">
        <f t="shared" ca="1" si="105"/>
        <v>6</v>
      </c>
      <c r="Q217" s="357">
        <f t="shared" ca="1" si="106"/>
        <v>567.75000000000023</v>
      </c>
      <c r="R217" s="359">
        <f t="shared" ca="1" si="107"/>
        <v>0.28492727255061051</v>
      </c>
      <c r="S217" s="360">
        <f t="shared" ca="1" si="108"/>
        <v>8.6508045794002069</v>
      </c>
      <c r="T217" s="357">
        <f t="shared" ca="1" si="88"/>
        <v>84.864392923916029</v>
      </c>
      <c r="U217" s="364">
        <f t="shared" ca="1" si="89"/>
        <v>0</v>
      </c>
      <c r="V217" s="359">
        <f t="shared" ca="1" si="90"/>
        <v>1.2056274124367461</v>
      </c>
      <c r="W217" s="357">
        <f t="shared" ca="1" si="91"/>
        <v>64.89041612262119</v>
      </c>
      <c r="X217" s="343"/>
      <c r="Y217" s="367" t="str">
        <f t="shared" ca="1" si="109"/>
        <v/>
      </c>
      <c r="Z217" s="368" t="str">
        <f t="shared" ca="1" si="110"/>
        <v/>
      </c>
      <c r="AA217" s="369" t="str">
        <f t="shared" ca="1" si="111"/>
        <v/>
      </c>
      <c r="AB217" s="344"/>
      <c r="AC217" s="363" t="e">
        <f t="shared" ca="1" si="112"/>
        <v>#N/A</v>
      </c>
      <c r="AD217" s="376" t="e">
        <f t="shared" ca="1" si="113"/>
        <v>#N/A</v>
      </c>
      <c r="AE217" s="377">
        <f t="shared" ca="1" si="92"/>
        <v>159.40400790454851</v>
      </c>
      <c r="AF217" s="344"/>
      <c r="AG217" s="359">
        <f t="shared" ca="1" si="114"/>
        <v>48.608331365608564</v>
      </c>
      <c r="AH217" s="357">
        <f t="shared" ca="1" si="115"/>
        <v>58.178757288966253</v>
      </c>
    </row>
    <row r="218" spans="1:34" x14ac:dyDescent="0.2">
      <c r="A218" s="402">
        <f t="shared" ca="1" si="93"/>
        <v>0.01</v>
      </c>
      <c r="B218" s="357">
        <f t="shared" ca="1" si="94"/>
        <v>2.1399999999999983</v>
      </c>
      <c r="C218" s="342"/>
      <c r="D218" s="359">
        <f t="shared" ca="1" si="95"/>
        <v>12.743672742937012</v>
      </c>
      <c r="E218" s="360">
        <f t="shared" ca="1" si="96"/>
        <v>46.751070022965749</v>
      </c>
      <c r="F218" s="357">
        <f t="shared" ca="1" si="97"/>
        <v>48.456823495471951</v>
      </c>
      <c r="G218" s="359">
        <f t="shared" ca="1" si="98"/>
        <v>31.415467663516363</v>
      </c>
      <c r="H218" s="360">
        <f t="shared" ca="1" si="99"/>
        <v>139.33520954611816</v>
      </c>
      <c r="I218" s="357">
        <f t="shared" ca="1" si="100"/>
        <v>142.83288216576076</v>
      </c>
      <c r="J218" s="359">
        <f t="shared" ca="1" si="101"/>
        <v>33.86089898851354</v>
      </c>
      <c r="K218" s="360">
        <f t="shared" ca="1" si="102"/>
        <v>160.79502244650854</v>
      </c>
      <c r="L218" s="357">
        <f t="shared" ca="1" si="87"/>
        <v>164.32163498420863</v>
      </c>
      <c r="M218" s="359">
        <f t="shared" ca="1" si="103"/>
        <v>1.3490375957036866</v>
      </c>
      <c r="N218" s="357">
        <f t="shared" ca="1" si="104"/>
        <v>77.294160638297129</v>
      </c>
      <c r="O218" s="343"/>
      <c r="P218" s="363">
        <f t="shared" ca="1" si="105"/>
        <v>6</v>
      </c>
      <c r="Q218" s="357">
        <f t="shared" ca="1" si="106"/>
        <v>566.29000000000019</v>
      </c>
      <c r="R218" s="359">
        <f t="shared" ca="1" si="107"/>
        <v>0.28419456657452263</v>
      </c>
      <c r="S218" s="360">
        <f t="shared" ca="1" si="108"/>
        <v>8.6479626337344619</v>
      </c>
      <c r="T218" s="357">
        <f t="shared" ca="1" si="88"/>
        <v>84.836513436935078</v>
      </c>
      <c r="U218" s="364">
        <f t="shared" ca="1" si="89"/>
        <v>0</v>
      </c>
      <c r="V218" s="359">
        <f t="shared" ca="1" si="90"/>
        <v>1.205459708828182</v>
      </c>
      <c r="W218" s="357">
        <f t="shared" ca="1" si="91"/>
        <v>65.323428423249851</v>
      </c>
      <c r="X218" s="343"/>
      <c r="Y218" s="367" t="str">
        <f t="shared" ca="1" si="109"/>
        <v/>
      </c>
      <c r="Z218" s="368" t="str">
        <f t="shared" ca="1" si="110"/>
        <v/>
      </c>
      <c r="AA218" s="369" t="str">
        <f t="shared" ca="1" si="111"/>
        <v/>
      </c>
      <c r="AB218" s="344"/>
      <c r="AC218" s="363" t="e">
        <f t="shared" ca="1" si="112"/>
        <v>#N/A</v>
      </c>
      <c r="AD218" s="376" t="e">
        <f t="shared" ca="1" si="113"/>
        <v>#N/A</v>
      </c>
      <c r="AE218" s="377">
        <f t="shared" ca="1" si="92"/>
        <v>160.79502244650854</v>
      </c>
      <c r="AF218" s="344"/>
      <c r="AG218" s="359">
        <f t="shared" ca="1" si="114"/>
        <v>48.408826162024553</v>
      </c>
      <c r="AH218" s="357">
        <f t="shared" ca="1" si="115"/>
        <v>57.978925801724806</v>
      </c>
    </row>
    <row r="219" spans="1:34" x14ac:dyDescent="0.2">
      <c r="A219" s="402">
        <f t="shared" ca="1" si="93"/>
        <v>0.01</v>
      </c>
      <c r="B219" s="357">
        <f t="shared" ca="1" si="94"/>
        <v>2.1499999999999981</v>
      </c>
      <c r="C219" s="342"/>
      <c r="D219" s="359">
        <f t="shared" ca="1" si="95"/>
        <v>12.708231193569432</v>
      </c>
      <c r="E219" s="360">
        <f t="shared" ca="1" si="96"/>
        <v>46.554083937317237</v>
      </c>
      <c r="F219" s="357">
        <f t="shared" ca="1" si="97"/>
        <v>48.257454049213891</v>
      </c>
      <c r="G219" s="359">
        <f t="shared" ca="1" si="98"/>
        <v>31.542549975452058</v>
      </c>
      <c r="H219" s="360">
        <f t="shared" ca="1" si="99"/>
        <v>139.80075038549134</v>
      </c>
      <c r="I219" s="357">
        <f t="shared" ca="1" si="100"/>
        <v>143.3149757258478</v>
      </c>
      <c r="J219" s="359">
        <f t="shared" ca="1" si="101"/>
        <v>34.17568907670838</v>
      </c>
      <c r="K219" s="360">
        <f t="shared" ca="1" si="102"/>
        <v>162.19070224616658</v>
      </c>
      <c r="L219" s="357">
        <f t="shared" ca="1" si="87"/>
        <v>165.75222960483069</v>
      </c>
      <c r="M219" s="359">
        <f t="shared" ca="1" si="103"/>
        <v>1.3488870415423326</v>
      </c>
      <c r="N219" s="357">
        <f t="shared" ca="1" si="104"/>
        <v>77.285534520263411</v>
      </c>
      <c r="O219" s="343"/>
      <c r="P219" s="363">
        <f t="shared" ca="1" si="105"/>
        <v>6</v>
      </c>
      <c r="Q219" s="357">
        <f t="shared" ca="1" si="106"/>
        <v>564.83000000000027</v>
      </c>
      <c r="R219" s="359">
        <f t="shared" ca="1" si="107"/>
        <v>0.28346186059843481</v>
      </c>
      <c r="S219" s="360">
        <f t="shared" ca="1" si="108"/>
        <v>8.6451280151284777</v>
      </c>
      <c r="T219" s="357">
        <f t="shared" ca="1" si="88"/>
        <v>84.808705828410368</v>
      </c>
      <c r="U219" s="364">
        <f t="shared" ca="1" si="89"/>
        <v>0</v>
      </c>
      <c r="V219" s="359">
        <f t="shared" ca="1" si="90"/>
        <v>1.2052914660231422</v>
      </c>
      <c r="W219" s="357">
        <f t="shared" ca="1" si="91"/>
        <v>65.755956878262978</v>
      </c>
      <c r="X219" s="343"/>
      <c r="Y219" s="367" t="str">
        <f t="shared" ca="1" si="109"/>
        <v/>
      </c>
      <c r="Z219" s="368" t="str">
        <f t="shared" ca="1" si="110"/>
        <v/>
      </c>
      <c r="AA219" s="369" t="str">
        <f t="shared" ca="1" si="111"/>
        <v/>
      </c>
      <c r="AB219" s="344"/>
      <c r="AC219" s="363" t="e">
        <f t="shared" ca="1" si="112"/>
        <v>#N/A</v>
      </c>
      <c r="AD219" s="376" t="e">
        <f t="shared" ca="1" si="113"/>
        <v>#N/A</v>
      </c>
      <c r="AE219" s="377">
        <f t="shared" ca="1" si="92"/>
        <v>162.19070224616658</v>
      </c>
      <c r="AF219" s="344"/>
      <c r="AG219" s="359">
        <f t="shared" ca="1" si="114"/>
        <v>48.209193585861755</v>
      </c>
      <c r="AH219" s="357">
        <f t="shared" ca="1" si="115"/>
        <v>57.778967610733183</v>
      </c>
    </row>
    <row r="220" spans="1:34" x14ac:dyDescent="0.2">
      <c r="A220" s="402">
        <f t="shared" ca="1" si="93"/>
        <v>0.01</v>
      </c>
      <c r="B220" s="357">
        <f t="shared" ca="1" si="94"/>
        <v>2.1599999999999979</v>
      </c>
      <c r="C220" s="342"/>
      <c r="D220" s="359">
        <f t="shared" ca="1" si="95"/>
        <v>12.672680309009545</v>
      </c>
      <c r="E220" s="360">
        <f t="shared" ca="1" si="96"/>
        <v>46.356994043720569</v>
      </c>
      <c r="F220" s="357">
        <f t="shared" ca="1" si="97"/>
        <v>48.057962118507504</v>
      </c>
      <c r="G220" s="359">
        <f t="shared" ca="1" si="98"/>
        <v>31.669276778542155</v>
      </c>
      <c r="H220" s="360">
        <f t="shared" ca="1" si="99"/>
        <v>140.26432032592854</v>
      </c>
      <c r="I220" s="357">
        <f t="shared" ca="1" si="100"/>
        <v>143.79507171030096</v>
      </c>
      <c r="J220" s="359">
        <f t="shared" ca="1" si="101"/>
        <v>34.491748210478349</v>
      </c>
      <c r="K220" s="360">
        <f t="shared" ca="1" si="102"/>
        <v>163.59102759972367</v>
      </c>
      <c r="L220" s="357">
        <f t="shared" ca="1" si="87"/>
        <v>167.18763412928777</v>
      </c>
      <c r="M220" s="359">
        <f t="shared" ca="1" si="103"/>
        <v>1.3487368898495722</v>
      </c>
      <c r="N220" s="357">
        <f t="shared" ca="1" si="104"/>
        <v>77.276931461981491</v>
      </c>
      <c r="O220" s="343"/>
      <c r="P220" s="363">
        <f t="shared" ca="1" si="105"/>
        <v>6</v>
      </c>
      <c r="Q220" s="357">
        <f t="shared" ca="1" si="106"/>
        <v>563.37000000000035</v>
      </c>
      <c r="R220" s="359">
        <f t="shared" ca="1" si="107"/>
        <v>0.28272915462234693</v>
      </c>
      <c r="S220" s="360">
        <f t="shared" ca="1" si="108"/>
        <v>8.6423007235822542</v>
      </c>
      <c r="T220" s="357">
        <f t="shared" ca="1" si="88"/>
        <v>84.780970098341925</v>
      </c>
      <c r="U220" s="364">
        <f t="shared" ca="1" si="89"/>
        <v>0</v>
      </c>
      <c r="V220" s="359">
        <f t="shared" ca="1" si="90"/>
        <v>1.2051226866250804</v>
      </c>
      <c r="W220" s="357">
        <f t="shared" ca="1" si="91"/>
        <v>66.187981544720614</v>
      </c>
      <c r="X220" s="343"/>
      <c r="Y220" s="367" t="str">
        <f t="shared" ca="1" si="109"/>
        <v/>
      </c>
      <c r="Z220" s="368" t="str">
        <f t="shared" ca="1" si="110"/>
        <v/>
      </c>
      <c r="AA220" s="369" t="str">
        <f t="shared" ca="1" si="111"/>
        <v/>
      </c>
      <c r="AB220" s="344"/>
      <c r="AC220" s="363" t="e">
        <f t="shared" ca="1" si="112"/>
        <v>#N/A</v>
      </c>
      <c r="AD220" s="376" t="e">
        <f t="shared" ca="1" si="113"/>
        <v>#N/A</v>
      </c>
      <c r="AE220" s="377">
        <f t="shared" ca="1" si="92"/>
        <v>163.59102759972367</v>
      </c>
      <c r="AF220" s="344"/>
      <c r="AG220" s="359">
        <f t="shared" ca="1" si="114"/>
        <v>48.00943634850583</v>
      </c>
      <c r="AH220" s="357">
        <f t="shared" ca="1" si="115"/>
        <v>57.578885419237665</v>
      </c>
    </row>
    <row r="221" spans="1:34" x14ac:dyDescent="0.2">
      <c r="A221" s="402">
        <f t="shared" ca="1" si="93"/>
        <v>0.01</v>
      </c>
      <c r="B221" s="357">
        <f t="shared" ca="1" si="94"/>
        <v>2.1699999999999977</v>
      </c>
      <c r="C221" s="342"/>
      <c r="D221" s="359">
        <f t="shared" ca="1" si="95"/>
        <v>12.637021125908822</v>
      </c>
      <c r="E221" s="360">
        <f t="shared" ca="1" si="96"/>
        <v>46.159802896509248</v>
      </c>
      <c r="F221" s="357">
        <f t="shared" ca="1" si="97"/>
        <v>47.858350435229681</v>
      </c>
      <c r="G221" s="359">
        <f t="shared" ca="1" si="98"/>
        <v>31.795646989801245</v>
      </c>
      <c r="H221" s="360">
        <f t="shared" ca="1" si="99"/>
        <v>140.72591835489362</v>
      </c>
      <c r="I221" s="357">
        <f t="shared" ca="1" si="100"/>
        <v>144.27316889958522</v>
      </c>
      <c r="J221" s="359">
        <f t="shared" ca="1" si="101"/>
        <v>34.809072829320066</v>
      </c>
      <c r="K221" s="360">
        <f t="shared" ca="1" si="102"/>
        <v>164.99597879312779</v>
      </c>
      <c r="L221" s="357">
        <f t="shared" ca="1" si="87"/>
        <v>168.62782857268601</v>
      </c>
      <c r="M221" s="359">
        <f t="shared" ca="1" si="103"/>
        <v>1.348587136142499</v>
      </c>
      <c r="N221" s="357">
        <f t="shared" ca="1" si="104"/>
        <v>77.26835120659976</v>
      </c>
      <c r="O221" s="343"/>
      <c r="P221" s="363">
        <f t="shared" ca="1" si="105"/>
        <v>6</v>
      </c>
      <c r="Q221" s="357">
        <f t="shared" ca="1" si="106"/>
        <v>561.91000000000031</v>
      </c>
      <c r="R221" s="359">
        <f t="shared" ca="1" si="107"/>
        <v>0.28199644864625906</v>
      </c>
      <c r="S221" s="360">
        <f t="shared" ca="1" si="108"/>
        <v>8.6394807590957914</v>
      </c>
      <c r="T221" s="357">
        <f t="shared" ca="1" si="88"/>
        <v>84.753306246729721</v>
      </c>
      <c r="U221" s="364">
        <f t="shared" ca="1" si="89"/>
        <v>0</v>
      </c>
      <c r="V221" s="359">
        <f t="shared" ca="1" si="90"/>
        <v>1.2049533732380462</v>
      </c>
      <c r="W221" s="357">
        <f t="shared" ca="1" si="91"/>
        <v>66.619482581689624</v>
      </c>
      <c r="X221" s="343"/>
      <c r="Y221" s="367" t="str">
        <f t="shared" ca="1" si="109"/>
        <v/>
      </c>
      <c r="Z221" s="368" t="str">
        <f t="shared" ca="1" si="110"/>
        <v/>
      </c>
      <c r="AA221" s="369" t="str">
        <f t="shared" ca="1" si="111"/>
        <v/>
      </c>
      <c r="AB221" s="344"/>
      <c r="AC221" s="363" t="e">
        <f t="shared" ca="1" si="112"/>
        <v>#N/A</v>
      </c>
      <c r="AD221" s="376" t="e">
        <f t="shared" ca="1" si="113"/>
        <v>#N/A</v>
      </c>
      <c r="AE221" s="377">
        <f t="shared" ca="1" si="92"/>
        <v>164.99597879312779</v>
      </c>
      <c r="AF221" s="344"/>
      <c r="AG221" s="359">
        <f t="shared" ca="1" si="114"/>
        <v>47.80955715367471</v>
      </c>
      <c r="AH221" s="357">
        <f t="shared" ca="1" si="115"/>
        <v>57.378681922912456</v>
      </c>
    </row>
    <row r="222" spans="1:34" x14ac:dyDescent="0.2">
      <c r="A222" s="402">
        <f t="shared" ca="1" si="93"/>
        <v>0.01</v>
      </c>
      <c r="B222" s="357">
        <f t="shared" ca="1" si="94"/>
        <v>2.1799999999999975</v>
      </c>
      <c r="C222" s="342"/>
      <c r="D222" s="359">
        <f t="shared" ca="1" si="95"/>
        <v>12.601254674266126</v>
      </c>
      <c r="E222" s="360">
        <f t="shared" ca="1" si="96"/>
        <v>45.962513043335967</v>
      </c>
      <c r="F222" s="357">
        <f t="shared" ca="1" si="97"/>
        <v>47.658621723928846</v>
      </c>
      <c r="G222" s="359">
        <f t="shared" ca="1" si="98"/>
        <v>31.921659536543906</v>
      </c>
      <c r="H222" s="360">
        <f t="shared" ca="1" si="99"/>
        <v>141.18554348532697</v>
      </c>
      <c r="I222" s="357">
        <f t="shared" ca="1" si="100"/>
        <v>144.74926610112459</v>
      </c>
      <c r="J222" s="359">
        <f t="shared" ca="1" si="101"/>
        <v>35.127659361951793</v>
      </c>
      <c r="K222" s="360">
        <f t="shared" ca="1" si="102"/>
        <v>166.40553610232888</v>
      </c>
      <c r="L222" s="357">
        <f t="shared" ca="1" si="87"/>
        <v>170.07279293806167</v>
      </c>
      <c r="M222" s="359">
        <f t="shared" ca="1" si="103"/>
        <v>1.3484377759948962</v>
      </c>
      <c r="N222" s="357">
        <f t="shared" ca="1" si="104"/>
        <v>77.259793500514661</v>
      </c>
      <c r="O222" s="343"/>
      <c r="P222" s="363">
        <f t="shared" ca="1" si="105"/>
        <v>6</v>
      </c>
      <c r="Q222" s="357">
        <f t="shared" ca="1" si="106"/>
        <v>560.45000000000039</v>
      </c>
      <c r="R222" s="359">
        <f t="shared" ca="1" si="107"/>
        <v>0.28126374267017124</v>
      </c>
      <c r="S222" s="360">
        <f t="shared" ca="1" si="108"/>
        <v>8.6366681216690893</v>
      </c>
      <c r="T222" s="357">
        <f t="shared" ca="1" si="88"/>
        <v>84.725714273573772</v>
      </c>
      <c r="U222" s="364">
        <f t="shared" ca="1" si="89"/>
        <v>0</v>
      </c>
      <c r="V222" s="359">
        <f t="shared" ca="1" si="90"/>
        <v>1.2047835284666453</v>
      </c>
      <c r="W222" s="357">
        <f t="shared" ca="1" si="91"/>
        <v>67.050440250760559</v>
      </c>
      <c r="X222" s="343"/>
      <c r="Y222" s="367" t="str">
        <f t="shared" ca="1" si="109"/>
        <v/>
      </c>
      <c r="Z222" s="368" t="str">
        <f t="shared" ca="1" si="110"/>
        <v/>
      </c>
      <c r="AA222" s="369" t="str">
        <f t="shared" ca="1" si="111"/>
        <v/>
      </c>
      <c r="AB222" s="344"/>
      <c r="AC222" s="363" t="e">
        <f t="shared" ca="1" si="112"/>
        <v>#N/A</v>
      </c>
      <c r="AD222" s="376" t="e">
        <f t="shared" ca="1" si="113"/>
        <v>#N/A</v>
      </c>
      <c r="AE222" s="377">
        <f t="shared" ca="1" si="92"/>
        <v>166.40553610232888</v>
      </c>
      <c r="AF222" s="344"/>
      <c r="AG222" s="359">
        <f t="shared" ca="1" si="114"/>
        <v>47.60955869732426</v>
      </c>
      <c r="AH222" s="357">
        <f t="shared" ca="1" si="115"/>
        <v>57.178359809763649</v>
      </c>
    </row>
    <row r="223" spans="1:34" x14ac:dyDescent="0.2">
      <c r="A223" s="402">
        <f t="shared" ca="1" si="93"/>
        <v>0.01</v>
      </c>
      <c r="B223" s="357">
        <f t="shared" ca="1" si="94"/>
        <v>2.1899999999999973</v>
      </c>
      <c r="C223" s="342"/>
      <c r="D223" s="359">
        <f t="shared" ca="1" si="95"/>
        <v>12.565381977501483</v>
      </c>
      <c r="E223" s="360">
        <f t="shared" ca="1" si="96"/>
        <v>45.765127025064196</v>
      </c>
      <c r="F223" s="357">
        <f t="shared" ca="1" si="97"/>
        <v>47.458778701740528</v>
      </c>
      <c r="G223" s="359">
        <f t="shared" ca="1" si="98"/>
        <v>32.047313356318924</v>
      </c>
      <c r="H223" s="360">
        <f t="shared" ca="1" si="99"/>
        <v>141.64319475557761</v>
      </c>
      <c r="I223" s="357">
        <f t="shared" ca="1" si="100"/>
        <v>145.22336214922373</v>
      </c>
      <c r="J223" s="359">
        <f t="shared" ca="1" si="101"/>
        <v>35.447504226416108</v>
      </c>
      <c r="K223" s="360">
        <f t="shared" ca="1" si="102"/>
        <v>167.8196797935334</v>
      </c>
      <c r="L223" s="357">
        <f t="shared" ca="1" si="87"/>
        <v>171.52250721665035</v>
      </c>
      <c r="M223" s="359">
        <f t="shared" ca="1" si="103"/>
        <v>1.3482888050362021</v>
      </c>
      <c r="N223" s="357">
        <f t="shared" ca="1" si="104"/>
        <v>77.251258093311478</v>
      </c>
      <c r="O223" s="343"/>
      <c r="P223" s="363">
        <f t="shared" ca="1" si="105"/>
        <v>6</v>
      </c>
      <c r="Q223" s="357">
        <f t="shared" ca="1" si="106"/>
        <v>558.99000000000035</v>
      </c>
      <c r="R223" s="359">
        <f t="shared" ca="1" si="107"/>
        <v>0.28053103669408336</v>
      </c>
      <c r="S223" s="360">
        <f t="shared" ca="1" si="108"/>
        <v>8.6338628113021478</v>
      </c>
      <c r="T223" s="357">
        <f t="shared" ca="1" si="88"/>
        <v>84.698194178874076</v>
      </c>
      <c r="U223" s="364">
        <f t="shared" ca="1" si="89"/>
        <v>0</v>
      </c>
      <c r="V223" s="359">
        <f t="shared" ca="1" si="90"/>
        <v>1.204613154915992</v>
      </c>
      <c r="W223" s="357">
        <f t="shared" ca="1" si="91"/>
        <v>67.480834916554954</v>
      </c>
      <c r="X223" s="343"/>
      <c r="Y223" s="367" t="str">
        <f t="shared" ca="1" si="109"/>
        <v/>
      </c>
      <c r="Z223" s="368" t="str">
        <f t="shared" ca="1" si="110"/>
        <v/>
      </c>
      <c r="AA223" s="369" t="str">
        <f t="shared" ca="1" si="111"/>
        <v/>
      </c>
      <c r="AB223" s="344"/>
      <c r="AC223" s="363" t="e">
        <f t="shared" ca="1" si="112"/>
        <v>#N/A</v>
      </c>
      <c r="AD223" s="376" t="e">
        <f t="shared" ca="1" si="113"/>
        <v>#N/A</v>
      </c>
      <c r="AE223" s="377">
        <f t="shared" ca="1" si="92"/>
        <v>167.8196797935334</v>
      </c>
      <c r="AF223" s="344"/>
      <c r="AG223" s="359">
        <f t="shared" ca="1" si="114"/>
        <v>47.409443667554626</v>
      </c>
      <c r="AH223" s="357">
        <f t="shared" ca="1" si="115"/>
        <v>56.977921760033858</v>
      </c>
    </row>
    <row r="224" spans="1:34" x14ac:dyDescent="0.2">
      <c r="A224" s="402">
        <f t="shared" ca="1" si="93"/>
        <v>0.01</v>
      </c>
      <c r="B224" s="357">
        <f t="shared" ca="1" si="94"/>
        <v>2.1999999999999971</v>
      </c>
      <c r="C224" s="342"/>
      <c r="D224" s="359">
        <f t="shared" ca="1" si="95"/>
        <v>12.529404052528037</v>
      </c>
      <c r="E224" s="360">
        <f t="shared" ca="1" si="96"/>
        <v>45.56764737566138</v>
      </c>
      <c r="F224" s="357">
        <f t="shared" ca="1" si="97"/>
        <v>47.258824078304414</v>
      </c>
      <c r="G224" s="359">
        <f t="shared" ca="1" si="98"/>
        <v>32.172607396844207</v>
      </c>
      <c r="H224" s="360">
        <f t="shared" ca="1" si="99"/>
        <v>142.09887122933424</v>
      </c>
      <c r="I224" s="357">
        <f t="shared" ca="1" si="100"/>
        <v>145.69545590498828</v>
      </c>
      <c r="J224" s="359">
        <f t="shared" ca="1" si="101"/>
        <v>35.768603830181924</v>
      </c>
      <c r="K224" s="360">
        <f t="shared" ca="1" si="102"/>
        <v>169.23839012345795</v>
      </c>
      <c r="L224" s="357">
        <f t="shared" ca="1" si="87"/>
        <v>172.97695138815533</v>
      </c>
      <c r="M224" s="359">
        <f t="shared" ca="1" si="103"/>
        <v>1.3481402189505018</v>
      </c>
      <c r="N224" s="357">
        <f t="shared" ca="1" si="104"/>
        <v>77.242744737706474</v>
      </c>
      <c r="O224" s="343"/>
      <c r="P224" s="363">
        <f t="shared" ca="1" si="105"/>
        <v>6</v>
      </c>
      <c r="Q224" s="357">
        <f t="shared" ca="1" si="106"/>
        <v>557.53000000000043</v>
      </c>
      <c r="R224" s="359">
        <f t="shared" ca="1" si="107"/>
        <v>0.27979833071799548</v>
      </c>
      <c r="S224" s="360">
        <f t="shared" ca="1" si="108"/>
        <v>8.6310648279949671</v>
      </c>
      <c r="T224" s="357">
        <f t="shared" ca="1" si="88"/>
        <v>84.670745962630633</v>
      </c>
      <c r="U224" s="364">
        <f t="shared" ca="1" si="89"/>
        <v>0</v>
      </c>
      <c r="V224" s="359">
        <f t="shared" ca="1" si="90"/>
        <v>1.2044422551916731</v>
      </c>
      <c r="W224" s="357">
        <f t="shared" ca="1" si="91"/>
        <v>67.910647047223819</v>
      </c>
      <c r="X224" s="343"/>
      <c r="Y224" s="367" t="str">
        <f t="shared" ca="1" si="109"/>
        <v/>
      </c>
      <c r="Z224" s="368" t="str">
        <f t="shared" ca="1" si="110"/>
        <v/>
      </c>
      <c r="AA224" s="369" t="str">
        <f t="shared" ca="1" si="111"/>
        <v/>
      </c>
      <c r="AB224" s="344"/>
      <c r="AC224" s="363" t="e">
        <f t="shared" ca="1" si="112"/>
        <v>#N/A</v>
      </c>
      <c r="AD224" s="376" t="e">
        <f t="shared" ca="1" si="113"/>
        <v>#N/A</v>
      </c>
      <c r="AE224" s="377">
        <f t="shared" ca="1" si="92"/>
        <v>169.23839012345795</v>
      </c>
      <c r="AF224" s="344"/>
      <c r="AG224" s="359">
        <f t="shared" ca="1" si="114"/>
        <v>47.209214744517851</v>
      </c>
      <c r="AH224" s="357">
        <f t="shared" ca="1" si="115"/>
        <v>56.777370446108208</v>
      </c>
    </row>
    <row r="225" spans="1:34" x14ac:dyDescent="0.2">
      <c r="A225" s="402">
        <f t="shared" ca="1" si="93"/>
        <v>0.01</v>
      </c>
      <c r="B225" s="357">
        <f t="shared" ca="1" si="94"/>
        <v>2.2099999999999969</v>
      </c>
      <c r="C225" s="342"/>
      <c r="D225" s="359">
        <f t="shared" ca="1" si="95"/>
        <v>12.493321909821779</v>
      </c>
      <c r="E225" s="360">
        <f t="shared" ca="1" si="96"/>
        <v>45.370076622093201</v>
      </c>
      <c r="F225" s="357">
        <f t="shared" ca="1" si="97"/>
        <v>47.058760555682305</v>
      </c>
      <c r="G225" s="359">
        <f t="shared" ca="1" si="98"/>
        <v>32.297540615942424</v>
      </c>
      <c r="H225" s="360">
        <f t="shared" ca="1" si="99"/>
        <v>142.55257199555516</v>
      </c>
      <c r="I225" s="357">
        <f t="shared" ca="1" si="100"/>
        <v>146.16554625624462</v>
      </c>
      <c r="J225" s="359">
        <f t="shared" ca="1" si="101"/>
        <v>36.090954570245856</v>
      </c>
      <c r="K225" s="360">
        <f t="shared" ca="1" si="102"/>
        <v>170.6616473395824</v>
      </c>
      <c r="L225" s="357">
        <f t="shared" ca="1" si="87"/>
        <v>174.43610542101524</v>
      </c>
      <c r="M225" s="359">
        <f t="shared" ca="1" si="103"/>
        <v>1.3479920134755403</v>
      </c>
      <c r="N225" s="357">
        <f t="shared" ca="1" si="104"/>
        <v>77.23425318949046</v>
      </c>
      <c r="O225" s="343"/>
      <c r="P225" s="363">
        <f t="shared" ca="1" si="105"/>
        <v>6</v>
      </c>
      <c r="Q225" s="357">
        <f t="shared" ca="1" si="106"/>
        <v>556.07000000000039</v>
      </c>
      <c r="R225" s="359">
        <f t="shared" ca="1" si="107"/>
        <v>0.2790656247419076</v>
      </c>
      <c r="S225" s="360">
        <f t="shared" ca="1" si="108"/>
        <v>8.6282741717475488</v>
      </c>
      <c r="T225" s="357">
        <f t="shared" ca="1" si="88"/>
        <v>84.643369624843459</v>
      </c>
      <c r="U225" s="364">
        <f t="shared" ca="1" si="89"/>
        <v>0</v>
      </c>
      <c r="V225" s="359">
        <f t="shared" ca="1" si="90"/>
        <v>1.2042708318997004</v>
      </c>
      <c r="W225" s="357">
        <f t="shared" ca="1" si="91"/>
        <v>68.339857214936302</v>
      </c>
      <c r="X225" s="343"/>
      <c r="Y225" s="367" t="str">
        <f t="shared" ca="1" si="109"/>
        <v/>
      </c>
      <c r="Z225" s="368" t="str">
        <f t="shared" ca="1" si="110"/>
        <v/>
      </c>
      <c r="AA225" s="369" t="str">
        <f t="shared" ca="1" si="111"/>
        <v/>
      </c>
      <c r="AB225" s="344"/>
      <c r="AC225" s="363" t="e">
        <f t="shared" ca="1" si="112"/>
        <v>#N/A</v>
      </c>
      <c r="AD225" s="376" t="e">
        <f t="shared" ca="1" si="113"/>
        <v>#N/A</v>
      </c>
      <c r="AE225" s="377">
        <f t="shared" ca="1" si="92"/>
        <v>170.6616473395824</v>
      </c>
      <c r="AF225" s="344"/>
      <c r="AG225" s="359">
        <f t="shared" ca="1" si="114"/>
        <v>47.008874600326109</v>
      </c>
      <c r="AH225" s="357">
        <f t="shared" ca="1" si="115"/>
        <v>56.576708532420916</v>
      </c>
    </row>
    <row r="226" spans="1:34" x14ac:dyDescent="0.2">
      <c r="A226" s="402">
        <f t="shared" ca="1" si="93"/>
        <v>0.01</v>
      </c>
      <c r="B226" s="357">
        <f t="shared" ca="1" si="94"/>
        <v>2.2199999999999966</v>
      </c>
      <c r="C226" s="342"/>
      <c r="D226" s="359">
        <f t="shared" ca="1" si="95"/>
        <v>12.457136553489509</v>
      </c>
      <c r="E226" s="360">
        <f t="shared" ca="1" si="96"/>
        <v>45.172417284219506</v>
      </c>
      <c r="F226" s="357">
        <f t="shared" ca="1" si="97"/>
        <v>46.858590828277556</v>
      </c>
      <c r="G226" s="359">
        <f t="shared" ca="1" si="98"/>
        <v>32.422111981477322</v>
      </c>
      <c r="H226" s="360">
        <f t="shared" ca="1" si="99"/>
        <v>143.00429616839736</v>
      </c>
      <c r="I226" s="357">
        <f t="shared" ca="1" si="100"/>
        <v>146.63363211745852</v>
      </c>
      <c r="J226" s="359">
        <f t="shared" ca="1" si="101"/>
        <v>36.414552833232953</v>
      </c>
      <c r="K226" s="360">
        <f t="shared" ca="1" si="102"/>
        <v>172.08943168040216</v>
      </c>
      <c r="L226" s="357">
        <f t="shared" ca="1" si="87"/>
        <v>175.89994927267068</v>
      </c>
      <c r="M226" s="359">
        <f t="shared" ca="1" si="103"/>
        <v>1.3478441844017579</v>
      </c>
      <c r="N226" s="357">
        <f t="shared" ca="1" si="104"/>
        <v>77.225783207473398</v>
      </c>
      <c r="O226" s="343"/>
      <c r="P226" s="363">
        <f t="shared" ca="1" si="105"/>
        <v>6</v>
      </c>
      <c r="Q226" s="357">
        <f t="shared" ca="1" si="106"/>
        <v>554.61000000000047</v>
      </c>
      <c r="R226" s="359">
        <f t="shared" ca="1" si="107"/>
        <v>0.27833291876581978</v>
      </c>
      <c r="S226" s="360">
        <f t="shared" ca="1" si="108"/>
        <v>8.6254908425598913</v>
      </c>
      <c r="T226" s="357">
        <f t="shared" ca="1" si="88"/>
        <v>84.616065165512538</v>
      </c>
      <c r="U226" s="364">
        <f t="shared" ca="1" si="89"/>
        <v>0</v>
      </c>
      <c r="V226" s="359">
        <f t="shared" ca="1" si="90"/>
        <v>1.2040988876464713</v>
      </c>
      <c r="W226" s="357">
        <f t="shared" ca="1" si="91"/>
        <v>68.768446096359412</v>
      </c>
      <c r="X226" s="343"/>
      <c r="Y226" s="367" t="str">
        <f t="shared" ca="1" si="109"/>
        <v/>
      </c>
      <c r="Z226" s="368" t="str">
        <f t="shared" ca="1" si="110"/>
        <v/>
      </c>
      <c r="AA226" s="369" t="str">
        <f t="shared" ca="1" si="111"/>
        <v/>
      </c>
      <c r="AB226" s="344"/>
      <c r="AC226" s="363" t="e">
        <f t="shared" ca="1" si="112"/>
        <v>#N/A</v>
      </c>
      <c r="AD226" s="376" t="e">
        <f t="shared" ca="1" si="113"/>
        <v>#N/A</v>
      </c>
      <c r="AE226" s="377">
        <f t="shared" ca="1" si="92"/>
        <v>172.08943168040216</v>
      </c>
      <c r="AF226" s="344"/>
      <c r="AG226" s="359">
        <f t="shared" ca="1" si="114"/>
        <v>46.808425898961318</v>
      </c>
      <c r="AH226" s="357">
        <f t="shared" ca="1" si="115"/>
        <v>56.375938675363308</v>
      </c>
    </row>
    <row r="227" spans="1:34" x14ac:dyDescent="0.2">
      <c r="A227" s="402">
        <f t="shared" ca="1" si="93"/>
        <v>0.01</v>
      </c>
      <c r="B227" s="357">
        <f t="shared" ca="1" si="94"/>
        <v>2.2299999999999964</v>
      </c>
      <c r="C227" s="342"/>
      <c r="D227" s="359">
        <f t="shared" ca="1" si="95"/>
        <v>12.420848981334725</v>
      </c>
      <c r="E227" s="360">
        <f t="shared" ca="1" si="96"/>
        <v>44.974671874691175</v>
      </c>
      <c r="F227" s="357">
        <f t="shared" ca="1" si="97"/>
        <v>46.658317582755394</v>
      </c>
      <c r="G227" s="359">
        <f t="shared" ca="1" si="98"/>
        <v>32.54632047129067</v>
      </c>
      <c r="H227" s="360">
        <f t="shared" ca="1" si="99"/>
        <v>143.45404288714428</v>
      </c>
      <c r="I227" s="357">
        <f t="shared" ca="1" si="100"/>
        <v>147.09971242965293</v>
      </c>
      <c r="J227" s="359">
        <f t="shared" ca="1" si="101"/>
        <v>36.739394995496795</v>
      </c>
      <c r="K227" s="360">
        <f t="shared" ca="1" si="102"/>
        <v>173.52172337567987</v>
      </c>
      <c r="L227" s="357">
        <f t="shared" ca="1" si="87"/>
        <v>177.36846288983028</v>
      </c>
      <c r="M227" s="359">
        <f t="shared" ca="1" si="103"/>
        <v>1.3476967275713445</v>
      </c>
      <c r="N227" s="357">
        <f t="shared" ca="1" si="104"/>
        <v>77.217334553430334</v>
      </c>
      <c r="O227" s="343"/>
      <c r="P227" s="363">
        <f t="shared" ca="1" si="105"/>
        <v>6</v>
      </c>
      <c r="Q227" s="357">
        <f t="shared" ca="1" si="106"/>
        <v>553.15000000000055</v>
      </c>
      <c r="R227" s="359">
        <f t="shared" ca="1" si="107"/>
        <v>0.2776002127897319</v>
      </c>
      <c r="S227" s="360">
        <f t="shared" ca="1" si="108"/>
        <v>8.6227148404319944</v>
      </c>
      <c r="T227" s="357">
        <f t="shared" ca="1" si="88"/>
        <v>84.588832584637871</v>
      </c>
      <c r="U227" s="364">
        <f t="shared" ca="1" si="89"/>
        <v>0</v>
      </c>
      <c r="V227" s="359">
        <f t="shared" ca="1" si="90"/>
        <v>1.2039264250387274</v>
      </c>
      <c r="W227" s="357">
        <f t="shared" ca="1" si="91"/>
        <v>69.196394473128535</v>
      </c>
      <c r="X227" s="343"/>
      <c r="Y227" s="367" t="str">
        <f t="shared" ca="1" si="109"/>
        <v/>
      </c>
      <c r="Z227" s="368" t="str">
        <f t="shared" ca="1" si="110"/>
        <v/>
      </c>
      <c r="AA227" s="369" t="str">
        <f t="shared" ca="1" si="111"/>
        <v/>
      </c>
      <c r="AB227" s="344"/>
      <c r="AC227" s="363" t="e">
        <f t="shared" ca="1" si="112"/>
        <v>#N/A</v>
      </c>
      <c r="AD227" s="376" t="e">
        <f t="shared" ca="1" si="113"/>
        <v>#N/A</v>
      </c>
      <c r="AE227" s="377">
        <f t="shared" ca="1" si="92"/>
        <v>173.52172337567987</v>
      </c>
      <c r="AF227" s="344"/>
      <c r="AG227" s="359">
        <f t="shared" ca="1" si="114"/>
        <v>46.607871296185237</v>
      </c>
      <c r="AH227" s="357">
        <f t="shared" ca="1" si="115"/>
        <v>56.175063523192406</v>
      </c>
    </row>
    <row r="228" spans="1:34" x14ac:dyDescent="0.2">
      <c r="A228" s="402">
        <f t="shared" ca="1" si="93"/>
        <v>0.01</v>
      </c>
      <c r="B228" s="357">
        <f t="shared" ca="1" si="94"/>
        <v>2.2399999999999962</v>
      </c>
      <c r="C228" s="342"/>
      <c r="D228" s="359">
        <f t="shared" ca="1" si="95"/>
        <v>12.384460184921945</v>
      </c>
      <c r="E228" s="360">
        <f t="shared" ca="1" si="96"/>
        <v>44.776842898848557</v>
      </c>
      <c r="F228" s="357">
        <f t="shared" ca="1" si="97"/>
        <v>46.457943497964706</v>
      </c>
      <c r="G228" s="359">
        <f t="shared" ca="1" si="98"/>
        <v>32.670165073139891</v>
      </c>
      <c r="H228" s="360">
        <f t="shared" ca="1" si="99"/>
        <v>143.90181131613278</v>
      </c>
      <c r="I228" s="357">
        <f t="shared" ca="1" si="100"/>
        <v>147.56378616032487</v>
      </c>
      <c r="J228" s="359">
        <f t="shared" ca="1" si="101"/>
        <v>37.065477423218951</v>
      </c>
      <c r="K228" s="360">
        <f t="shared" ca="1" si="102"/>
        <v>174.95850264669625</v>
      </c>
      <c r="L228" s="357">
        <f t="shared" ca="1" si="87"/>
        <v>178.84162620873579</v>
      </c>
      <c r="M228" s="359">
        <f t="shared" ca="1" si="103"/>
        <v>1.3475496388773192</v>
      </c>
      <c r="N228" s="357">
        <f t="shared" ca="1" si="104"/>
        <v>77.208906992048583</v>
      </c>
      <c r="O228" s="343"/>
      <c r="P228" s="363">
        <f t="shared" ca="1" si="105"/>
        <v>6</v>
      </c>
      <c r="Q228" s="357">
        <f t="shared" ca="1" si="106"/>
        <v>551.69000000000051</v>
      </c>
      <c r="R228" s="359">
        <f t="shared" ca="1" si="107"/>
        <v>0.27686750681364403</v>
      </c>
      <c r="S228" s="360">
        <f t="shared" ca="1" si="108"/>
        <v>8.6199461653638583</v>
      </c>
      <c r="T228" s="357">
        <f t="shared" ca="1" si="88"/>
        <v>84.561671882219457</v>
      </c>
      <c r="U228" s="364">
        <f t="shared" ca="1" si="89"/>
        <v>0</v>
      </c>
      <c r="V228" s="359">
        <f t="shared" ca="1" si="90"/>
        <v>1.2037534466835127</v>
      </c>
      <c r="W228" s="357">
        <f t="shared" ca="1" si="91"/>
        <v>69.623683232308522</v>
      </c>
      <c r="X228" s="343"/>
      <c r="Y228" s="367" t="str">
        <f t="shared" ca="1" si="109"/>
        <v/>
      </c>
      <c r="Z228" s="368" t="str">
        <f t="shared" ca="1" si="110"/>
        <v/>
      </c>
      <c r="AA228" s="369" t="str">
        <f t="shared" ca="1" si="111"/>
        <v/>
      </c>
      <c r="AB228" s="344"/>
      <c r="AC228" s="363" t="e">
        <f t="shared" ca="1" si="112"/>
        <v>#N/A</v>
      </c>
      <c r="AD228" s="376" t="e">
        <f t="shared" ca="1" si="113"/>
        <v>#N/A</v>
      </c>
      <c r="AE228" s="377">
        <f t="shared" ca="1" si="92"/>
        <v>174.95850264669625</v>
      </c>
      <c r="AF228" s="344"/>
      <c r="AG228" s="359">
        <f t="shared" ca="1" si="114"/>
        <v>46.407213439450906</v>
      </c>
      <c r="AH228" s="357">
        <f t="shared" ca="1" si="115"/>
        <v>55.974085715940824</v>
      </c>
    </row>
    <row r="229" spans="1:34" x14ac:dyDescent="0.2">
      <c r="A229" s="402">
        <f t="shared" ca="1" si="93"/>
        <v>0.01</v>
      </c>
      <c r="B229" s="357">
        <f t="shared" ca="1" si="94"/>
        <v>2.249999999999996</v>
      </c>
      <c r="C229" s="342"/>
      <c r="D229" s="359">
        <f t="shared" ca="1" si="95"/>
        <v>12.347971149638951</v>
      </c>
      <c r="E229" s="360">
        <f t="shared" ca="1" si="96"/>
        <v>44.578932854621179</v>
      </c>
      <c r="F229" s="357">
        <f t="shared" ca="1" si="97"/>
        <v>46.257471244860966</v>
      </c>
      <c r="G229" s="359">
        <f t="shared" ca="1" si="98"/>
        <v>32.793644784636278</v>
      </c>
      <c r="H229" s="360">
        <f t="shared" ca="1" si="99"/>
        <v>144.34760064467898</v>
      </c>
      <c r="I229" s="357">
        <f t="shared" ca="1" si="100"/>
        <v>148.02585230336163</v>
      </c>
      <c r="J229" s="359">
        <f t="shared" ca="1" si="101"/>
        <v>37.392796472507833</v>
      </c>
      <c r="K229" s="360">
        <f t="shared" ca="1" si="102"/>
        <v>176.3997497065003</v>
      </c>
      <c r="L229" s="357">
        <f t="shared" ca="1" si="87"/>
        <v>180.31941915542637</v>
      </c>
      <c r="M229" s="359">
        <f t="shared" ca="1" si="103"/>
        <v>1.3474029142626243</v>
      </c>
      <c r="N229" s="357">
        <f t="shared" ca="1" si="104"/>
        <v>77.20050029087588</v>
      </c>
      <c r="O229" s="343"/>
      <c r="P229" s="363">
        <f t="shared" ca="1" si="105"/>
        <v>6</v>
      </c>
      <c r="Q229" s="357">
        <f t="shared" ca="1" si="106"/>
        <v>550.23000000000059</v>
      </c>
      <c r="R229" s="359">
        <f t="shared" ca="1" si="107"/>
        <v>0.2761348008375562</v>
      </c>
      <c r="S229" s="360">
        <f t="shared" ca="1" si="108"/>
        <v>8.6171848173554828</v>
      </c>
      <c r="T229" s="357">
        <f t="shared" ca="1" si="88"/>
        <v>84.534583058257297</v>
      </c>
      <c r="U229" s="364">
        <f t="shared" ca="1" si="89"/>
        <v>0</v>
      </c>
      <c r="V229" s="359">
        <f t="shared" ca="1" si="90"/>
        <v>1.2035799551881299</v>
      </c>
      <c r="W229" s="357">
        <f t="shared" ca="1" si="91"/>
        <v>70.050293366845665</v>
      </c>
      <c r="X229" s="343"/>
      <c r="Y229" s="367" t="str">
        <f t="shared" ca="1" si="109"/>
        <v/>
      </c>
      <c r="Z229" s="368" t="str">
        <f t="shared" ca="1" si="110"/>
        <v/>
      </c>
      <c r="AA229" s="369" t="str">
        <f t="shared" ca="1" si="111"/>
        <v/>
      </c>
      <c r="AB229" s="344"/>
      <c r="AC229" s="363" t="e">
        <f t="shared" ca="1" si="112"/>
        <v>#N/A</v>
      </c>
      <c r="AD229" s="376" t="e">
        <f t="shared" ca="1" si="113"/>
        <v>#N/A</v>
      </c>
      <c r="AE229" s="377">
        <f t="shared" ca="1" si="92"/>
        <v>176.3997497065003</v>
      </c>
      <c r="AF229" s="344"/>
      <c r="AG229" s="359">
        <f t="shared" ca="1" si="114"/>
        <v>46.206454967814928</v>
      </c>
      <c r="AH229" s="357">
        <f t="shared" ca="1" si="115"/>
        <v>55.773007885327537</v>
      </c>
    </row>
    <row r="230" spans="1:34" x14ac:dyDescent="0.2">
      <c r="A230" s="402">
        <f t="shared" ca="1" si="93"/>
        <v>0.01</v>
      </c>
      <c r="B230" s="357">
        <f t="shared" ca="1" si="94"/>
        <v>2.2599999999999958</v>
      </c>
      <c r="C230" s="342"/>
      <c r="D230" s="359">
        <f t="shared" ca="1" si="95"/>
        <v>12.311382854757598</v>
      </c>
      <c r="E230" s="360">
        <f t="shared" ca="1" si="96"/>
        <v>44.380944232428597</v>
      </c>
      <c r="F230" s="357">
        <f t="shared" ca="1" si="97"/>
        <v>46.056903486430308</v>
      </c>
      <c r="G230" s="359">
        <f t="shared" ca="1" si="98"/>
        <v>32.916758613183852</v>
      </c>
      <c r="H230" s="360">
        <f t="shared" ca="1" si="99"/>
        <v>144.79141008700327</v>
      </c>
      <c r="I230" s="357">
        <f t="shared" ca="1" si="100"/>
        <v>148.48590987895574</v>
      </c>
      <c r="J230" s="359">
        <f t="shared" ca="1" si="101"/>
        <v>37.721348489496933</v>
      </c>
      <c r="K230" s="360">
        <f t="shared" ca="1" si="102"/>
        <v>177.8454447601587</v>
      </c>
      <c r="L230" s="357">
        <f t="shared" ca="1" si="87"/>
        <v>181.80182164600203</v>
      </c>
      <c r="M230" s="359">
        <f t="shared" ca="1" si="103"/>
        <v>1.3472565497192441</v>
      </c>
      <c r="N230" s="357">
        <f t="shared" ca="1" si="104"/>
        <v>77.192114220269843</v>
      </c>
      <c r="O230" s="343"/>
      <c r="P230" s="363">
        <f t="shared" ca="1" si="105"/>
        <v>6</v>
      </c>
      <c r="Q230" s="357">
        <f t="shared" ca="1" si="106"/>
        <v>548.77000000000055</v>
      </c>
      <c r="R230" s="359">
        <f t="shared" ca="1" si="107"/>
        <v>0.27540209486146833</v>
      </c>
      <c r="S230" s="360">
        <f t="shared" ca="1" si="108"/>
        <v>8.614430796406868</v>
      </c>
      <c r="T230" s="357">
        <f t="shared" ca="1" si="88"/>
        <v>84.507566112751377</v>
      </c>
      <c r="U230" s="364">
        <f t="shared" ca="1" si="89"/>
        <v>0</v>
      </c>
      <c r="V230" s="359">
        <f t="shared" ca="1" si="90"/>
        <v>1.2034059531601013</v>
      </c>
      <c r="W230" s="357">
        <f t="shared" ca="1" si="91"/>
        <v>70.476205976010391</v>
      </c>
      <c r="X230" s="343"/>
      <c r="Y230" s="367" t="str">
        <f t="shared" ca="1" si="109"/>
        <v/>
      </c>
      <c r="Z230" s="368" t="str">
        <f t="shared" ca="1" si="110"/>
        <v/>
      </c>
      <c r="AA230" s="369" t="str">
        <f t="shared" ca="1" si="111"/>
        <v/>
      </c>
      <c r="AB230" s="344"/>
      <c r="AC230" s="363" t="e">
        <f t="shared" ca="1" si="112"/>
        <v>#N/A</v>
      </c>
      <c r="AD230" s="376" t="e">
        <f t="shared" ca="1" si="113"/>
        <v>#N/A</v>
      </c>
      <c r="AE230" s="377">
        <f t="shared" ca="1" si="92"/>
        <v>177.8454447601587</v>
      </c>
      <c r="AF230" s="344"/>
      <c r="AG230" s="359">
        <f t="shared" ca="1" si="114"/>
        <v>46.005598511850621</v>
      </c>
      <c r="AH230" s="357">
        <f t="shared" ca="1" si="115"/>
        <v>55.571832654669628</v>
      </c>
    </row>
    <row r="231" spans="1:34" x14ac:dyDescent="0.2">
      <c r="A231" s="402">
        <f t="shared" ca="1" si="93"/>
        <v>0.01</v>
      </c>
      <c r="B231" s="357">
        <f t="shared" ca="1" si="94"/>
        <v>2.2699999999999956</v>
      </c>
      <c r="C231" s="342"/>
      <c r="D231" s="359">
        <f t="shared" ca="1" si="95"/>
        <v>12.274696273492738</v>
      </c>
      <c r="E231" s="360">
        <f t="shared" ca="1" si="96"/>
        <v>44.182879515082746</v>
      </c>
      <c r="F231" s="357">
        <f t="shared" ca="1" si="97"/>
        <v>45.856242877614989</v>
      </c>
      <c r="G231" s="359">
        <f t="shared" ca="1" si="98"/>
        <v>33.039505575918781</v>
      </c>
      <c r="H231" s="360">
        <f t="shared" ca="1" si="99"/>
        <v>145.2332388821541</v>
      </c>
      <c r="I231" s="357">
        <f t="shared" ca="1" si="100"/>
        <v>148.94395793351941</v>
      </c>
      <c r="J231" s="359">
        <f t="shared" ca="1" si="101"/>
        <v>38.051129810442447</v>
      </c>
      <c r="K231" s="360">
        <f t="shared" ca="1" si="102"/>
        <v>179.2955680050045</v>
      </c>
      <c r="L231" s="357">
        <f t="shared" ca="1" si="87"/>
        <v>183.28881358688622</v>
      </c>
      <c r="M231" s="359">
        <f t="shared" ca="1" si="103"/>
        <v>1.3471105412873392</v>
      </c>
      <c r="N231" s="357">
        <f t="shared" ca="1" si="104"/>
        <v>77.183748553348366</v>
      </c>
      <c r="O231" s="343"/>
      <c r="P231" s="363">
        <f t="shared" ca="1" si="105"/>
        <v>6</v>
      </c>
      <c r="Q231" s="357">
        <f t="shared" ca="1" si="106"/>
        <v>547.31000000000063</v>
      </c>
      <c r="R231" s="359">
        <f t="shared" ca="1" si="107"/>
        <v>0.27466938888538045</v>
      </c>
      <c r="S231" s="360">
        <f t="shared" ca="1" si="108"/>
        <v>8.611684102518014</v>
      </c>
      <c r="T231" s="357">
        <f t="shared" ca="1" si="88"/>
        <v>84.480621045701724</v>
      </c>
      <c r="U231" s="364">
        <f t="shared" ca="1" si="89"/>
        <v>0</v>
      </c>
      <c r="V231" s="359">
        <f t="shared" ca="1" si="90"/>
        <v>1.2032314432071285</v>
      </c>
      <c r="W231" s="357">
        <f t="shared" ca="1" si="91"/>
        <v>70.901402265831038</v>
      </c>
      <c r="X231" s="343"/>
      <c r="Y231" s="367" t="str">
        <f t="shared" ca="1" si="109"/>
        <v/>
      </c>
      <c r="Z231" s="368" t="str">
        <f t="shared" ca="1" si="110"/>
        <v/>
      </c>
      <c r="AA231" s="369" t="str">
        <f t="shared" ca="1" si="111"/>
        <v/>
      </c>
      <c r="AB231" s="344"/>
      <c r="AC231" s="363" t="e">
        <f t="shared" ca="1" si="112"/>
        <v>#N/A</v>
      </c>
      <c r="AD231" s="376" t="e">
        <f t="shared" ca="1" si="113"/>
        <v>#N/A</v>
      </c>
      <c r="AE231" s="377">
        <f t="shared" ca="1" si="92"/>
        <v>179.2955680050045</v>
      </c>
      <c r="AF231" s="344"/>
      <c r="AG231" s="359">
        <f t="shared" ca="1" si="114"/>
        <v>45.804646693562368</v>
      </c>
      <c r="AH231" s="357">
        <f t="shared" ca="1" si="115"/>
        <v>55.370562638795164</v>
      </c>
    </row>
    <row r="232" spans="1:34" x14ac:dyDescent="0.2">
      <c r="A232" s="402">
        <f t="shared" ca="1" si="93"/>
        <v>0.01</v>
      </c>
      <c r="B232" s="357">
        <f t="shared" ca="1" si="94"/>
        <v>2.2799999999999954</v>
      </c>
      <c r="C232" s="342"/>
      <c r="D232" s="359">
        <f t="shared" ca="1" si="95"/>
        <v>12.237912373059659</v>
      </c>
      <c r="E232" s="360">
        <f t="shared" ca="1" si="96"/>
        <v>43.984741177691411</v>
      </c>
      <c r="F232" s="357">
        <f t="shared" ca="1" si="97"/>
        <v>45.655492065239962</v>
      </c>
      <c r="G232" s="359">
        <f t="shared" ca="1" si="98"/>
        <v>33.161884699649377</v>
      </c>
      <c r="H232" s="360">
        <f t="shared" ca="1" si="99"/>
        <v>145.67308629393102</v>
      </c>
      <c r="I232" s="357">
        <f t="shared" ca="1" si="100"/>
        <v>149.39999553959805</v>
      </c>
      <c r="J232" s="359">
        <f t="shared" ca="1" si="101"/>
        <v>38.382136761820284</v>
      </c>
      <c r="K232" s="360">
        <f t="shared" ca="1" si="102"/>
        <v>180.75009963088493</v>
      </c>
      <c r="L232" s="357">
        <f t="shared" ca="1" si="87"/>
        <v>184.7803748750876</v>
      </c>
      <c r="M232" s="359">
        <f t="shared" ca="1" si="103"/>
        <v>1.3469648850544012</v>
      </c>
      <c r="N232" s="357">
        <f t="shared" ca="1" si="104"/>
        <v>77.175403065941239</v>
      </c>
      <c r="O232" s="343"/>
      <c r="P232" s="363">
        <f t="shared" ca="1" si="105"/>
        <v>6</v>
      </c>
      <c r="Q232" s="357">
        <f t="shared" ca="1" si="106"/>
        <v>545.8500000000007</v>
      </c>
      <c r="R232" s="359">
        <f t="shared" ca="1" si="107"/>
        <v>0.27393668290929263</v>
      </c>
      <c r="S232" s="360">
        <f t="shared" ca="1" si="108"/>
        <v>8.6089447356889206</v>
      </c>
      <c r="T232" s="357">
        <f t="shared" ca="1" si="88"/>
        <v>84.453747857108311</v>
      </c>
      <c r="U232" s="364">
        <f t="shared" ca="1" si="89"/>
        <v>0</v>
      </c>
      <c r="V232" s="359">
        <f t="shared" ca="1" si="90"/>
        <v>1.2030564279370486</v>
      </c>
      <c r="W232" s="357">
        <f t="shared" ca="1" si="91"/>
        <v>71.325863549518161</v>
      </c>
      <c r="X232" s="343"/>
      <c r="Y232" s="367" t="str">
        <f t="shared" ca="1" si="109"/>
        <v/>
      </c>
      <c r="Z232" s="368" t="str">
        <f t="shared" ca="1" si="110"/>
        <v/>
      </c>
      <c r="AA232" s="369" t="str">
        <f t="shared" ca="1" si="111"/>
        <v/>
      </c>
      <c r="AB232" s="344"/>
      <c r="AC232" s="363" t="e">
        <f t="shared" ca="1" si="112"/>
        <v>#N/A</v>
      </c>
      <c r="AD232" s="376" t="e">
        <f t="shared" ca="1" si="113"/>
        <v>#N/A</v>
      </c>
      <c r="AE232" s="377">
        <f t="shared" ca="1" si="92"/>
        <v>180.75009963088493</v>
      </c>
      <c r="AF232" s="344"/>
      <c r="AG232" s="359">
        <f t="shared" ca="1" si="114"/>
        <v>45.603602126300686</v>
      </c>
      <c r="AH232" s="357">
        <f t="shared" ca="1" si="115"/>
        <v>55.169200443956903</v>
      </c>
    </row>
    <row r="233" spans="1:34" x14ac:dyDescent="0.2">
      <c r="A233" s="402">
        <f t="shared" ca="1" si="93"/>
        <v>0.01</v>
      </c>
      <c r="B233" s="357">
        <f t="shared" ca="1" si="94"/>
        <v>2.2899999999999952</v>
      </c>
      <c r="C233" s="342"/>
      <c r="D233" s="359">
        <f t="shared" ca="1" si="95"/>
        <v>12.201032114729877</v>
      </c>
      <c r="E233" s="360">
        <f t="shared" ca="1" si="96"/>
        <v>43.786531687563027</v>
      </c>
      <c r="F233" s="357">
        <f t="shared" ca="1" si="97"/>
        <v>45.454653687940805</v>
      </c>
      <c r="G233" s="359">
        <f t="shared" ca="1" si="98"/>
        <v>33.283895020796677</v>
      </c>
      <c r="H233" s="360">
        <f t="shared" ca="1" si="99"/>
        <v>146.11095161080667</v>
      </c>
      <c r="I233" s="357">
        <f t="shared" ca="1" si="100"/>
        <v>149.85402179578264</v>
      </c>
      <c r="J233" s="359">
        <f t="shared" ca="1" si="101"/>
        <v>38.714365660422516</v>
      </c>
      <c r="K233" s="360">
        <f t="shared" ca="1" si="102"/>
        <v>182.20901982040863</v>
      </c>
      <c r="L233" s="357">
        <f t="shared" ca="1" si="87"/>
        <v>186.27648539846075</v>
      </c>
      <c r="M233" s="359">
        <f t="shared" ca="1" si="103"/>
        <v>1.3468195771544242</v>
      </c>
      <c r="N233" s="357">
        <f t="shared" ca="1" si="104"/>
        <v>77.167077536542664</v>
      </c>
      <c r="O233" s="343"/>
      <c r="P233" s="363">
        <f t="shared" ca="1" si="105"/>
        <v>6</v>
      </c>
      <c r="Q233" s="357">
        <f t="shared" ca="1" si="106"/>
        <v>544.39000000000067</v>
      </c>
      <c r="R233" s="359">
        <f t="shared" ca="1" si="107"/>
        <v>0.27320397693320475</v>
      </c>
      <c r="S233" s="360">
        <f t="shared" ca="1" si="108"/>
        <v>8.6062126959195879</v>
      </c>
      <c r="T233" s="357">
        <f t="shared" ca="1" si="88"/>
        <v>84.426946546971166</v>
      </c>
      <c r="U233" s="364">
        <f t="shared" ca="1" si="89"/>
        <v>0</v>
      </c>
      <c r="V233" s="359">
        <f t="shared" ca="1" si="90"/>
        <v>1.2028809099577953</v>
      </c>
      <c r="W233" s="357">
        <f t="shared" ca="1" si="91"/>
        <v>71.749571247879743</v>
      </c>
      <c r="X233" s="343"/>
      <c r="Y233" s="367" t="str">
        <f t="shared" ca="1" si="109"/>
        <v/>
      </c>
      <c r="Z233" s="368" t="str">
        <f t="shared" ca="1" si="110"/>
        <v/>
      </c>
      <c r="AA233" s="369" t="str">
        <f t="shared" ca="1" si="111"/>
        <v/>
      </c>
      <c r="AB233" s="344"/>
      <c r="AC233" s="363" t="e">
        <f t="shared" ca="1" si="112"/>
        <v>#N/A</v>
      </c>
      <c r="AD233" s="376" t="e">
        <f t="shared" ca="1" si="113"/>
        <v>#N/A</v>
      </c>
      <c r="AE233" s="377">
        <f t="shared" ca="1" si="92"/>
        <v>182.20901982040863</v>
      </c>
      <c r="AF233" s="344"/>
      <c r="AG233" s="359">
        <f t="shared" ca="1" si="114"/>
        <v>45.402467414678455</v>
      </c>
      <c r="AH233" s="357">
        <f t="shared" ca="1" si="115"/>
        <v>54.967748667747145</v>
      </c>
    </row>
    <row r="234" spans="1:34" x14ac:dyDescent="0.2">
      <c r="A234" s="402">
        <f t="shared" ca="1" si="93"/>
        <v>0.01</v>
      </c>
      <c r="B234" s="357">
        <f t="shared" ca="1" si="94"/>
        <v>2.2999999999999949</v>
      </c>
      <c r="C234" s="342"/>
      <c r="D234" s="359">
        <f t="shared" ca="1" si="95"/>
        <v>12.164056453885474</v>
      </c>
      <c r="E234" s="360">
        <f t="shared" ca="1" si="96"/>
        <v>43.58825350411287</v>
      </c>
      <c r="F234" s="357">
        <f t="shared" ca="1" si="97"/>
        <v>45.253730376092982</v>
      </c>
      <c r="G234" s="359">
        <f t="shared" ca="1" si="98"/>
        <v>33.405535585335535</v>
      </c>
      <c r="H234" s="360">
        <f t="shared" ca="1" si="99"/>
        <v>146.54683414584778</v>
      </c>
      <c r="I234" s="357">
        <f t="shared" ca="1" si="100"/>
        <v>150.30603582662187</v>
      </c>
      <c r="J234" s="359">
        <f t="shared" ca="1" si="101"/>
        <v>39.047812813453177</v>
      </c>
      <c r="K234" s="360">
        <f t="shared" ca="1" si="102"/>
        <v>183.6723087491919</v>
      </c>
      <c r="L234" s="357">
        <f t="shared" ca="1" si="87"/>
        <v>187.77712503596641</v>
      </c>
      <c r="M234" s="359">
        <f t="shared" ca="1" si="103"/>
        <v>1.346674613767096</v>
      </c>
      <c r="N234" s="357">
        <f t="shared" ca="1" si="104"/>
        <v>77.158771746264833</v>
      </c>
      <c r="O234" s="343"/>
      <c r="P234" s="363">
        <f t="shared" ca="1" si="105"/>
        <v>6</v>
      </c>
      <c r="Q234" s="357">
        <f t="shared" ca="1" si="106"/>
        <v>542.93000000000075</v>
      </c>
      <c r="R234" s="359">
        <f t="shared" ca="1" si="107"/>
        <v>0.27247127095711693</v>
      </c>
      <c r="S234" s="360">
        <f t="shared" ca="1" si="108"/>
        <v>8.603487983210016</v>
      </c>
      <c r="T234" s="357">
        <f t="shared" ca="1" si="88"/>
        <v>84.40021711529026</v>
      </c>
      <c r="U234" s="364">
        <f t="shared" ca="1" si="89"/>
        <v>0</v>
      </c>
      <c r="V234" s="359">
        <f t="shared" ca="1" si="90"/>
        <v>1.2027048918773591</v>
      </c>
      <c r="W234" s="357">
        <f t="shared" ca="1" si="91"/>
        <v>72.1725068897277</v>
      </c>
      <c r="X234" s="343"/>
      <c r="Y234" s="367" t="str">
        <f t="shared" ca="1" si="109"/>
        <v/>
      </c>
      <c r="Z234" s="368" t="str">
        <f t="shared" ca="1" si="110"/>
        <v/>
      </c>
      <c r="AA234" s="369" t="str">
        <f t="shared" ca="1" si="111"/>
        <v/>
      </c>
      <c r="AB234" s="344"/>
      <c r="AC234" s="363" t="e">
        <f t="shared" ca="1" si="112"/>
        <v>#N/A</v>
      </c>
      <c r="AD234" s="376" t="e">
        <f t="shared" ca="1" si="113"/>
        <v>#N/A</v>
      </c>
      <c r="AE234" s="377">
        <f t="shared" ca="1" si="92"/>
        <v>183.6723087491919</v>
      </c>
      <c r="AF234" s="344"/>
      <c r="AG234" s="359">
        <f t="shared" ca="1" si="114"/>
        <v>45.201245154488127</v>
      </c>
      <c r="AH234" s="357">
        <f t="shared" ca="1" si="115"/>
        <v>54.766209899013603</v>
      </c>
    </row>
    <row r="235" spans="1:34" x14ac:dyDescent="0.2">
      <c r="A235" s="402">
        <f t="shared" ca="1" si="93"/>
        <v>0.01</v>
      </c>
      <c r="B235" s="357">
        <f t="shared" ca="1" si="94"/>
        <v>2.3099999999999947</v>
      </c>
      <c r="C235" s="342"/>
      <c r="D235" s="359">
        <f t="shared" ca="1" si="95"/>
        <v>12.126986340071873</v>
      </c>
      <c r="E235" s="360">
        <f t="shared" ca="1" si="96"/>
        <v>43.389909078770245</v>
      </c>
      <c r="F235" s="357">
        <f t="shared" ca="1" si="97"/>
        <v>45.052724751742133</v>
      </c>
      <c r="G235" s="359">
        <f t="shared" ca="1" si="98"/>
        <v>33.526805448736255</v>
      </c>
      <c r="H235" s="360">
        <f t="shared" ca="1" si="99"/>
        <v>146.98073323663547</v>
      </c>
      <c r="I235" s="357">
        <f t="shared" ca="1" si="100"/>
        <v>150.7560367825329</v>
      </c>
      <c r="J235" s="359">
        <f t="shared" ca="1" si="101"/>
        <v>39.382474518623539</v>
      </c>
      <c r="K235" s="360">
        <f t="shared" ca="1" si="102"/>
        <v>185.13994658610432</v>
      </c>
      <c r="L235" s="357">
        <f t="shared" ca="1" si="87"/>
        <v>189.28227365793023</v>
      </c>
      <c r="M235" s="359">
        <f t="shared" ca="1" si="103"/>
        <v>1.3465299911170037</v>
      </c>
      <c r="N235" s="357">
        <f t="shared" ca="1" si="104"/>
        <v>77.150485478792547</v>
      </c>
      <c r="O235" s="343"/>
      <c r="P235" s="363">
        <f t="shared" ca="1" si="105"/>
        <v>6</v>
      </c>
      <c r="Q235" s="357">
        <f t="shared" ca="1" si="106"/>
        <v>541.47000000000071</v>
      </c>
      <c r="R235" s="359">
        <f t="shared" ca="1" si="107"/>
        <v>0.271738564981029</v>
      </c>
      <c r="S235" s="360">
        <f t="shared" ca="1" si="108"/>
        <v>8.6007705975602065</v>
      </c>
      <c r="T235" s="357">
        <f t="shared" ca="1" si="88"/>
        <v>84.373559562065623</v>
      </c>
      <c r="U235" s="364">
        <f t="shared" ca="1" si="89"/>
        <v>0</v>
      </c>
      <c r="V235" s="359">
        <f t="shared" ca="1" si="90"/>
        <v>1.2025283763037438</v>
      </c>
      <c r="W235" s="357">
        <f t="shared" ca="1" si="91"/>
        <v>72.594652112274574</v>
      </c>
      <c r="X235" s="343"/>
      <c r="Y235" s="367" t="str">
        <f t="shared" ca="1" si="109"/>
        <v/>
      </c>
      <c r="Z235" s="368" t="str">
        <f t="shared" ca="1" si="110"/>
        <v/>
      </c>
      <c r="AA235" s="369" t="str">
        <f t="shared" ca="1" si="111"/>
        <v/>
      </c>
      <c r="AB235" s="344"/>
      <c r="AC235" s="363" t="e">
        <f t="shared" ca="1" si="112"/>
        <v>#N/A</v>
      </c>
      <c r="AD235" s="376" t="e">
        <f t="shared" ca="1" si="113"/>
        <v>#N/A</v>
      </c>
      <c r="AE235" s="377">
        <f t="shared" ca="1" si="92"/>
        <v>185.13994658610432</v>
      </c>
      <c r="AF235" s="344"/>
      <c r="AG235" s="359">
        <f t="shared" ca="1" si="114"/>
        <v>44.999937932619765</v>
      </c>
      <c r="AH235" s="357">
        <f t="shared" ca="1" si="115"/>
        <v>54.564586717776123</v>
      </c>
    </row>
    <row r="236" spans="1:34" x14ac:dyDescent="0.2">
      <c r="A236" s="402">
        <f t="shared" ca="1" si="93"/>
        <v>0.01</v>
      </c>
      <c r="B236" s="357">
        <f t="shared" ca="1" si="94"/>
        <v>2.3199999999999945</v>
      </c>
      <c r="C236" s="342"/>
      <c r="D236" s="359">
        <f t="shared" ca="1" si="95"/>
        <v>12.089822717049259</v>
      </c>
      <c r="E236" s="360">
        <f t="shared" ca="1" si="96"/>
        <v>43.191500854887231</v>
      </c>
      <c r="F236" s="357">
        <f t="shared" ca="1" si="97"/>
        <v>44.851639428535997</v>
      </c>
      <c r="G236" s="359">
        <f t="shared" ca="1" si="98"/>
        <v>33.647703675906747</v>
      </c>
      <c r="H236" s="360">
        <f t="shared" ca="1" si="99"/>
        <v>147.41264824518436</v>
      </c>
      <c r="I236" s="357">
        <f t="shared" ca="1" si="100"/>
        <v>151.20402383971162</v>
      </c>
      <c r="J236" s="359">
        <f t="shared" ca="1" si="101"/>
        <v>39.718347064246757</v>
      </c>
      <c r="K236" s="360">
        <f t="shared" ca="1" si="102"/>
        <v>186.61191349351341</v>
      </c>
      <c r="L236" s="357">
        <f t="shared" ca="1" si="87"/>
        <v>190.79191112630141</v>
      </c>
      <c r="M236" s="359">
        <f t="shared" ca="1" si="103"/>
        <v>1.3463857054728583</v>
      </c>
      <c r="N236" s="357">
        <f t="shared" ca="1" si="104"/>
        <v>77.142218520338687</v>
      </c>
      <c r="O236" s="343"/>
      <c r="P236" s="363">
        <f t="shared" ca="1" si="105"/>
        <v>6</v>
      </c>
      <c r="Q236" s="357">
        <f t="shared" ca="1" si="106"/>
        <v>540.01000000000079</v>
      </c>
      <c r="R236" s="359">
        <f t="shared" ca="1" si="107"/>
        <v>0.27100585900494117</v>
      </c>
      <c r="S236" s="360">
        <f t="shared" ca="1" si="108"/>
        <v>8.5980605389701577</v>
      </c>
      <c r="T236" s="357">
        <f t="shared" ca="1" si="88"/>
        <v>84.346973887297253</v>
      </c>
      <c r="U236" s="364">
        <f t="shared" ca="1" si="89"/>
        <v>0</v>
      </c>
      <c r="V236" s="359">
        <f t="shared" ca="1" si="90"/>
        <v>1.2023513658449292</v>
      </c>
      <c r="W236" s="357">
        <f t="shared" ca="1" si="91"/>
        <v>73.015988661521874</v>
      </c>
      <c r="X236" s="343"/>
      <c r="Y236" s="367" t="str">
        <f t="shared" ca="1" si="109"/>
        <v/>
      </c>
      <c r="Z236" s="368" t="str">
        <f t="shared" ca="1" si="110"/>
        <v/>
      </c>
      <c r="AA236" s="369" t="str">
        <f t="shared" ca="1" si="111"/>
        <v/>
      </c>
      <c r="AB236" s="344"/>
      <c r="AC236" s="363" t="e">
        <f t="shared" ca="1" si="112"/>
        <v>#N/A</v>
      </c>
      <c r="AD236" s="376" t="e">
        <f t="shared" ca="1" si="113"/>
        <v>#N/A</v>
      </c>
      <c r="AE236" s="377">
        <f t="shared" ca="1" si="92"/>
        <v>186.61191349351341</v>
      </c>
      <c r="AF236" s="344"/>
      <c r="AG236" s="359">
        <f t="shared" ca="1" si="114"/>
        <v>44.798548326980267</v>
      </c>
      <c r="AH236" s="357">
        <f t="shared" ca="1" si="115"/>
        <v>54.362881695144637</v>
      </c>
    </row>
    <row r="237" spans="1:34" x14ac:dyDescent="0.2">
      <c r="A237" s="402">
        <f t="shared" ca="1" si="93"/>
        <v>0.01</v>
      </c>
      <c r="B237" s="357">
        <f t="shared" ca="1" si="94"/>
        <v>2.3299999999999943</v>
      </c>
      <c r="C237" s="342"/>
      <c r="D237" s="359">
        <f t="shared" ca="1" si="95"/>
        <v>12.052566522842559</v>
      </c>
      <c r="E237" s="360">
        <f t="shared" ca="1" si="96"/>
        <v>42.993031267648469</v>
      </c>
      <c r="F237" s="357">
        <f t="shared" ca="1" si="97"/>
        <v>44.650477011657379</v>
      </c>
      <c r="G237" s="359">
        <f t="shared" ca="1" si="98"/>
        <v>33.768229341135175</v>
      </c>
      <c r="H237" s="360">
        <f t="shared" ca="1" si="99"/>
        <v>147.84257855786083</v>
      </c>
      <c r="I237" s="357">
        <f t="shared" ca="1" si="100"/>
        <v>151.64999620004201</v>
      </c>
      <c r="J237" s="359">
        <f t="shared" ca="1" si="101"/>
        <v>40.05542672933197</v>
      </c>
      <c r="K237" s="360">
        <f t="shared" ca="1" si="102"/>
        <v>188.08818962752864</v>
      </c>
      <c r="L237" s="357">
        <f t="shared" ca="1" si="87"/>
        <v>192.30601729490954</v>
      </c>
      <c r="M237" s="359">
        <f t="shared" ca="1" si="103"/>
        <v>1.3462417531467346</v>
      </c>
      <c r="N237" s="357">
        <f t="shared" ca="1" si="104"/>
        <v>77.133970659600706</v>
      </c>
      <c r="O237" s="343"/>
      <c r="P237" s="363">
        <f t="shared" ca="1" si="105"/>
        <v>6</v>
      </c>
      <c r="Q237" s="357">
        <f t="shared" ca="1" si="106"/>
        <v>538.55000000000086</v>
      </c>
      <c r="R237" s="359">
        <f t="shared" ca="1" si="107"/>
        <v>0.27027315302885335</v>
      </c>
      <c r="S237" s="360">
        <f t="shared" ca="1" si="108"/>
        <v>8.5953578074398695</v>
      </c>
      <c r="T237" s="357">
        <f t="shared" ca="1" si="88"/>
        <v>84.320460090985122</v>
      </c>
      <c r="U237" s="364">
        <f t="shared" ca="1" si="89"/>
        <v>0</v>
      </c>
      <c r="V237" s="359">
        <f t="shared" ca="1" si="90"/>
        <v>1.2021738631088306</v>
      </c>
      <c r="W237" s="357">
        <f t="shared" ca="1" si="91"/>
        <v>73.436498392638953</v>
      </c>
      <c r="X237" s="343"/>
      <c r="Y237" s="367" t="str">
        <f t="shared" ca="1" si="109"/>
        <v/>
      </c>
      <c r="Z237" s="368" t="str">
        <f t="shared" ca="1" si="110"/>
        <v/>
      </c>
      <c r="AA237" s="369" t="str">
        <f t="shared" ca="1" si="111"/>
        <v/>
      </c>
      <c r="AB237" s="344"/>
      <c r="AC237" s="363" t="e">
        <f t="shared" ca="1" si="112"/>
        <v>#N/A</v>
      </c>
      <c r="AD237" s="376" t="e">
        <f t="shared" ca="1" si="113"/>
        <v>#N/A</v>
      </c>
      <c r="AE237" s="377">
        <f t="shared" ca="1" si="92"/>
        <v>188.08818962752864</v>
      </c>
      <c r="AF237" s="344"/>
      <c r="AG237" s="359">
        <f t="shared" ca="1" si="114"/>
        <v>44.597078906413422</v>
      </c>
      <c r="AH237" s="357">
        <f t="shared" ca="1" si="115"/>
        <v>54.161097393237952</v>
      </c>
    </row>
    <row r="238" spans="1:34" x14ac:dyDescent="0.2">
      <c r="A238" s="402">
        <f t="shared" ca="1" si="93"/>
        <v>0.01</v>
      </c>
      <c r="B238" s="357">
        <f t="shared" ca="1" si="94"/>
        <v>2.3399999999999941</v>
      </c>
      <c r="C238" s="342"/>
      <c r="D238" s="359">
        <f t="shared" ca="1" si="95"/>
        <v>12.015218689790089</v>
      </c>
      <c r="E238" s="360">
        <f t="shared" ca="1" si="96"/>
        <v>42.794502743982271</v>
      </c>
      <c r="F238" s="357">
        <f t="shared" ca="1" si="97"/>
        <v>44.449240097758555</v>
      </c>
      <c r="G238" s="359">
        <f t="shared" ca="1" si="98"/>
        <v>33.888381528033079</v>
      </c>
      <c r="H238" s="360">
        <f t="shared" ca="1" si="99"/>
        <v>148.27052358530065</v>
      </c>
      <c r="I238" s="357">
        <f t="shared" ca="1" si="100"/>
        <v>152.09395309100469</v>
      </c>
      <c r="J238" s="359">
        <f t="shared" ca="1" si="101"/>
        <v>40.393709783677814</v>
      </c>
      <c r="K238" s="360">
        <f t="shared" ca="1" si="102"/>
        <v>189.56875513824446</v>
      </c>
      <c r="L238" s="357">
        <f t="shared" ca="1" si="87"/>
        <v>193.82457200972138</v>
      </c>
      <c r="M238" s="359">
        <f t="shared" ca="1" si="103"/>
        <v>1.346098130493327</v>
      </c>
      <c r="N238" s="357">
        <f t="shared" ca="1" si="104"/>
        <v>77.125741687717976</v>
      </c>
      <c r="O238" s="343"/>
      <c r="P238" s="363">
        <f t="shared" ca="1" si="105"/>
        <v>6</v>
      </c>
      <c r="Q238" s="357">
        <f t="shared" ca="1" si="106"/>
        <v>537.09000000000083</v>
      </c>
      <c r="R238" s="359">
        <f t="shared" ca="1" si="107"/>
        <v>0.26954044705276542</v>
      </c>
      <c r="S238" s="360">
        <f t="shared" ca="1" si="108"/>
        <v>8.5926624029693421</v>
      </c>
      <c r="T238" s="357">
        <f t="shared" ca="1" si="88"/>
        <v>84.294018173129245</v>
      </c>
      <c r="U238" s="364">
        <f t="shared" ca="1" si="89"/>
        <v>0</v>
      </c>
      <c r="V238" s="359">
        <f t="shared" ca="1" si="90"/>
        <v>1.2019958707032563</v>
      </c>
      <c r="W238" s="357">
        <f t="shared" ca="1" si="91"/>
        <v>73.856163270332885</v>
      </c>
      <c r="X238" s="343"/>
      <c r="Y238" s="367" t="str">
        <f t="shared" ca="1" si="109"/>
        <v/>
      </c>
      <c r="Z238" s="368" t="str">
        <f t="shared" ca="1" si="110"/>
        <v/>
      </c>
      <c r="AA238" s="369" t="str">
        <f t="shared" ca="1" si="111"/>
        <v/>
      </c>
      <c r="AB238" s="344"/>
      <c r="AC238" s="363" t="e">
        <f t="shared" ca="1" si="112"/>
        <v>#N/A</v>
      </c>
      <c r="AD238" s="376" t="e">
        <f t="shared" ca="1" si="113"/>
        <v>#N/A</v>
      </c>
      <c r="AE238" s="377">
        <f t="shared" ca="1" si="92"/>
        <v>189.56875513824446</v>
      </c>
      <c r="AF238" s="344"/>
      <c r="AG238" s="359">
        <f t="shared" ca="1" si="114"/>
        <v>44.395532230620987</v>
      </c>
      <c r="AH238" s="357">
        <f t="shared" ca="1" si="115"/>
        <v>53.959236365103607</v>
      </c>
    </row>
    <row r="239" spans="1:34" x14ac:dyDescent="0.2">
      <c r="A239" s="402">
        <f t="shared" ca="1" si="93"/>
        <v>0.01</v>
      </c>
      <c r="B239" s="357">
        <f t="shared" ca="1" si="94"/>
        <v>2.3499999999999939</v>
      </c>
      <c r="C239" s="342"/>
      <c r="D239" s="359">
        <f t="shared" ca="1" si="95"/>
        <v>11.977780144590886</v>
      </c>
      <c r="E239" s="360">
        <f t="shared" ca="1" si="96"/>
        <v>42.595917702473052</v>
      </c>
      <c r="F239" s="357">
        <f t="shared" ca="1" si="97"/>
        <v>44.247931274897056</v>
      </c>
      <c r="G239" s="359">
        <f t="shared" ca="1" si="98"/>
        <v>34.008159329478985</v>
      </c>
      <c r="H239" s="360">
        <f t="shared" ca="1" si="99"/>
        <v>148.69648276232539</v>
      </c>
      <c r="I239" s="357">
        <f t="shared" ca="1" si="100"/>
        <v>152.53589376558475</v>
      </c>
      <c r="J239" s="359">
        <f t="shared" ca="1" si="101"/>
        <v>40.733192487965376</v>
      </c>
      <c r="K239" s="360">
        <f t="shared" ca="1" si="102"/>
        <v>191.05359016998258</v>
      </c>
      <c r="L239" s="357">
        <f t="shared" ca="1" si="87"/>
        <v>195.34755510909602</v>
      </c>
      <c r="M239" s="359">
        <f t="shared" ca="1" si="103"/>
        <v>1.3459548339092207</v>
      </c>
      <c r="N239" s="357">
        <f t="shared" ca="1" si="104"/>
        <v>77.117531398230042</v>
      </c>
      <c r="O239" s="343"/>
      <c r="P239" s="363">
        <f t="shared" ca="1" si="105"/>
        <v>6</v>
      </c>
      <c r="Q239" s="357">
        <f t="shared" ca="1" si="106"/>
        <v>535.6300000000009</v>
      </c>
      <c r="R239" s="359">
        <f t="shared" ca="1" si="107"/>
        <v>0.2688077410766776</v>
      </c>
      <c r="S239" s="360">
        <f t="shared" ca="1" si="108"/>
        <v>8.5899743255585754</v>
      </c>
      <c r="T239" s="357">
        <f t="shared" ca="1" si="88"/>
        <v>84.267648133729622</v>
      </c>
      <c r="U239" s="364">
        <f t="shared" ca="1" si="89"/>
        <v>0</v>
      </c>
      <c r="V239" s="359">
        <f t="shared" ca="1" si="90"/>
        <v>1.2018173912358718</v>
      </c>
      <c r="W239" s="357">
        <f t="shared" ca="1" si="91"/>
        <v>74.274965369209625</v>
      </c>
      <c r="X239" s="343"/>
      <c r="Y239" s="367" t="str">
        <f t="shared" ca="1" si="109"/>
        <v/>
      </c>
      <c r="Z239" s="368" t="str">
        <f t="shared" ca="1" si="110"/>
        <v/>
      </c>
      <c r="AA239" s="369" t="str">
        <f t="shared" ca="1" si="111"/>
        <v/>
      </c>
      <c r="AB239" s="344"/>
      <c r="AC239" s="363" t="e">
        <f t="shared" ca="1" si="112"/>
        <v>#N/A</v>
      </c>
      <c r="AD239" s="376" t="e">
        <f t="shared" ca="1" si="113"/>
        <v>#N/A</v>
      </c>
      <c r="AE239" s="377">
        <f t="shared" ca="1" si="92"/>
        <v>191.05359016998258</v>
      </c>
      <c r="AF239" s="344"/>
      <c r="AG239" s="359">
        <f t="shared" ca="1" si="114"/>
        <v>44.193910850084876</v>
      </c>
      <c r="AH239" s="357">
        <f t="shared" ca="1" si="115"/>
        <v>53.757301154638839</v>
      </c>
    </row>
    <row r="240" spans="1:34" x14ac:dyDescent="0.2">
      <c r="A240" s="402">
        <f t="shared" ca="1" si="93"/>
        <v>0.01</v>
      </c>
      <c r="B240" s="357">
        <f t="shared" ca="1" si="94"/>
        <v>2.3599999999999937</v>
      </c>
      <c r="C240" s="342"/>
      <c r="D240" s="359">
        <f t="shared" ca="1" si="95"/>
        <v>11.940251808350812</v>
      </c>
      <c r="E240" s="360">
        <f t="shared" ca="1" si="96"/>
        <v>42.397278553274788</v>
      </c>
      <c r="F240" s="357">
        <f t="shared" ca="1" si="97"/>
        <v>44.046553122472581</v>
      </c>
      <c r="G240" s="359">
        <f t="shared" ca="1" si="98"/>
        <v>34.127561847562497</v>
      </c>
      <c r="H240" s="360">
        <f t="shared" ca="1" si="99"/>
        <v>149.12045554785814</v>
      </c>
      <c r="I240" s="357">
        <f t="shared" ca="1" si="100"/>
        <v>152.97581750217887</v>
      </c>
      <c r="J240" s="359">
        <f t="shared" ca="1" si="101"/>
        <v>41.073871093850585</v>
      </c>
      <c r="K240" s="360">
        <f t="shared" ca="1" si="102"/>
        <v>192.5426748615335</v>
      </c>
      <c r="L240" s="357">
        <f t="shared" ca="1" si="87"/>
        <v>196.87494642403959</v>
      </c>
      <c r="M240" s="359">
        <f t="shared" ca="1" si="103"/>
        <v>1.3458118598321789</v>
      </c>
      <c r="N240" s="357">
        <f t="shared" ca="1" si="104"/>
        <v>77.109339587035777</v>
      </c>
      <c r="O240" s="343"/>
      <c r="P240" s="363">
        <f t="shared" ca="1" si="105"/>
        <v>6</v>
      </c>
      <c r="Q240" s="357">
        <f t="shared" ca="1" si="106"/>
        <v>534.17000000000087</v>
      </c>
      <c r="R240" s="359">
        <f t="shared" ca="1" si="107"/>
        <v>0.26807503510058972</v>
      </c>
      <c r="S240" s="360">
        <f t="shared" ca="1" si="108"/>
        <v>8.5872935752075694</v>
      </c>
      <c r="T240" s="357">
        <f t="shared" ca="1" si="88"/>
        <v>84.241349972786267</v>
      </c>
      <c r="U240" s="364">
        <f t="shared" ca="1" si="89"/>
        <v>0</v>
      </c>
      <c r="V240" s="359">
        <f t="shared" ca="1" si="90"/>
        <v>1.2016384273141576</v>
      </c>
      <c r="W240" s="357">
        <f t="shared" ca="1" si="91"/>
        <v>74.692886874126003</v>
      </c>
      <c r="X240" s="343"/>
      <c r="Y240" s="367" t="str">
        <f t="shared" ca="1" si="109"/>
        <v/>
      </c>
      <c r="Z240" s="368" t="str">
        <f t="shared" ca="1" si="110"/>
        <v/>
      </c>
      <c r="AA240" s="369" t="str">
        <f t="shared" ca="1" si="111"/>
        <v/>
      </c>
      <c r="AB240" s="344"/>
      <c r="AC240" s="363" t="e">
        <f t="shared" ca="1" si="112"/>
        <v>#N/A</v>
      </c>
      <c r="AD240" s="376" t="e">
        <f t="shared" ca="1" si="113"/>
        <v>#N/A</v>
      </c>
      <c r="AE240" s="377">
        <f t="shared" ca="1" si="92"/>
        <v>192.5426748615335</v>
      </c>
      <c r="AF240" s="344"/>
      <c r="AG240" s="359">
        <f t="shared" ca="1" si="114"/>
        <v>43.99221730599011</v>
      </c>
      <c r="AH240" s="357">
        <f t="shared" ca="1" si="115"/>
        <v>53.555294296512372</v>
      </c>
    </row>
    <row r="241" spans="1:34" x14ac:dyDescent="0.2">
      <c r="A241" s="402">
        <f t="shared" ca="1" si="93"/>
        <v>0.01</v>
      </c>
      <c r="B241" s="357">
        <f t="shared" ca="1" si="94"/>
        <v>2.3699999999999934</v>
      </c>
      <c r="C241" s="342"/>
      <c r="D241" s="359">
        <f t="shared" ca="1" si="95"/>
        <v>11.902634596627294</v>
      </c>
      <c r="E241" s="360">
        <f t="shared" ca="1" si="96"/>
        <v>42.198587698025932</v>
      </c>
      <c r="F241" s="357">
        <f t="shared" ca="1" si="97"/>
        <v>43.845108211165524</v>
      </c>
      <c r="G241" s="359">
        <f t="shared" ca="1" si="98"/>
        <v>34.246588193528773</v>
      </c>
      <c r="H241" s="360">
        <f t="shared" ca="1" si="99"/>
        <v>149.54244142483842</v>
      </c>
      <c r="I241" s="357">
        <f t="shared" ca="1" si="100"/>
        <v>153.41372360450148</v>
      </c>
      <c r="J241" s="359">
        <f t="shared" ca="1" si="101"/>
        <v>41.415741844056043</v>
      </c>
      <c r="K241" s="360">
        <f t="shared" ca="1" si="102"/>
        <v>194.03598934639697</v>
      </c>
      <c r="L241" s="357">
        <f t="shared" ca="1" si="87"/>
        <v>198.40672577845888</v>
      </c>
      <c r="M241" s="359">
        <f t="shared" ca="1" si="103"/>
        <v>1.3456692047404437</v>
      </c>
      <c r="N241" s="357">
        <f t="shared" ca="1" si="104"/>
        <v>77.101166052353292</v>
      </c>
      <c r="O241" s="343"/>
      <c r="P241" s="363">
        <f t="shared" ca="1" si="105"/>
        <v>6</v>
      </c>
      <c r="Q241" s="357">
        <f t="shared" ca="1" si="106"/>
        <v>532.71000000000095</v>
      </c>
      <c r="R241" s="359">
        <f t="shared" ca="1" si="107"/>
        <v>0.2673423291245019</v>
      </c>
      <c r="S241" s="360">
        <f t="shared" ca="1" si="108"/>
        <v>8.5846201519163241</v>
      </c>
      <c r="T241" s="357">
        <f t="shared" ca="1" si="88"/>
        <v>84.215123690299137</v>
      </c>
      <c r="U241" s="364">
        <f t="shared" ca="1" si="89"/>
        <v>0</v>
      </c>
      <c r="V241" s="359">
        <f t="shared" ca="1" si="90"/>
        <v>1.2014589815453698</v>
      </c>
      <c r="W241" s="357">
        <f t="shared" ca="1" si="91"/>
        <v>75.1099100805326</v>
      </c>
      <c r="X241" s="343"/>
      <c r="Y241" s="367" t="str">
        <f t="shared" ca="1" si="109"/>
        <v/>
      </c>
      <c r="Z241" s="368" t="str">
        <f t="shared" ca="1" si="110"/>
        <v/>
      </c>
      <c r="AA241" s="369" t="str">
        <f t="shared" ca="1" si="111"/>
        <v/>
      </c>
      <c r="AB241" s="344"/>
      <c r="AC241" s="363" t="e">
        <f t="shared" ca="1" si="112"/>
        <v>#N/A</v>
      </c>
      <c r="AD241" s="376" t="e">
        <f t="shared" ca="1" si="113"/>
        <v>#N/A</v>
      </c>
      <c r="AE241" s="377">
        <f t="shared" ca="1" si="92"/>
        <v>194.03598934639697</v>
      </c>
      <c r="AF241" s="344"/>
      <c r="AG241" s="359">
        <f t="shared" ca="1" si="114"/>
        <v>43.790454130148973</v>
      </c>
      <c r="AH241" s="357">
        <f t="shared" ca="1" si="115"/>
        <v>53.353218316087393</v>
      </c>
    </row>
    <row r="242" spans="1:34" x14ac:dyDescent="0.2">
      <c r="A242" s="402">
        <f t="shared" ca="1" si="93"/>
        <v>0.01</v>
      </c>
      <c r="B242" s="357">
        <f t="shared" ca="1" si="94"/>
        <v>2.3799999999999932</v>
      </c>
      <c r="C242" s="342"/>
      <c r="D242" s="359">
        <f t="shared" ca="1" si="95"/>
        <v>11.864929419473043</v>
      </c>
      <c r="E242" s="360">
        <f t="shared" ca="1" si="96"/>
        <v>41.999847529765418</v>
      </c>
      <c r="F242" s="357">
        <f t="shared" ca="1" si="97"/>
        <v>43.643599102876692</v>
      </c>
      <c r="G242" s="359">
        <f t="shared" ca="1" si="98"/>
        <v>34.365237487723505</v>
      </c>
      <c r="H242" s="360">
        <f t="shared" ca="1" si="99"/>
        <v>149.96243990013608</v>
      </c>
      <c r="I242" s="357">
        <f t="shared" ca="1" si="100"/>
        <v>153.84961140149025</v>
      </c>
      <c r="J242" s="359">
        <f t="shared" ca="1" si="101"/>
        <v>41.758800972462303</v>
      </c>
      <c r="K242" s="360">
        <f t="shared" ca="1" si="102"/>
        <v>195.53351375302185</v>
      </c>
      <c r="L242" s="357">
        <f t="shared" ca="1" si="87"/>
        <v>199.94287298941393</v>
      </c>
      <c r="M242" s="359">
        <f t="shared" ca="1" si="103"/>
        <v>1.3455268651520509</v>
      </c>
      <c r="N242" s="357">
        <f t="shared" ca="1" si="104"/>
        <v>77.093010594680763</v>
      </c>
      <c r="O242" s="343"/>
      <c r="P242" s="363">
        <f t="shared" ca="1" si="105"/>
        <v>6</v>
      </c>
      <c r="Q242" s="357">
        <f t="shared" ca="1" si="106"/>
        <v>531.25000000000102</v>
      </c>
      <c r="R242" s="359">
        <f t="shared" ca="1" si="107"/>
        <v>0.26660962314841402</v>
      </c>
      <c r="S242" s="360">
        <f t="shared" ca="1" si="108"/>
        <v>8.5819540556848395</v>
      </c>
      <c r="T242" s="357">
        <f t="shared" ca="1" si="88"/>
        <v>84.188969286268275</v>
      </c>
      <c r="U242" s="364">
        <f t="shared" ca="1" si="89"/>
        <v>0</v>
      </c>
      <c r="V242" s="359">
        <f t="shared" ca="1" si="90"/>
        <v>1.2012790565365028</v>
      </c>
      <c r="W242" s="357">
        <f t="shared" ca="1" si="91"/>
        <v>75.526017394808093</v>
      </c>
      <c r="X242" s="343"/>
      <c r="Y242" s="367" t="str">
        <f t="shared" ca="1" si="109"/>
        <v/>
      </c>
      <c r="Z242" s="368" t="str">
        <f t="shared" ca="1" si="110"/>
        <v/>
      </c>
      <c r="AA242" s="369" t="str">
        <f t="shared" ca="1" si="111"/>
        <v/>
      </c>
      <c r="AB242" s="344"/>
      <c r="AC242" s="363" t="e">
        <f t="shared" ca="1" si="112"/>
        <v>#N/A</v>
      </c>
      <c r="AD242" s="376" t="e">
        <f t="shared" ca="1" si="113"/>
        <v>#N/A</v>
      </c>
      <c r="AE242" s="377">
        <f t="shared" ca="1" si="92"/>
        <v>195.53351375302185</v>
      </c>
      <c r="AF242" s="344"/>
      <c r="AG242" s="359">
        <f t="shared" ca="1" si="114"/>
        <v>43.588623844926055</v>
      </c>
      <c r="AH242" s="357">
        <f t="shared" ca="1" si="115"/>
        <v>53.151075729345472</v>
      </c>
    </row>
    <row r="243" spans="1:34" x14ac:dyDescent="0.2">
      <c r="A243" s="402">
        <f t="shared" ca="1" si="93"/>
        <v>0.01</v>
      </c>
      <c r="B243" s="357">
        <f t="shared" ca="1" si="94"/>
        <v>2.389999999999993</v>
      </c>
      <c r="C243" s="342"/>
      <c r="D243" s="359">
        <f t="shared" ca="1" si="95"/>
        <v>11.827137181478525</v>
      </c>
      <c r="E243" s="360">
        <f t="shared" ca="1" si="96"/>
        <v>41.801060432849951</v>
      </c>
      <c r="F243" s="357">
        <f t="shared" ca="1" si="97"/>
        <v>43.442028350668494</v>
      </c>
      <c r="G243" s="359">
        <f t="shared" ca="1" si="98"/>
        <v>34.48350885953829</v>
      </c>
      <c r="H243" s="360">
        <f t="shared" ca="1" si="99"/>
        <v>150.38045050446456</v>
      </c>
      <c r="I243" s="357">
        <f t="shared" ca="1" si="100"/>
        <v>154.28348024721109</v>
      </c>
      <c r="J243" s="359">
        <f t="shared" ca="1" si="101"/>
        <v>42.103044704198609</v>
      </c>
      <c r="K243" s="360">
        <f t="shared" ca="1" si="102"/>
        <v>197.03522820504486</v>
      </c>
      <c r="L243" s="357">
        <f t="shared" ca="1" si="87"/>
        <v>201.48336786736976</v>
      </c>
      <c r="M243" s="359">
        <f t="shared" ca="1" si="103"/>
        <v>1.3453848376241611</v>
      </c>
      <c r="N243" s="357">
        <f t="shared" ca="1" si="104"/>
        <v>77.084873016757996</v>
      </c>
      <c r="O243" s="343"/>
      <c r="P243" s="363">
        <f t="shared" ca="1" si="105"/>
        <v>6</v>
      </c>
      <c r="Q243" s="357">
        <f t="shared" ca="1" si="106"/>
        <v>529.79000000000099</v>
      </c>
      <c r="R243" s="359">
        <f t="shared" ca="1" si="107"/>
        <v>0.26587691717232614</v>
      </c>
      <c r="S243" s="360">
        <f t="shared" ca="1" si="108"/>
        <v>8.5792952865131156</v>
      </c>
      <c r="T243" s="357">
        <f t="shared" ca="1" si="88"/>
        <v>84.162886760693667</v>
      </c>
      <c r="U243" s="364">
        <f t="shared" ca="1" si="89"/>
        <v>0</v>
      </c>
      <c r="V243" s="359">
        <f t="shared" ca="1" si="90"/>
        <v>1.2010986548942479</v>
      </c>
      <c r="W243" s="357">
        <f t="shared" ca="1" si="91"/>
        <v>75.941191334584602</v>
      </c>
      <c r="X243" s="343"/>
      <c r="Y243" s="367" t="str">
        <f t="shared" ca="1" si="109"/>
        <v/>
      </c>
      <c r="Z243" s="368" t="str">
        <f t="shared" ca="1" si="110"/>
        <v/>
      </c>
      <c r="AA243" s="369" t="str">
        <f t="shared" ca="1" si="111"/>
        <v/>
      </c>
      <c r="AB243" s="344"/>
      <c r="AC243" s="363" t="e">
        <f t="shared" ca="1" si="112"/>
        <v>#N/A</v>
      </c>
      <c r="AD243" s="376" t="e">
        <f t="shared" ca="1" si="113"/>
        <v>#N/A</v>
      </c>
      <c r="AE243" s="377">
        <f t="shared" ca="1" si="92"/>
        <v>197.03522820504486</v>
      </c>
      <c r="AF243" s="344"/>
      <c r="AG243" s="359">
        <f t="shared" ca="1" si="114"/>
        <v>43.386728963164309</v>
      </c>
      <c r="AH243" s="357">
        <f t="shared" ca="1" si="115"/>
        <v>52.948869042811495</v>
      </c>
    </row>
    <row r="244" spans="1:34" x14ac:dyDescent="0.2">
      <c r="A244" s="402">
        <f t="shared" ca="1" si="93"/>
        <v>0.01</v>
      </c>
      <c r="B244" s="357">
        <f t="shared" ca="1" si="94"/>
        <v>2.3999999999999928</v>
      </c>
      <c r="C244" s="342"/>
      <c r="D244" s="359">
        <f t="shared" ca="1" si="95"/>
        <v>11.789258781813245</v>
      </c>
      <c r="E244" s="360">
        <f t="shared" ca="1" si="96"/>
        <v>41.602228782872459</v>
      </c>
      <c r="F244" s="357">
        <f t="shared" ca="1" si="97"/>
        <v>43.240398498707464</v>
      </c>
      <c r="G244" s="359">
        <f t="shared" ca="1" si="98"/>
        <v>34.601401447356423</v>
      </c>
      <c r="H244" s="360">
        <f t="shared" ca="1" si="99"/>
        <v>150.79647279229329</v>
      </c>
      <c r="I244" s="357">
        <f t="shared" ca="1" si="100"/>
        <v>154.715329520762</v>
      </c>
      <c r="J244" s="359">
        <f t="shared" ca="1" si="101"/>
        <v>42.44846925573308</v>
      </c>
      <c r="K244" s="360">
        <f t="shared" ca="1" si="102"/>
        <v>198.54111282152866</v>
      </c>
      <c r="L244" s="357">
        <f t="shared" ca="1" si="87"/>
        <v>203.02819021644726</v>
      </c>
      <c r="M244" s="359">
        <f t="shared" ca="1" si="103"/>
        <v>1.3452431187524012</v>
      </c>
      <c r="N244" s="357">
        <f t="shared" ca="1" si="104"/>
        <v>77.076753123528803</v>
      </c>
      <c r="O244" s="343"/>
      <c r="P244" s="363">
        <f t="shared" ca="1" si="105"/>
        <v>6</v>
      </c>
      <c r="Q244" s="357">
        <f t="shared" ca="1" si="106"/>
        <v>528.33000000000106</v>
      </c>
      <c r="R244" s="359">
        <f t="shared" ca="1" si="107"/>
        <v>0.26514421119623832</v>
      </c>
      <c r="S244" s="360">
        <f t="shared" ca="1" si="108"/>
        <v>8.5766438444011524</v>
      </c>
      <c r="T244" s="357">
        <f t="shared" ca="1" si="88"/>
        <v>84.136876113575312</v>
      </c>
      <c r="U244" s="364">
        <f t="shared" ca="1" si="89"/>
        <v>0</v>
      </c>
      <c r="V244" s="359">
        <f t="shared" ca="1" si="90"/>
        <v>1.2009177792249575</v>
      </c>
      <c r="W244" s="357">
        <f t="shared" ca="1" si="91"/>
        <v>76.355414529064035</v>
      </c>
      <c r="X244" s="343"/>
      <c r="Y244" s="367" t="str">
        <f t="shared" ca="1" si="109"/>
        <v/>
      </c>
      <c r="Z244" s="368" t="str">
        <f t="shared" ca="1" si="110"/>
        <v/>
      </c>
      <c r="AA244" s="369" t="str">
        <f t="shared" ca="1" si="111"/>
        <v/>
      </c>
      <c r="AB244" s="344"/>
      <c r="AC244" s="363" t="e">
        <f t="shared" ca="1" si="112"/>
        <v>#N/A</v>
      </c>
      <c r="AD244" s="376" t="e">
        <f t="shared" ca="1" si="113"/>
        <v>#N/A</v>
      </c>
      <c r="AE244" s="377">
        <f t="shared" ca="1" si="92"/>
        <v>198.54111282152866</v>
      </c>
      <c r="AF244" s="344"/>
      <c r="AG244" s="359">
        <f t="shared" ca="1" si="114"/>
        <v>43.184771988112118</v>
      </c>
      <c r="AH244" s="357">
        <f t="shared" ca="1" si="115"/>
        <v>52.746600753479655</v>
      </c>
    </row>
    <row r="245" spans="1:34" x14ac:dyDescent="0.2">
      <c r="A245" s="402">
        <f t="shared" ca="1" si="93"/>
        <v>0.01</v>
      </c>
      <c r="B245" s="357">
        <f t="shared" ca="1" si="94"/>
        <v>2.4099999999999926</v>
      </c>
      <c r="C245" s="342"/>
      <c r="D245" s="359">
        <f t="shared" ca="1" si="95"/>
        <v>11.751295114266076</v>
      </c>
      <c r="E245" s="360">
        <f t="shared" ca="1" si="96"/>
        <v>41.403354946581757</v>
      </c>
      <c r="F245" s="357">
        <f t="shared" ca="1" si="97"/>
        <v>43.03871208220815</v>
      </c>
      <c r="G245" s="359">
        <f t="shared" ca="1" si="98"/>
        <v>34.718914398499081</v>
      </c>
      <c r="H245" s="360">
        <f t="shared" ca="1" si="99"/>
        <v>151.2105063417591</v>
      </c>
      <c r="I245" s="357">
        <f t="shared" ca="1" si="100"/>
        <v>155.14515862617654</v>
      </c>
      <c r="J245" s="359">
        <f t="shared" ca="1" si="101"/>
        <v>42.79507083496236</v>
      </c>
      <c r="K245" s="360">
        <f t="shared" ca="1" si="102"/>
        <v>200.05114771719892</v>
      </c>
      <c r="L245" s="357">
        <f t="shared" ca="1" si="87"/>
        <v>204.57731983467275</v>
      </c>
      <c r="M245" s="359">
        <f t="shared" ca="1" si="103"/>
        <v>1.345101705170223</v>
      </c>
      <c r="N245" s="357">
        <f t="shared" ca="1" si="104"/>
        <v>77.068650722104167</v>
      </c>
      <c r="O245" s="343"/>
      <c r="P245" s="363">
        <f t="shared" ca="1" si="105"/>
        <v>6</v>
      </c>
      <c r="Q245" s="357">
        <f t="shared" ca="1" si="106"/>
        <v>526.87000000000103</v>
      </c>
      <c r="R245" s="359">
        <f t="shared" ca="1" si="107"/>
        <v>0.26441150522015039</v>
      </c>
      <c r="S245" s="360">
        <f t="shared" ca="1" si="108"/>
        <v>8.5739997293489516</v>
      </c>
      <c r="T245" s="357">
        <f t="shared" ca="1" si="88"/>
        <v>84.110937344913225</v>
      </c>
      <c r="U245" s="364">
        <f t="shared" ca="1" si="89"/>
        <v>0</v>
      </c>
      <c r="V245" s="359">
        <f t="shared" ca="1" si="90"/>
        <v>1.2007364321346023</v>
      </c>
      <c r="W245" s="357">
        <f t="shared" ca="1" si="91"/>
        <v>76.768669719325686</v>
      </c>
      <c r="X245" s="343"/>
      <c r="Y245" s="367" t="str">
        <f t="shared" ca="1" si="109"/>
        <v/>
      </c>
      <c r="Z245" s="368" t="str">
        <f t="shared" ca="1" si="110"/>
        <v/>
      </c>
      <c r="AA245" s="369" t="str">
        <f t="shared" ca="1" si="111"/>
        <v/>
      </c>
      <c r="AB245" s="344"/>
      <c r="AC245" s="363" t="e">
        <f t="shared" ca="1" si="112"/>
        <v>#N/A</v>
      </c>
      <c r="AD245" s="376" t="e">
        <f t="shared" ca="1" si="113"/>
        <v>#N/A</v>
      </c>
      <c r="AE245" s="377">
        <f t="shared" ca="1" si="92"/>
        <v>200.05114771719892</v>
      </c>
      <c r="AF245" s="344"/>
      <c r="AG245" s="359">
        <f t="shared" ca="1" si="114"/>
        <v>42.982755413351256</v>
      </c>
      <c r="AH245" s="357">
        <f t="shared" ca="1" si="115"/>
        <v>52.54427334874034</v>
      </c>
    </row>
    <row r="246" spans="1:34" x14ac:dyDescent="0.2">
      <c r="A246" s="402">
        <f t="shared" ca="1" si="93"/>
        <v>0.01</v>
      </c>
      <c r="B246" s="357">
        <f t="shared" ca="1" si="94"/>
        <v>2.4199999999999924</v>
      </c>
      <c r="C246" s="342"/>
      <c r="D246" s="359">
        <f t="shared" ca="1" si="95"/>
        <v>11.713247067284378</v>
      </c>
      <c r="E246" s="360">
        <f t="shared" ca="1" si="96"/>
        <v>41.204441281803547</v>
      </c>
      <c r="F246" s="357">
        <f t="shared" ca="1" si="97"/>
        <v>42.836971627378638</v>
      </c>
      <c r="G246" s="359">
        <f t="shared" ca="1" si="98"/>
        <v>34.836046869171923</v>
      </c>
      <c r="H246" s="360">
        <f t="shared" ca="1" si="99"/>
        <v>151.62255075457713</v>
      </c>
      <c r="I246" s="357">
        <f t="shared" ca="1" si="100"/>
        <v>155.57296699232634</v>
      </c>
      <c r="J246" s="359">
        <f t="shared" ca="1" si="101"/>
        <v>43.142845641300717</v>
      </c>
      <c r="K246" s="360">
        <f t="shared" ca="1" si="102"/>
        <v>201.5653130026806</v>
      </c>
      <c r="L246" s="357">
        <f t="shared" ca="1" si="87"/>
        <v>206.13073651422704</v>
      </c>
      <c r="M246" s="359">
        <f t="shared" ca="1" si="103"/>
        <v>1.3449605935482702</v>
      </c>
      <c r="N246" s="357">
        <f t="shared" ca="1" si="104"/>
        <v>77.060565621726028</v>
      </c>
      <c r="O246" s="343"/>
      <c r="P246" s="363">
        <f t="shared" ca="1" si="105"/>
        <v>6</v>
      </c>
      <c r="Q246" s="357">
        <f t="shared" ca="1" si="106"/>
        <v>525.41000000000111</v>
      </c>
      <c r="R246" s="359">
        <f t="shared" ca="1" si="107"/>
        <v>0.26367879924406257</v>
      </c>
      <c r="S246" s="360">
        <f t="shared" ca="1" si="108"/>
        <v>8.5713629413565116</v>
      </c>
      <c r="T246" s="357">
        <f t="shared" ca="1" si="88"/>
        <v>84.085070454707378</v>
      </c>
      <c r="U246" s="364">
        <f t="shared" ca="1" si="89"/>
        <v>0</v>
      </c>
      <c r="V246" s="359">
        <f t="shared" ca="1" si="90"/>
        <v>1.2005546162287379</v>
      </c>
      <c r="W246" s="357">
        <f t="shared" ca="1" si="91"/>
        <v>77.180939758625229</v>
      </c>
      <c r="X246" s="343"/>
      <c r="Y246" s="367" t="str">
        <f t="shared" ca="1" si="109"/>
        <v/>
      </c>
      <c r="Z246" s="368" t="str">
        <f t="shared" ca="1" si="110"/>
        <v/>
      </c>
      <c r="AA246" s="369" t="str">
        <f t="shared" ca="1" si="111"/>
        <v/>
      </c>
      <c r="AB246" s="344"/>
      <c r="AC246" s="363" t="e">
        <f t="shared" ca="1" si="112"/>
        <v>#N/A</v>
      </c>
      <c r="AD246" s="376" t="e">
        <f t="shared" ca="1" si="113"/>
        <v>#N/A</v>
      </c>
      <c r="AE246" s="377">
        <f t="shared" ca="1" si="92"/>
        <v>201.5653130026806</v>
      </c>
      <c r="AF246" s="344"/>
      <c r="AG246" s="359">
        <f t="shared" ca="1" si="114"/>
        <v>42.780681722726108</v>
      </c>
      <c r="AH246" s="357">
        <f t="shared" ca="1" si="115"/>
        <v>52.341889306308275</v>
      </c>
    </row>
    <row r="247" spans="1:34" x14ac:dyDescent="0.2">
      <c r="A247" s="402">
        <f t="shared" ca="1" si="93"/>
        <v>0.01</v>
      </c>
      <c r="B247" s="357">
        <f t="shared" ca="1" si="94"/>
        <v>2.4299999999999922</v>
      </c>
      <c r="C247" s="342"/>
      <c r="D247" s="359">
        <f t="shared" ca="1" si="95"/>
        <v>11.675115524012254</v>
      </c>
      <c r="E247" s="360">
        <f t="shared" ca="1" si="96"/>
        <v>41.005490137362365</v>
      </c>
      <c r="F247" s="357">
        <f t="shared" ca="1" si="97"/>
        <v>42.635179651367181</v>
      </c>
      <c r="G247" s="359">
        <f t="shared" ca="1" si="98"/>
        <v>34.952798024412047</v>
      </c>
      <c r="H247" s="360">
        <f t="shared" ca="1" si="99"/>
        <v>152.03260565595076</v>
      </c>
      <c r="I247" s="357">
        <f t="shared" ca="1" si="100"/>
        <v>155.9987540728232</v>
      </c>
      <c r="J247" s="359">
        <f t="shared" ca="1" si="101"/>
        <v>43.491789865768638</v>
      </c>
      <c r="K247" s="360">
        <f t="shared" ca="1" si="102"/>
        <v>203.08358878473322</v>
      </c>
      <c r="L247" s="357">
        <f t="shared" ca="1" si="87"/>
        <v>207.68842004169323</v>
      </c>
      <c r="M247" s="359">
        <f t="shared" ca="1" si="103"/>
        <v>1.3448197805937627</v>
      </c>
      <c r="N247" s="357">
        <f t="shared" ca="1" si="104"/>
        <v>77.052497633731974</v>
      </c>
      <c r="O247" s="343"/>
      <c r="P247" s="363">
        <f t="shared" ca="1" si="105"/>
        <v>6</v>
      </c>
      <c r="Q247" s="357">
        <f t="shared" ca="1" si="106"/>
        <v>523.95000000000118</v>
      </c>
      <c r="R247" s="359">
        <f t="shared" ca="1" si="107"/>
        <v>0.26294609326797475</v>
      </c>
      <c r="S247" s="360">
        <f t="shared" ca="1" si="108"/>
        <v>8.5687334804238322</v>
      </c>
      <c r="T247" s="357">
        <f t="shared" ca="1" si="88"/>
        <v>84.059275442957798</v>
      </c>
      <c r="U247" s="364">
        <f t="shared" ca="1" si="89"/>
        <v>0</v>
      </c>
      <c r="V247" s="359">
        <f t="shared" ca="1" si="90"/>
        <v>1.2003723341124621</v>
      </c>
      <c r="W247" s="357">
        <f t="shared" ca="1" si="91"/>
        <v>77.592207612684774</v>
      </c>
      <c r="X247" s="343"/>
      <c r="Y247" s="367" t="str">
        <f t="shared" ca="1" si="109"/>
        <v/>
      </c>
      <c r="Z247" s="368" t="str">
        <f t="shared" ca="1" si="110"/>
        <v/>
      </c>
      <c r="AA247" s="369" t="str">
        <f t="shared" ca="1" si="111"/>
        <v/>
      </c>
      <c r="AB247" s="344"/>
      <c r="AC247" s="363" t="e">
        <f t="shared" ca="1" si="112"/>
        <v>#N/A</v>
      </c>
      <c r="AD247" s="376" t="e">
        <f t="shared" ca="1" si="113"/>
        <v>#N/A</v>
      </c>
      <c r="AE247" s="377">
        <f t="shared" ca="1" si="92"/>
        <v>203.08358878473322</v>
      </c>
      <c r="AF247" s="344"/>
      <c r="AG247" s="359">
        <f t="shared" ca="1" si="114"/>
        <v>42.578553390273505</v>
      </c>
      <c r="AH247" s="357">
        <f t="shared" ca="1" si="115"/>
        <v>52.139451094151383</v>
      </c>
    </row>
    <row r="248" spans="1:34" x14ac:dyDescent="0.2">
      <c r="A248" s="402">
        <f t="shared" ca="1" si="93"/>
        <v>0.01</v>
      </c>
      <c r="B248" s="357">
        <f t="shared" ca="1" si="94"/>
        <v>2.439999999999992</v>
      </c>
      <c r="C248" s="342"/>
      <c r="D248" s="359">
        <f t="shared" ca="1" si="95"/>
        <v>11.636901362327643</v>
      </c>
      <c r="E248" s="360">
        <f t="shared" ca="1" si="96"/>
        <v>40.806503853004919</v>
      </c>
      <c r="F248" s="357">
        <f t="shared" ca="1" si="97"/>
        <v>42.433338662210502</v>
      </c>
      <c r="G248" s="359">
        <f t="shared" ca="1" si="98"/>
        <v>35.069167038035324</v>
      </c>
      <c r="H248" s="360">
        <f t="shared" ca="1" si="99"/>
        <v>152.44067069448081</v>
      </c>
      <c r="I248" s="357">
        <f t="shared" ca="1" si="100"/>
        <v>156.42251934592016</v>
      </c>
      <c r="J248" s="359">
        <f t="shared" ca="1" si="101"/>
        <v>43.841899691080876</v>
      </c>
      <c r="K248" s="360">
        <f t="shared" ca="1" si="102"/>
        <v>204.60595516648539</v>
      </c>
      <c r="L248" s="357">
        <f t="shared" ca="1" si="87"/>
        <v>209.25035019830344</v>
      </c>
      <c r="M248" s="359">
        <f t="shared" ca="1" si="103"/>
        <v>1.3446792630498894</v>
      </c>
      <c r="N248" s="357">
        <f t="shared" ca="1" si="104"/>
        <v>77.044446571520481</v>
      </c>
      <c r="O248" s="343"/>
      <c r="P248" s="363">
        <f t="shared" ca="1" si="105"/>
        <v>6</v>
      </c>
      <c r="Q248" s="357">
        <f t="shared" ca="1" si="106"/>
        <v>522.49000000000115</v>
      </c>
      <c r="R248" s="359">
        <f t="shared" ca="1" si="107"/>
        <v>0.26221338729188687</v>
      </c>
      <c r="S248" s="360">
        <f t="shared" ca="1" si="108"/>
        <v>8.5661113465509136</v>
      </c>
      <c r="T248" s="357">
        <f t="shared" ca="1" si="88"/>
        <v>84.033552309664472</v>
      </c>
      <c r="U248" s="364">
        <f t="shared" ca="1" si="89"/>
        <v>0</v>
      </c>
      <c r="V248" s="359">
        <f t="shared" ca="1" si="90"/>
        <v>1.2001895883903788</v>
      </c>
      <c r="W248" s="357">
        <f t="shared" ca="1" si="91"/>
        <v>78.002456359974033</v>
      </c>
      <c r="X248" s="343"/>
      <c r="Y248" s="367" t="str">
        <f t="shared" ca="1" si="109"/>
        <v/>
      </c>
      <c r="Z248" s="368" t="str">
        <f t="shared" ca="1" si="110"/>
        <v/>
      </c>
      <c r="AA248" s="369" t="str">
        <f t="shared" ca="1" si="111"/>
        <v/>
      </c>
      <c r="AB248" s="344"/>
      <c r="AC248" s="363" t="e">
        <f t="shared" ca="1" si="112"/>
        <v>#N/A</v>
      </c>
      <c r="AD248" s="376" t="e">
        <f t="shared" ca="1" si="113"/>
        <v>#N/A</v>
      </c>
      <c r="AE248" s="377">
        <f t="shared" ca="1" si="92"/>
        <v>204.60595516648539</v>
      </c>
      <c r="AF248" s="344"/>
      <c r="AG248" s="359">
        <f t="shared" ca="1" si="114"/>
        <v>42.376372880153852</v>
      </c>
      <c r="AH248" s="357">
        <f t="shared" ca="1" si="115"/>
        <v>51.936961170420865</v>
      </c>
    </row>
    <row r="249" spans="1:34" x14ac:dyDescent="0.2">
      <c r="A249" s="402">
        <f t="shared" ca="1" si="93"/>
        <v>0.01</v>
      </c>
      <c r="B249" s="357">
        <f t="shared" ca="1" si="94"/>
        <v>2.4499999999999917</v>
      </c>
      <c r="C249" s="342"/>
      <c r="D249" s="359">
        <f t="shared" ca="1" si="95"/>
        <v>11.598605454878587</v>
      </c>
      <c r="E249" s="360">
        <f t="shared" ca="1" si="96"/>
        <v>40.607484759324613</v>
      </c>
      <c r="F249" s="357">
        <f t="shared" ca="1" si="97"/>
        <v>42.231451158783543</v>
      </c>
      <c r="G249" s="359">
        <f t="shared" ca="1" si="98"/>
        <v>35.185153092584109</v>
      </c>
      <c r="H249" s="360">
        <f t="shared" ca="1" si="99"/>
        <v>152.84674554207407</v>
      </c>
      <c r="I249" s="357">
        <f t="shared" ca="1" si="100"/>
        <v>156.84426231441213</v>
      </c>
      <c r="J249" s="359">
        <f t="shared" ca="1" si="101"/>
        <v>44.193171291733975</v>
      </c>
      <c r="K249" s="360">
        <f t="shared" ca="1" si="102"/>
        <v>206.13239224766815</v>
      </c>
      <c r="L249" s="357">
        <f t="shared" ca="1" si="87"/>
        <v>210.81650676018484</v>
      </c>
      <c r="M249" s="359">
        <f t="shared" ca="1" si="103"/>
        <v>1.3445390376952162</v>
      </c>
      <c r="N249" s="357">
        <f t="shared" ca="1" si="104"/>
        <v>77.036412250516989</v>
      </c>
      <c r="O249" s="343"/>
      <c r="P249" s="363">
        <f t="shared" ca="1" si="105"/>
        <v>6</v>
      </c>
      <c r="Q249" s="357">
        <f t="shared" ca="1" si="106"/>
        <v>521.03000000000122</v>
      </c>
      <c r="R249" s="359">
        <f t="shared" ca="1" si="107"/>
        <v>0.26148068131579899</v>
      </c>
      <c r="S249" s="360">
        <f t="shared" ca="1" si="108"/>
        <v>8.5634965397377556</v>
      </c>
      <c r="T249" s="357">
        <f t="shared" ca="1" si="88"/>
        <v>84.007901054827386</v>
      </c>
      <c r="U249" s="364">
        <f t="shared" ca="1" si="89"/>
        <v>0</v>
      </c>
      <c r="V249" s="359">
        <f t="shared" ca="1" si="90"/>
        <v>1.2000063816665605</v>
      </c>
      <c r="W249" s="357">
        <f t="shared" ca="1" si="91"/>
        <v>78.411669191983322</v>
      </c>
      <c r="X249" s="343"/>
      <c r="Y249" s="367" t="str">
        <f t="shared" ca="1" si="109"/>
        <v/>
      </c>
      <c r="Z249" s="368" t="str">
        <f t="shared" ca="1" si="110"/>
        <v/>
      </c>
      <c r="AA249" s="369" t="str">
        <f t="shared" ca="1" si="111"/>
        <v/>
      </c>
      <c r="AB249" s="344"/>
      <c r="AC249" s="363" t="e">
        <f t="shared" ca="1" si="112"/>
        <v>#N/A</v>
      </c>
      <c r="AD249" s="376" t="e">
        <f t="shared" ca="1" si="113"/>
        <v>#N/A</v>
      </c>
      <c r="AE249" s="377">
        <f t="shared" ca="1" si="92"/>
        <v>206.13239224766815</v>
      </c>
      <c r="AF249" s="344"/>
      <c r="AG249" s="359">
        <f t="shared" ca="1" si="114"/>
        <v>42.174142646583206</v>
      </c>
      <c r="AH249" s="357">
        <f t="shared" ca="1" si="115"/>
        <v>51.734421983382298</v>
      </c>
    </row>
    <row r="250" spans="1:34" x14ac:dyDescent="0.2">
      <c r="A250" s="402">
        <f t="shared" ca="1" si="93"/>
        <v>0.01</v>
      </c>
      <c r="B250" s="357">
        <f t="shared" ca="1" si="94"/>
        <v>2.4599999999999915</v>
      </c>
      <c r="C250" s="342"/>
      <c r="D250" s="359">
        <f t="shared" ca="1" si="95"/>
        <v>11.560228669118423</v>
      </c>
      <c r="E250" s="360">
        <f t="shared" ca="1" si="96"/>
        <v>40.408435177687132</v>
      </c>
      <c r="F250" s="357">
        <f t="shared" ca="1" si="97"/>
        <v>42.029519630750606</v>
      </c>
      <c r="G250" s="359">
        <f t="shared" ca="1" si="98"/>
        <v>35.300755379275294</v>
      </c>
      <c r="H250" s="360">
        <f t="shared" ca="1" si="99"/>
        <v>153.25082989385095</v>
      </c>
      <c r="I250" s="357">
        <f t="shared" ca="1" si="100"/>
        <v>157.26398250553581</v>
      </c>
      <c r="J250" s="359">
        <f t="shared" ca="1" si="101"/>
        <v>44.545600834093271</v>
      </c>
      <c r="K250" s="360">
        <f t="shared" ca="1" si="102"/>
        <v>207.66288012484779</v>
      </c>
      <c r="L250" s="357">
        <f t="shared" ca="1" si="87"/>
        <v>212.38686949860454</v>
      </c>
      <c r="M250" s="359">
        <f t="shared" ca="1" si="103"/>
        <v>1.3443991013431034</v>
      </c>
      <c r="N250" s="357">
        <f t="shared" ca="1" si="104"/>
        <v>77.028394488140464</v>
      </c>
      <c r="O250" s="343"/>
      <c r="P250" s="363">
        <f t="shared" ca="1" si="105"/>
        <v>6</v>
      </c>
      <c r="Q250" s="357">
        <f t="shared" ca="1" si="106"/>
        <v>519.57000000000119</v>
      </c>
      <c r="R250" s="359">
        <f t="shared" ca="1" si="107"/>
        <v>0.26074797533971111</v>
      </c>
      <c r="S250" s="360">
        <f t="shared" ca="1" si="108"/>
        <v>8.5608890599843583</v>
      </c>
      <c r="T250" s="357">
        <f t="shared" ca="1" si="88"/>
        <v>83.982321678446553</v>
      </c>
      <c r="U250" s="364">
        <f t="shared" ca="1" si="89"/>
        <v>0</v>
      </c>
      <c r="V250" s="359">
        <f t="shared" ca="1" si="90"/>
        <v>1.1998227165445106</v>
      </c>
      <c r="W250" s="357">
        <f t="shared" ca="1" si="91"/>
        <v>78.819829413487525</v>
      </c>
      <c r="X250" s="343"/>
      <c r="Y250" s="367" t="str">
        <f t="shared" ca="1" si="109"/>
        <v/>
      </c>
      <c r="Z250" s="368" t="str">
        <f t="shared" ca="1" si="110"/>
        <v/>
      </c>
      <c r="AA250" s="369" t="str">
        <f t="shared" ca="1" si="111"/>
        <v/>
      </c>
      <c r="AB250" s="344"/>
      <c r="AC250" s="363" t="e">
        <f t="shared" ca="1" si="112"/>
        <v>#N/A</v>
      </c>
      <c r="AD250" s="376" t="e">
        <f t="shared" ca="1" si="113"/>
        <v>#N/A</v>
      </c>
      <c r="AE250" s="377">
        <f t="shared" ca="1" si="92"/>
        <v>207.66288012484779</v>
      </c>
      <c r="AF250" s="344"/>
      <c r="AG250" s="359">
        <f t="shared" ca="1" si="114"/>
        <v>41.97186513376618</v>
      </c>
      <c r="AH250" s="357">
        <f t="shared" ca="1" si="115"/>
        <v>51.531835971347576</v>
      </c>
    </row>
    <row r="251" spans="1:34" x14ac:dyDescent="0.2">
      <c r="A251" s="402">
        <f t="shared" ca="1" si="93"/>
        <v>0.01</v>
      </c>
      <c r="B251" s="357">
        <f t="shared" ca="1" si="94"/>
        <v>2.4699999999999913</v>
      </c>
      <c r="C251" s="342"/>
      <c r="D251" s="359">
        <f t="shared" ca="1" si="95"/>
        <v>11.521771867340195</v>
      </c>
      <c r="E251" s="360">
        <f t="shared" ca="1" si="96"/>
        <v>40.209357420157268</v>
      </c>
      <c r="F251" s="357">
        <f t="shared" ca="1" si="97"/>
        <v>41.827546558517966</v>
      </c>
      <c r="G251" s="359">
        <f t="shared" ca="1" si="98"/>
        <v>35.415973097948694</v>
      </c>
      <c r="H251" s="360">
        <f t="shared" ca="1" si="99"/>
        <v>153.65292346805253</v>
      </c>
      <c r="I251" s="357">
        <f t="shared" ca="1" si="100"/>
        <v>157.68167947086889</v>
      </c>
      <c r="J251" s="359">
        <f t="shared" ca="1" si="101"/>
        <v>44.899184476479391</v>
      </c>
      <c r="K251" s="360">
        <f t="shared" ca="1" si="102"/>
        <v>209.19739889165731</v>
      </c>
      <c r="L251" s="357">
        <f t="shared" ca="1" si="87"/>
        <v>213.96141818021331</v>
      </c>
      <c r="M251" s="359">
        <f t="shared" ca="1" si="103"/>
        <v>1.3442594508411352</v>
      </c>
      <c r="N251" s="357">
        <f t="shared" ca="1" si="104"/>
        <v>77.0203931037708</v>
      </c>
      <c r="O251" s="343"/>
      <c r="P251" s="363">
        <f t="shared" ca="1" si="105"/>
        <v>6</v>
      </c>
      <c r="Q251" s="357">
        <f t="shared" ca="1" si="106"/>
        <v>518.11000000000126</v>
      </c>
      <c r="R251" s="359">
        <f t="shared" ca="1" si="107"/>
        <v>0.26001526936362329</v>
      </c>
      <c r="S251" s="360">
        <f t="shared" ca="1" si="108"/>
        <v>8.5582889072907218</v>
      </c>
      <c r="T251" s="357">
        <f t="shared" ca="1" si="88"/>
        <v>83.956814180521988</v>
      </c>
      <c r="U251" s="364">
        <f t="shared" ca="1" si="89"/>
        <v>0</v>
      </c>
      <c r="V251" s="359">
        <f t="shared" ca="1" si="90"/>
        <v>1.1996385956271243</v>
      </c>
      <c r="W251" s="357">
        <f t="shared" ca="1" si="91"/>
        <v>79.226920442801372</v>
      </c>
      <c r="X251" s="343"/>
      <c r="Y251" s="367" t="str">
        <f t="shared" ca="1" si="109"/>
        <v/>
      </c>
      <c r="Z251" s="368" t="str">
        <f t="shared" ca="1" si="110"/>
        <v/>
      </c>
      <c r="AA251" s="369" t="str">
        <f t="shared" ca="1" si="111"/>
        <v/>
      </c>
      <c r="AB251" s="344"/>
      <c r="AC251" s="363" t="e">
        <f t="shared" ca="1" si="112"/>
        <v>#N/A</v>
      </c>
      <c r="AD251" s="376" t="e">
        <f t="shared" ca="1" si="113"/>
        <v>#N/A</v>
      </c>
      <c r="AE251" s="377">
        <f t="shared" ca="1" si="92"/>
        <v>209.19739889165731</v>
      </c>
      <c r="AF251" s="344"/>
      <c r="AG251" s="359">
        <f t="shared" ca="1" si="114"/>
        <v>41.769542775830054</v>
      </c>
      <c r="AH251" s="357">
        <f t="shared" ca="1" si="115"/>
        <v>51.32920556260806</v>
      </c>
    </row>
    <row r="252" spans="1:34" x14ac:dyDescent="0.2">
      <c r="A252" s="402">
        <f t="shared" ca="1" si="93"/>
        <v>0.01</v>
      </c>
      <c r="B252" s="357">
        <f t="shared" ca="1" si="94"/>
        <v>2.4799999999999911</v>
      </c>
      <c r="C252" s="342"/>
      <c r="D252" s="359">
        <f t="shared" ca="1" si="95"/>
        <v>11.483235906710114</v>
      </c>
      <c r="E252" s="360">
        <f t="shared" ca="1" si="96"/>
        <v>40.01025378942694</v>
      </c>
      <c r="F252" s="357">
        <f t="shared" ca="1" si="97"/>
        <v>41.625534413188127</v>
      </c>
      <c r="G252" s="359">
        <f t="shared" ca="1" si="98"/>
        <v>35.530805457015795</v>
      </c>
      <c r="H252" s="360">
        <f t="shared" ca="1" si="99"/>
        <v>154.0530260059468</v>
      </c>
      <c r="I252" s="357">
        <f t="shared" ca="1" si="100"/>
        <v>158.09735278622861</v>
      </c>
      <c r="J252" s="359">
        <f t="shared" ca="1" si="101"/>
        <v>45.253918369254215</v>
      </c>
      <c r="K252" s="360">
        <f t="shared" ca="1" si="102"/>
        <v>210.73592863902732</v>
      </c>
      <c r="L252" s="357">
        <f t="shared" ca="1" si="87"/>
        <v>215.54013256728859</v>
      </c>
      <c r="M252" s="359">
        <f t="shared" ca="1" si="103"/>
        <v>1.3441200830705622</v>
      </c>
      <c r="N252" s="357">
        <f t="shared" ca="1" si="104"/>
        <v>77.012407918716832</v>
      </c>
      <c r="O252" s="343"/>
      <c r="P252" s="363">
        <f t="shared" ca="1" si="105"/>
        <v>6</v>
      </c>
      <c r="Q252" s="357">
        <f t="shared" ca="1" si="106"/>
        <v>516.65000000000123</v>
      </c>
      <c r="R252" s="359">
        <f t="shared" ca="1" si="107"/>
        <v>0.25928256338753541</v>
      </c>
      <c r="S252" s="360">
        <f t="shared" ca="1" si="108"/>
        <v>8.5556960816568459</v>
      </c>
      <c r="T252" s="357">
        <f t="shared" ca="1" si="88"/>
        <v>83.931378561053663</v>
      </c>
      <c r="U252" s="364">
        <f t="shared" ca="1" si="89"/>
        <v>0</v>
      </c>
      <c r="V252" s="359">
        <f t="shared" ca="1" si="90"/>
        <v>1.1994540215166531</v>
      </c>
      <c r="W252" s="357">
        <f t="shared" ca="1" si="91"/>
        <v>79.632925812026443</v>
      </c>
      <c r="X252" s="343"/>
      <c r="Y252" s="367" t="str">
        <f t="shared" ca="1" si="109"/>
        <v/>
      </c>
      <c r="Z252" s="368" t="str">
        <f t="shared" ca="1" si="110"/>
        <v/>
      </c>
      <c r="AA252" s="369" t="str">
        <f t="shared" ca="1" si="111"/>
        <v/>
      </c>
      <c r="AB252" s="344"/>
      <c r="AC252" s="363" t="e">
        <f t="shared" ca="1" si="112"/>
        <v>#N/A</v>
      </c>
      <c r="AD252" s="376" t="e">
        <f t="shared" ca="1" si="113"/>
        <v>#N/A</v>
      </c>
      <c r="AE252" s="377">
        <f t="shared" ca="1" si="92"/>
        <v>210.73592863902732</v>
      </c>
      <c r="AF252" s="344"/>
      <c r="AG252" s="359">
        <f t="shared" ca="1" si="114"/>
        <v>41.567177996759725</v>
      </c>
      <c r="AH252" s="357">
        <f t="shared" ca="1" si="115"/>
        <v>51.1265331753686</v>
      </c>
    </row>
    <row r="253" spans="1:34" x14ac:dyDescent="0.2">
      <c r="A253" s="402">
        <f t="shared" ca="1" si="93"/>
        <v>0.01</v>
      </c>
      <c r="B253" s="357">
        <f t="shared" ca="1" si="94"/>
        <v>2.4899999999999909</v>
      </c>
      <c r="C253" s="342"/>
      <c r="D253" s="359">
        <f t="shared" ca="1" si="95"/>
        <v>11.444621639300124</v>
      </c>
      <c r="E253" s="360">
        <f t="shared" ca="1" si="96"/>
        <v>39.811126578744407</v>
      </c>
      <c r="F253" s="357">
        <f t="shared" ca="1" si="97"/>
        <v>41.42348565651551</v>
      </c>
      <c r="G253" s="359">
        <f t="shared" ca="1" si="98"/>
        <v>35.645251673408794</v>
      </c>
      <c r="H253" s="360">
        <f t="shared" ca="1" si="99"/>
        <v>154.45113727173424</v>
      </c>
      <c r="I253" s="357">
        <f t="shared" ca="1" si="100"/>
        <v>158.51100205156973</v>
      </c>
      <c r="J253" s="359">
        <f t="shared" ca="1" si="101"/>
        <v>45.609798654906335</v>
      </c>
      <c r="K253" s="360">
        <f t="shared" ca="1" si="102"/>
        <v>212.27844945541574</v>
      </c>
      <c r="L253" s="357">
        <f t="shared" ca="1" si="87"/>
        <v>217.12299241797629</v>
      </c>
      <c r="M253" s="359">
        <f t="shared" ca="1" si="103"/>
        <v>1.3439809949457513</v>
      </c>
      <c r="N253" s="357">
        <f t="shared" ca="1" si="104"/>
        <v>77.004438756184769</v>
      </c>
      <c r="O253" s="343"/>
      <c r="P253" s="363">
        <f t="shared" ca="1" si="105"/>
        <v>6</v>
      </c>
      <c r="Q253" s="357">
        <f t="shared" ca="1" si="106"/>
        <v>515.19000000000131</v>
      </c>
      <c r="R253" s="359">
        <f t="shared" ca="1" si="107"/>
        <v>0.25854985741144754</v>
      </c>
      <c r="S253" s="360">
        <f t="shared" ca="1" si="108"/>
        <v>8.5531105830827308</v>
      </c>
      <c r="T253" s="357">
        <f t="shared" ca="1" si="88"/>
        <v>83.906014820041591</v>
      </c>
      <c r="U253" s="364">
        <f t="shared" ca="1" si="89"/>
        <v>0</v>
      </c>
      <c r="V253" s="359">
        <f t="shared" ca="1" si="90"/>
        <v>1.1992689968146677</v>
      </c>
      <c r="W253" s="357">
        <f t="shared" ca="1" si="91"/>
        <v>80.037829167289487</v>
      </c>
      <c r="X253" s="343"/>
      <c r="Y253" s="367" t="str">
        <f t="shared" ca="1" si="109"/>
        <v/>
      </c>
      <c r="Z253" s="368" t="str">
        <f t="shared" ca="1" si="110"/>
        <v/>
      </c>
      <c r="AA253" s="369" t="str">
        <f t="shared" ca="1" si="111"/>
        <v/>
      </c>
      <c r="AB253" s="344"/>
      <c r="AC253" s="363" t="e">
        <f t="shared" ca="1" si="112"/>
        <v>#N/A</v>
      </c>
      <c r="AD253" s="376" t="e">
        <f t="shared" ca="1" si="113"/>
        <v>#N/A</v>
      </c>
      <c r="AE253" s="377">
        <f t="shared" ca="1" si="92"/>
        <v>212.27844945541574</v>
      </c>
      <c r="AF253" s="344"/>
      <c r="AG253" s="359">
        <f t="shared" ca="1" si="114"/>
        <v>41.364773210333787</v>
      </c>
      <c r="AH253" s="357">
        <f t="shared" ca="1" si="115"/>
        <v>50.923821217682708</v>
      </c>
    </row>
    <row r="254" spans="1:34" x14ac:dyDescent="0.2">
      <c r="A254" s="402">
        <f t="shared" ca="1" si="93"/>
        <v>0.01</v>
      </c>
      <c r="B254" s="357">
        <f t="shared" ca="1" si="94"/>
        <v>2.4999999999999907</v>
      </c>
      <c r="C254" s="342"/>
      <c r="D254" s="359">
        <f t="shared" ca="1" si="95"/>
        <v>11.405929912119754</v>
      </c>
      <c r="E254" s="360">
        <f t="shared" ca="1" si="96"/>
        <v>39.61197807184449</v>
      </c>
      <c r="F254" s="357">
        <f t="shared" ca="1" si="97"/>
        <v>41.221402740863596</v>
      </c>
      <c r="G254" s="359">
        <f t="shared" ca="1" si="98"/>
        <v>35.759310972529988</v>
      </c>
      <c r="H254" s="360">
        <f t="shared" ca="1" si="99"/>
        <v>154.84725705245268</v>
      </c>
      <c r="I254" s="357">
        <f t="shared" ca="1" si="100"/>
        <v>158.9226268908819</v>
      </c>
      <c r="J254" s="359">
        <f t="shared" ca="1" si="101"/>
        <v>45.966821468136025</v>
      </c>
      <c r="K254" s="360">
        <f t="shared" ca="1" si="102"/>
        <v>213.82494142703666</v>
      </c>
      <c r="L254" s="357">
        <f t="shared" ca="1" si="87"/>
        <v>218.70997748653159</v>
      </c>
      <c r="M254" s="359">
        <f t="shared" ca="1" si="103"/>
        <v>1.3438421834136498</v>
      </c>
      <c r="N254" s="357">
        <f t="shared" ca="1" si="104"/>
        <v>76.996485441247614</v>
      </c>
      <c r="O254" s="343"/>
      <c r="P254" s="363">
        <f t="shared" ca="1" si="105"/>
        <v>6</v>
      </c>
      <c r="Q254" s="357">
        <f t="shared" ca="1" si="106"/>
        <v>513.73000000000138</v>
      </c>
      <c r="R254" s="359">
        <f t="shared" ca="1" si="107"/>
        <v>0.25781715143535971</v>
      </c>
      <c r="S254" s="360">
        <f t="shared" ca="1" si="108"/>
        <v>8.5505324115683763</v>
      </c>
      <c r="T254" s="357">
        <f t="shared" ca="1" si="88"/>
        <v>83.880722957485773</v>
      </c>
      <c r="U254" s="364">
        <f t="shared" ca="1" si="89"/>
        <v>0</v>
      </c>
      <c r="V254" s="359">
        <f t="shared" ca="1" si="90"/>
        <v>1.1990835241220184</v>
      </c>
      <c r="W254" s="357">
        <f t="shared" ca="1" si="91"/>
        <v>80.441614268972103</v>
      </c>
      <c r="X254" s="343"/>
      <c r="Y254" s="367" t="str">
        <f t="shared" ca="1" si="109"/>
        <v/>
      </c>
      <c r="Z254" s="368" t="str">
        <f t="shared" ca="1" si="110"/>
        <v/>
      </c>
      <c r="AA254" s="369" t="str">
        <f t="shared" ca="1" si="111"/>
        <v/>
      </c>
      <c r="AB254" s="344"/>
      <c r="AC254" s="363" t="e">
        <f t="shared" ca="1" si="112"/>
        <v>#N/A</v>
      </c>
      <c r="AD254" s="376" t="e">
        <f t="shared" ca="1" si="113"/>
        <v>#N/A</v>
      </c>
      <c r="AE254" s="377">
        <f t="shared" ca="1" si="92"/>
        <v>213.82494142703666</v>
      </c>
      <c r="AF254" s="344"/>
      <c r="AG254" s="359">
        <f t="shared" ca="1" si="114"/>
        <v>41.162330820061428</v>
      </c>
      <c r="AH254" s="357">
        <f t="shared" ca="1" si="115"/>
        <v>50.721072087388549</v>
      </c>
    </row>
    <row r="255" spans="1:34" x14ac:dyDescent="0.2">
      <c r="A255" s="402">
        <f t="shared" ca="1" si="93"/>
        <v>0.01</v>
      </c>
      <c r="B255" s="357">
        <f t="shared" ca="1" si="94"/>
        <v>2.5099999999999905</v>
      </c>
      <c r="C255" s="342"/>
      <c r="D255" s="359">
        <f t="shared" ca="1" si="95"/>
        <v>11.359492254301928</v>
      </c>
      <c r="E255" s="360">
        <f t="shared" ca="1" si="96"/>
        <v>39.379600393544344</v>
      </c>
      <c r="F255" s="357">
        <f t="shared" ca="1" si="97"/>
        <v>40.985253341058943</v>
      </c>
      <c r="G255" s="359">
        <f t="shared" ca="1" si="98"/>
        <v>35.872905895073011</v>
      </c>
      <c r="H255" s="360">
        <f t="shared" ca="1" si="99"/>
        <v>155.24105305638813</v>
      </c>
      <c r="I255" s="357">
        <f t="shared" ca="1" si="100"/>
        <v>159.33188611013514</v>
      </c>
      <c r="J255" s="359">
        <f t="shared" ca="1" si="101"/>
        <v>46.32498255247404</v>
      </c>
      <c r="K255" s="360">
        <f t="shared" ca="1" si="102"/>
        <v>215.37538297758087</v>
      </c>
      <c r="L255" s="357">
        <f t="shared" ca="1" si="87"/>
        <v>220.30106581954311</v>
      </c>
      <c r="M255" s="359">
        <f t="shared" ca="1" si="103"/>
        <v>1.3437036451568978</v>
      </c>
      <c r="N255" s="357">
        <f t="shared" ca="1" si="104"/>
        <v>76.988547783834619</v>
      </c>
      <c r="O255" s="343"/>
      <c r="P255" s="363">
        <f t="shared" ca="1" si="105"/>
        <v>7</v>
      </c>
      <c r="Q255" s="357">
        <f t="shared" ca="1" si="106"/>
        <v>511.97872340425727</v>
      </c>
      <c r="R255" s="359">
        <f t="shared" ca="1" si="107"/>
        <v>0.25693826730694563</v>
      </c>
      <c r="S255" s="360">
        <f t="shared" ca="1" si="108"/>
        <v>8.5479630288953068</v>
      </c>
      <c r="T255" s="357">
        <f t="shared" ca="1" si="88"/>
        <v>83.855517313462968</v>
      </c>
      <c r="U255" s="364">
        <f t="shared" ca="1" si="89"/>
        <v>0</v>
      </c>
      <c r="V255" s="359">
        <f t="shared" ca="1" si="90"/>
        <v>1.1988976062379035</v>
      </c>
      <c r="W255" s="357">
        <f t="shared" ca="1" si="91"/>
        <v>80.8439191231964</v>
      </c>
      <c r="X255" s="343"/>
      <c r="Y255" s="367" t="str">
        <f t="shared" ca="1" si="109"/>
        <v/>
      </c>
      <c r="Z255" s="368" t="str">
        <f t="shared" ca="1" si="110"/>
        <v/>
      </c>
      <c r="AA255" s="369" t="str">
        <f t="shared" ca="1" si="111"/>
        <v/>
      </c>
      <c r="AB255" s="344"/>
      <c r="AC255" s="363" t="e">
        <f t="shared" ca="1" si="112"/>
        <v>#N/A</v>
      </c>
      <c r="AD255" s="376" t="e">
        <f t="shared" ca="1" si="113"/>
        <v>#N/A</v>
      </c>
      <c r="AE255" s="377">
        <f t="shared" ca="1" si="92"/>
        <v>215.37538297758087</v>
      </c>
      <c r="AF255" s="344"/>
      <c r="AG255" s="359">
        <f t="shared" ca="1" si="114"/>
        <v>40.925769023685966</v>
      </c>
      <c r="AH255" s="357">
        <f t="shared" ca="1" si="115"/>
        <v>50.484203976611575</v>
      </c>
    </row>
    <row r="256" spans="1:34" x14ac:dyDescent="0.2">
      <c r="A256" s="402">
        <f t="shared" ca="1" si="93"/>
        <v>0.01</v>
      </c>
      <c r="B256" s="357">
        <f t="shared" ca="1" si="94"/>
        <v>2.5199999999999902</v>
      </c>
      <c r="C256" s="342"/>
      <c r="D256" s="359">
        <f t="shared" ca="1" si="95"/>
        <v>11.305296018726752</v>
      </c>
      <c r="E256" s="360">
        <f t="shared" ca="1" si="96"/>
        <v>39.114000308053711</v>
      </c>
      <c r="F256" s="357">
        <f t="shared" ca="1" si="97"/>
        <v>40.715043143406653</v>
      </c>
      <c r="G256" s="359">
        <f t="shared" ca="1" si="98"/>
        <v>35.985958855260279</v>
      </c>
      <c r="H256" s="360">
        <f t="shared" ca="1" si="99"/>
        <v>155.63219305946868</v>
      </c>
      <c r="I256" s="357">
        <f t="shared" ca="1" si="100"/>
        <v>159.73843855262956</v>
      </c>
      <c r="J256" s="359">
        <f t="shared" ca="1" si="101"/>
        <v>46.684276876225709</v>
      </c>
      <c r="K256" s="360">
        <f t="shared" ca="1" si="102"/>
        <v>216.92974920816016</v>
      </c>
      <c r="L256" s="357">
        <f t="shared" ca="1" si="87"/>
        <v>221.89623205221707</v>
      </c>
      <c r="M256" s="359">
        <f t="shared" ca="1" si="103"/>
        <v>1.3435653765984725</v>
      </c>
      <c r="N256" s="357">
        <f t="shared" ca="1" si="104"/>
        <v>76.980625578997504</v>
      </c>
      <c r="O256" s="343"/>
      <c r="P256" s="363">
        <f t="shared" ca="1" si="105"/>
        <v>7</v>
      </c>
      <c r="Q256" s="357">
        <f t="shared" ca="1" si="106"/>
        <v>509.93617021276793</v>
      </c>
      <c r="R256" s="359">
        <f t="shared" ca="1" si="107"/>
        <v>0.25591320502620485</v>
      </c>
      <c r="S256" s="360">
        <f t="shared" ca="1" si="108"/>
        <v>8.5454038968450448</v>
      </c>
      <c r="T256" s="357">
        <f t="shared" ca="1" si="88"/>
        <v>83.830412228049894</v>
      </c>
      <c r="U256" s="364">
        <f t="shared" ca="1" si="89"/>
        <v>0</v>
      </c>
      <c r="V256" s="359">
        <f t="shared" ca="1" si="90"/>
        <v>1.1987112463587204</v>
      </c>
      <c r="W256" s="357">
        <f t="shared" ca="1" si="91"/>
        <v>81.244378572709678</v>
      </c>
      <c r="X256" s="343"/>
      <c r="Y256" s="367" t="str">
        <f t="shared" ca="1" si="109"/>
        <v/>
      </c>
      <c r="Z256" s="368" t="str">
        <f t="shared" ca="1" si="110"/>
        <v/>
      </c>
      <c r="AA256" s="369" t="str">
        <f t="shared" ca="1" si="111"/>
        <v/>
      </c>
      <c r="AB256" s="344"/>
      <c r="AC256" s="363" t="e">
        <f t="shared" ca="1" si="112"/>
        <v>#N/A</v>
      </c>
      <c r="AD256" s="376" t="e">
        <f t="shared" ca="1" si="113"/>
        <v>#N/A</v>
      </c>
      <c r="AE256" s="377">
        <f t="shared" ca="1" si="92"/>
        <v>216.92974920816016</v>
      </c>
      <c r="AF256" s="344"/>
      <c r="AG256" s="359">
        <f t="shared" ca="1" si="114"/>
        <v>40.655091553917345</v>
      </c>
      <c r="AH256" s="357">
        <f t="shared" ca="1" si="115"/>
        <v>50.213220611841642</v>
      </c>
    </row>
    <row r="257" spans="1:34" x14ac:dyDescent="0.2">
      <c r="A257" s="402">
        <f t="shared" ca="1" si="93"/>
        <v>0.01</v>
      </c>
      <c r="B257" s="357">
        <f t="shared" ca="1" si="94"/>
        <v>2.52999999999999</v>
      </c>
      <c r="C257" s="342"/>
      <c r="D257" s="359">
        <f t="shared" ca="1" si="95"/>
        <v>11.25101187690813</v>
      </c>
      <c r="E257" s="360">
        <f t="shared" ca="1" si="96"/>
        <v>38.848413121188372</v>
      </c>
      <c r="F257" s="357">
        <f t="shared" ca="1" si="97"/>
        <v>40.444832429976124</v>
      </c>
      <c r="G257" s="359">
        <f t="shared" ca="1" si="98"/>
        <v>36.098468974029359</v>
      </c>
      <c r="H257" s="360">
        <f t="shared" ca="1" si="99"/>
        <v>156.02067719068057</v>
      </c>
      <c r="I257" s="357">
        <f t="shared" ca="1" si="100"/>
        <v>160.14228415164908</v>
      </c>
      <c r="J257" s="359">
        <f t="shared" ca="1" si="101"/>
        <v>47.04469901537216</v>
      </c>
      <c r="K257" s="360">
        <f t="shared" ca="1" si="102"/>
        <v>218.48801355941092</v>
      </c>
      <c r="L257" s="357">
        <f t="shared" ca="1" si="87"/>
        <v>223.49544911381145</v>
      </c>
      <c r="M257" s="359">
        <f t="shared" ca="1" si="103"/>
        <v>1.3434273742000635</v>
      </c>
      <c r="N257" s="357">
        <f t="shared" ca="1" si="104"/>
        <v>76.972718624005978</v>
      </c>
      <c r="O257" s="343"/>
      <c r="P257" s="363">
        <f t="shared" ca="1" si="105"/>
        <v>7</v>
      </c>
      <c r="Q257" s="357">
        <f t="shared" ca="1" si="106"/>
        <v>507.8936170212786</v>
      </c>
      <c r="R257" s="359">
        <f t="shared" ca="1" si="107"/>
        <v>0.25488814274546401</v>
      </c>
      <c r="S257" s="360">
        <f t="shared" ca="1" si="108"/>
        <v>8.5428550154175902</v>
      </c>
      <c r="T257" s="357">
        <f t="shared" ca="1" si="88"/>
        <v>83.805407701246565</v>
      </c>
      <c r="U257" s="364">
        <f t="shared" ca="1" si="89"/>
        <v>0</v>
      </c>
      <c r="V257" s="359">
        <f t="shared" ca="1" si="90"/>
        <v>1.198524447878518</v>
      </c>
      <c r="W257" s="357">
        <f t="shared" ca="1" si="91"/>
        <v>81.642972090809764</v>
      </c>
      <c r="X257" s="343"/>
      <c r="Y257" s="367" t="str">
        <f t="shared" ca="1" si="109"/>
        <v/>
      </c>
      <c r="Z257" s="368" t="str">
        <f t="shared" ca="1" si="110"/>
        <v/>
      </c>
      <c r="AA257" s="369" t="str">
        <f t="shared" ca="1" si="111"/>
        <v/>
      </c>
      <c r="AB257" s="344"/>
      <c r="AC257" s="363" t="e">
        <f t="shared" ca="1" si="112"/>
        <v>#N/A</v>
      </c>
      <c r="AD257" s="376" t="e">
        <f t="shared" ca="1" si="113"/>
        <v>#N/A</v>
      </c>
      <c r="AE257" s="377">
        <f t="shared" ca="1" si="92"/>
        <v>218.48801355941092</v>
      </c>
      <c r="AF257" s="344"/>
      <c r="AG257" s="359">
        <f t="shared" ca="1" si="114"/>
        <v>40.384407409164901</v>
      </c>
      <c r="AH257" s="357">
        <f t="shared" ca="1" si="115"/>
        <v>49.942230984674332</v>
      </c>
    </row>
    <row r="258" spans="1:34" x14ac:dyDescent="0.2">
      <c r="A258" s="402">
        <f t="shared" ca="1" si="93"/>
        <v>0.01</v>
      </c>
      <c r="B258" s="357">
        <f t="shared" ca="1" si="94"/>
        <v>2.5399999999999898</v>
      </c>
      <c r="C258" s="342"/>
      <c r="D258" s="359">
        <f t="shared" ca="1" si="95"/>
        <v>11.196640976277575</v>
      </c>
      <c r="E258" s="360">
        <f t="shared" ca="1" si="96"/>
        <v>38.582842052014556</v>
      </c>
      <c r="F258" s="357">
        <f t="shared" ca="1" si="97"/>
        <v>40.174624702196795</v>
      </c>
      <c r="G258" s="359">
        <f t="shared" ca="1" si="98"/>
        <v>36.210435383792138</v>
      </c>
      <c r="H258" s="360">
        <f t="shared" ca="1" si="99"/>
        <v>156.40650561120071</v>
      </c>
      <c r="I258" s="357">
        <f t="shared" ca="1" si="100"/>
        <v>160.54342287428142</v>
      </c>
      <c r="J258" s="359">
        <f t="shared" ca="1" si="101"/>
        <v>47.406243537161266</v>
      </c>
      <c r="K258" s="360">
        <f t="shared" ca="1" si="102"/>
        <v>220.05014947342033</v>
      </c>
      <c r="L258" s="357">
        <f t="shared" ca="1" si="87"/>
        <v>225.09868993305864</v>
      </c>
      <c r="M258" s="359">
        <f t="shared" ca="1" si="103"/>
        <v>1.3432896344613761</v>
      </c>
      <c r="N258" s="357">
        <f t="shared" ca="1" si="104"/>
        <v>76.964826718307947</v>
      </c>
      <c r="O258" s="343"/>
      <c r="P258" s="363">
        <f t="shared" ca="1" si="105"/>
        <v>7</v>
      </c>
      <c r="Q258" s="357">
        <f t="shared" ca="1" si="106"/>
        <v>505.85106382978927</v>
      </c>
      <c r="R258" s="359">
        <f t="shared" ca="1" si="107"/>
        <v>0.25386308046472317</v>
      </c>
      <c r="S258" s="360">
        <f t="shared" ca="1" si="108"/>
        <v>8.5403163846129431</v>
      </c>
      <c r="T258" s="357">
        <f t="shared" ca="1" si="88"/>
        <v>83.780503733052981</v>
      </c>
      <c r="U258" s="364">
        <f t="shared" ca="1" si="89"/>
        <v>0</v>
      </c>
      <c r="V258" s="359">
        <f t="shared" ca="1" si="90"/>
        <v>1.1983372141896533</v>
      </c>
      <c r="W258" s="357">
        <f t="shared" ca="1" si="91"/>
        <v>82.039679346019071</v>
      </c>
      <c r="X258" s="343"/>
      <c r="Y258" s="367" t="str">
        <f t="shared" ca="1" si="109"/>
        <v/>
      </c>
      <c r="Z258" s="368" t="str">
        <f t="shared" ca="1" si="110"/>
        <v/>
      </c>
      <c r="AA258" s="369" t="str">
        <f t="shared" ca="1" si="111"/>
        <v/>
      </c>
      <c r="AB258" s="344"/>
      <c r="AC258" s="363" t="e">
        <f t="shared" ca="1" si="112"/>
        <v>#N/A</v>
      </c>
      <c r="AD258" s="376" t="e">
        <f t="shared" ca="1" si="113"/>
        <v>#N/A</v>
      </c>
      <c r="AE258" s="377">
        <f t="shared" ca="1" si="92"/>
        <v>220.05014947342033</v>
      </c>
      <c r="AF258" s="344"/>
      <c r="AG258" s="359">
        <f t="shared" ca="1" si="114"/>
        <v>40.113719969853015</v>
      </c>
      <c r="AH258" s="357">
        <f t="shared" ca="1" si="115"/>
        <v>49.6712384687848</v>
      </c>
    </row>
    <row r="259" spans="1:34" x14ac:dyDescent="0.2">
      <c r="A259" s="402">
        <f t="shared" ca="1" si="93"/>
        <v>0.01</v>
      </c>
      <c r="B259" s="357">
        <f t="shared" ca="1" si="94"/>
        <v>2.5499999999999896</v>
      </c>
      <c r="C259" s="342"/>
      <c r="D259" s="359">
        <f t="shared" ca="1" si="95"/>
        <v>11.142184456228049</v>
      </c>
      <c r="E259" s="360">
        <f t="shared" ca="1" si="96"/>
        <v>38.31729030190305</v>
      </c>
      <c r="F259" s="357">
        <f t="shared" ca="1" si="97"/>
        <v>39.904423445739987</v>
      </c>
      <c r="G259" s="359">
        <f t="shared" ca="1" si="98"/>
        <v>36.321857228354418</v>
      </c>
      <c r="H259" s="360">
        <f t="shared" ca="1" si="99"/>
        <v>156.78967851421976</v>
      </c>
      <c r="I259" s="357">
        <f t="shared" ca="1" si="100"/>
        <v>160.94185472122953</v>
      </c>
      <c r="J259" s="359">
        <f t="shared" ca="1" si="101"/>
        <v>47.768905000221999</v>
      </c>
      <c r="K259" s="360">
        <f t="shared" ca="1" si="102"/>
        <v>221.61613039404745</v>
      </c>
      <c r="L259" s="357">
        <f t="shared" ca="1" si="87"/>
        <v>226.70592743850273</v>
      </c>
      <c r="M259" s="359">
        <f t="shared" ca="1" si="103"/>
        <v>1.34315215391945</v>
      </c>
      <c r="N259" s="357">
        <f t="shared" ca="1" si="104"/>
        <v>76.95694966349042</v>
      </c>
      <c r="O259" s="343"/>
      <c r="P259" s="363">
        <f t="shared" ca="1" si="105"/>
        <v>7</v>
      </c>
      <c r="Q259" s="357">
        <f t="shared" ca="1" si="106"/>
        <v>503.80851063829999</v>
      </c>
      <c r="R259" s="359">
        <f t="shared" ca="1" si="107"/>
        <v>0.25283801818398238</v>
      </c>
      <c r="S259" s="360">
        <f t="shared" ca="1" si="108"/>
        <v>8.5377880044311034</v>
      </c>
      <c r="T259" s="357">
        <f t="shared" ca="1" si="88"/>
        <v>83.755700323469128</v>
      </c>
      <c r="U259" s="364">
        <f t="shared" ca="1" si="89"/>
        <v>0</v>
      </c>
      <c r="V259" s="359">
        <f t="shared" ca="1" si="90"/>
        <v>1.1981495486827427</v>
      </c>
      <c r="W259" s="357">
        <f t="shared" ca="1" si="91"/>
        <v>82.434480202217472</v>
      </c>
      <c r="X259" s="343"/>
      <c r="Y259" s="367" t="str">
        <f t="shared" ca="1" si="109"/>
        <v/>
      </c>
      <c r="Z259" s="368" t="str">
        <f t="shared" ca="1" si="110"/>
        <v/>
      </c>
      <c r="AA259" s="369" t="str">
        <f t="shared" ca="1" si="111"/>
        <v/>
      </c>
      <c r="AB259" s="344"/>
      <c r="AC259" s="363" t="e">
        <f t="shared" ca="1" si="112"/>
        <v>#N/A</v>
      </c>
      <c r="AD259" s="376" t="e">
        <f t="shared" ca="1" si="113"/>
        <v>#N/A</v>
      </c>
      <c r="AE259" s="377">
        <f t="shared" ca="1" si="92"/>
        <v>221.61613039404745</v>
      </c>
      <c r="AF259" s="344"/>
      <c r="AG259" s="359">
        <f t="shared" ca="1" si="114"/>
        <v>39.843032597518217</v>
      </c>
      <c r="AH259" s="357">
        <f t="shared" ca="1" si="115"/>
        <v>49.400246419023681</v>
      </c>
    </row>
    <row r="260" spans="1:34" x14ac:dyDescent="0.2">
      <c r="A260" s="402">
        <f t="shared" ca="1" si="93"/>
        <v>0.01</v>
      </c>
      <c r="B260" s="357">
        <f t="shared" ca="1" si="94"/>
        <v>2.5599999999999894</v>
      </c>
      <c r="C260" s="342"/>
      <c r="D260" s="359">
        <f t="shared" ca="1" si="95"/>
        <v>11.087643448157335</v>
      </c>
      <c r="E260" s="360">
        <f t="shared" ca="1" si="96"/>
        <v>38.051761054437272</v>
      </c>
      <c r="F260" s="357">
        <f t="shared" ca="1" si="97"/>
        <v>39.634232130539068</v>
      </c>
      <c r="G260" s="359">
        <f t="shared" ca="1" si="98"/>
        <v>36.432733662835993</v>
      </c>
      <c r="H260" s="360">
        <f t="shared" ca="1" si="99"/>
        <v>157.17019612476412</v>
      </c>
      <c r="I260" s="357">
        <f t="shared" ca="1" si="100"/>
        <v>161.33757972662153</v>
      </c>
      <c r="J260" s="359">
        <f t="shared" ca="1" si="101"/>
        <v>48.132677954677952</v>
      </c>
      <c r="K260" s="360">
        <f t="shared" ca="1" si="102"/>
        <v>223.18592976724236</v>
      </c>
      <c r="L260" s="357">
        <f t="shared" ref="L260:L323" ca="1" si="116">SQRT(pos_x^2+pos_z^2)</f>
        <v>228.31713455883502</v>
      </c>
      <c r="M260" s="359">
        <f t="shared" ca="1" si="103"/>
        <v>1.3430149291479914</v>
      </c>
      <c r="N260" s="357">
        <f t="shared" ca="1" si="104"/>
        <v>76.949087263241196</v>
      </c>
      <c r="O260" s="343"/>
      <c r="P260" s="363">
        <f t="shared" ca="1" si="105"/>
        <v>7</v>
      </c>
      <c r="Q260" s="357">
        <f t="shared" ca="1" si="106"/>
        <v>501.76595744681066</v>
      </c>
      <c r="R260" s="359">
        <f t="shared" ca="1" si="107"/>
        <v>0.2518129559032416</v>
      </c>
      <c r="S260" s="360">
        <f t="shared" ca="1" si="108"/>
        <v>8.5352698748720712</v>
      </c>
      <c r="T260" s="357">
        <f t="shared" ref="T260:T323" ca="1" si="117">m*g</f>
        <v>83.730997472495019</v>
      </c>
      <c r="U260" s="364">
        <f t="shared" ref="U260:U323" ca="1" si="118">IF(pos_xz&lt;L_rampe,Poids*COS(Beta),0)</f>
        <v>0</v>
      </c>
      <c r="V260" s="359">
        <f t="shared" ref="V260:V323" ca="1" si="119">Rho_moyen*(20000-Alt_rampe-pos_z)/(20000+Alt_rampe+pos_z)</f>
        <v>1.1979614547466095</v>
      </c>
      <c r="W260" s="357">
        <f t="shared" ref="W260:W323" ca="1" si="120">1/2*Rho*Sref*Cx*vit_xz^2</f>
        <v>82.82735471875948</v>
      </c>
      <c r="X260" s="343"/>
      <c r="Y260" s="367" t="str">
        <f t="shared" ca="1" si="109"/>
        <v/>
      </c>
      <c r="Z260" s="368" t="str">
        <f t="shared" ca="1" si="110"/>
        <v/>
      </c>
      <c r="AA260" s="369" t="str">
        <f t="shared" ca="1" si="111"/>
        <v/>
      </c>
      <c r="AB260" s="344"/>
      <c r="AC260" s="363" t="e">
        <f t="shared" ca="1" si="112"/>
        <v>#N/A</v>
      </c>
      <c r="AD260" s="376" t="e">
        <f t="shared" ca="1" si="113"/>
        <v>#N/A</v>
      </c>
      <c r="AE260" s="377">
        <f t="shared" ref="AE260:AE323" ca="1" si="121">IF(t&lt;T_para, pos_z, NA())</f>
        <v>223.18592976724236</v>
      </c>
      <c r="AF260" s="344"/>
      <c r="AG260" s="359">
        <f t="shared" ca="1" si="114"/>
        <v>39.572348634726502</v>
      </c>
      <c r="AH260" s="357">
        <f t="shared" ca="1" si="115"/>
        <v>49.129258171333248</v>
      </c>
    </row>
    <row r="261" spans="1:34" x14ac:dyDescent="0.2">
      <c r="A261" s="402">
        <f t="shared" ref="A261:A324" ca="1" si="122">IF(B260+0.01&lt;=T_ini+ROUNDUP(Temps_fin_propu,0), 0.01, IF(K260&gt;0, 0.1, 0.0001))</f>
        <v>0.01</v>
      </c>
      <c r="B261" s="357">
        <f t="shared" ref="B261:B324" ca="1" si="123">B260+pas</f>
        <v>2.5699999999999892</v>
      </c>
      <c r="C261" s="342"/>
      <c r="D261" s="359">
        <f t="shared" ref="D261:D324" ca="1" si="124">IF(AND(L260&lt;L_rampe,Poussee&lt;Poids*SIN(M260)),0,(-W260+Poussee)/m*COS(M260)-U260/m*SIN(M260))</f>
        <v>11.033019075510364</v>
      </c>
      <c r="E261" s="360">
        <f t="shared" ref="E261:E324" ca="1" si="125">IF(AND(L260&lt;L_rampe,Poussee&lt;Poids*SIN(M260)),0,(-W260+Poussee)/m*SIN(M260)+U260/m*COS(M260)-Poids/m)</f>
        <v>37.786257475323502</v>
      </c>
      <c r="F261" s="357">
        <f t="shared" ref="F261:F324" ca="1" si="126">SQRT(acc_x^2+acc_z^2)</f>
        <v>39.364054210815439</v>
      </c>
      <c r="G261" s="359">
        <f t="shared" ref="G261:G324" ca="1" si="127">G260+acc_x*pas</f>
        <v>36.5430638535911</v>
      </c>
      <c r="H261" s="360">
        <f t="shared" ref="H261:H324" ca="1" si="128">H260+acc_z*pas</f>
        <v>157.54805869951736</v>
      </c>
      <c r="I261" s="357">
        <f t="shared" ref="I261:I324" ca="1" si="129">SQRT(vit_x^2+vit_z^2)</f>
        <v>161.73059795782058</v>
      </c>
      <c r="J261" s="359">
        <f t="shared" ref="J261:J324" ca="1" si="130">J260+0.5*(vit_x+G260)*pas*(K260&gt;=0)</f>
        <v>48.49755694226009</v>
      </c>
      <c r="K261" s="360">
        <f t="shared" ref="K261:K324" ca="1" si="131">K260+0.5*(vit_z+H260)*pas</f>
        <v>224.75952104136377</v>
      </c>
      <c r="L261" s="357">
        <f t="shared" ca="1" si="116"/>
        <v>229.93228422322733</v>
      </c>
      <c r="M261" s="359">
        <f t="shared" ref="M261:M324" ca="1" si="132">IF(AND(L260&gt;L_rampe,G261&gt;0),ATAN2(G261,H261),$M$4)</f>
        <v>1.3428779567567188</v>
      </c>
      <c r="N261" s="357">
        <f t="shared" ref="N261:N324" ca="1" si="133">DEGREES(Beta)</f>
        <v>76.941239323311464</v>
      </c>
      <c r="O261" s="343"/>
      <c r="P261" s="363">
        <f t="shared" ref="P261:P324" ca="1" si="134">MATCH(t-pas/2-T_ini,CdP_t)</f>
        <v>7</v>
      </c>
      <c r="Q261" s="357">
        <f t="shared" ref="Q261:Q324" ca="1" si="135">(INDEX(CdP,2,i_P+1)-INDEX(CdP,2,i_P+0))/(INDEX(CdP,1,i_P+1)-INDEX(CdP,1,i_P+0))*(t-pas/2-T_ini-INDEX(CdP,1,i_P+0))+INDEX(CdP,2,i_P+0)</f>
        <v>499.72340425532133</v>
      </c>
      <c r="R261" s="359">
        <f t="shared" ref="R261:R324" ca="1" si="136">Poussee/(g*ISP)</f>
        <v>0.25078789362250076</v>
      </c>
      <c r="S261" s="360">
        <f t="shared" ref="S261:S324" ca="1" si="137">S260-Débit*pas</f>
        <v>8.5327619959358465</v>
      </c>
      <c r="T261" s="357">
        <f t="shared" ca="1" si="117"/>
        <v>83.706395180130656</v>
      </c>
      <c r="U261" s="364">
        <f t="shared" ca="1" si="118"/>
        <v>0</v>
      </c>
      <c r="V261" s="359">
        <f t="shared" ca="1" si="119"/>
        <v>1.1977729357682378</v>
      </c>
      <c r="W261" s="357">
        <f t="shared" ca="1" si="120"/>
        <v>83.218283150577633</v>
      </c>
      <c r="X261" s="343"/>
      <c r="Y261" s="367" t="str">
        <f t="shared" ref="Y261:Y324" ca="1" si="138">IF(AND(pos_z&lt;=0,K260&gt;0),"Impact balistique","") &amp; IF(AND(H262&lt;0,vit_z&gt;=0),"Apogée","") &amp; IF(AND(Poussee=0,Q260&gt;0),"Fin de propulsion","") &amp; IF(AND(L262&gt;L_rampe,pos_xz&lt;=L_rampe),"Sortie de rampe","")</f>
        <v/>
      </c>
      <c r="Z261" s="368" t="str">
        <f t="shared" ref="Z261:Z324" ca="1" si="139">IF(ABS(t-T_para)&lt;pas/2,"Para","")</f>
        <v/>
      </c>
      <c r="AA261" s="369" t="str">
        <f t="shared" ref="AA261:AA324" ca="1" si="140">IF(ABS(t-T_satellite)&lt;pas/2,"Satellite","")</f>
        <v/>
      </c>
      <c r="AB261" s="344"/>
      <c r="AC261" s="363" t="e">
        <f t="shared" ref="AC261:AC324" ca="1" si="141">IF(ABS(t-ROUND(t,0))&lt;0.001,t,NA())</f>
        <v>#N/A</v>
      </c>
      <c r="AD261" s="376" t="e">
        <f t="shared" ref="AD261:AD324" ca="1" si="142">IF(ABS(t-ROUND(t,0))&lt;0.001,pos_x,NA())</f>
        <v>#N/A</v>
      </c>
      <c r="AE261" s="377">
        <f t="shared" ca="1" si="121"/>
        <v>224.75952104136377</v>
      </c>
      <c r="AF261" s="344"/>
      <c r="AG261" s="359">
        <f t="shared" ref="AG261:AG324" ca="1" si="143">IF(AND(L260&lt;L_rampe,Poussee&lt;Poids*SIN(M260)),0,(-W260+Poussee)/m-Poids*SIN(M260)/m)</f>
        <v>39.301671404992675</v>
      </c>
      <c r="AH261" s="357">
        <f t="shared" ref="AH261:AH324" ca="1" si="144">IF(AND(L260&lt;L_rampe,Poussee&lt;Poids*SIN(M260)), g*SIN(M260), (-W260+Poussee)/m)</f>
        <v>48.858277042665598</v>
      </c>
    </row>
    <row r="262" spans="1:34" x14ac:dyDescent="0.2">
      <c r="A262" s="402">
        <f t="shared" ca="1" si="122"/>
        <v>0.01</v>
      </c>
      <c r="B262" s="357">
        <f t="shared" ca="1" si="123"/>
        <v>2.579999999999989</v>
      </c>
      <c r="C262" s="342"/>
      <c r="D262" s="359">
        <f t="shared" ca="1" si="124"/>
        <v>10.978312453820422</v>
      </c>
      <c r="E262" s="360">
        <f t="shared" ca="1" si="125"/>
        <v>37.52078271230323</v>
      </c>
      <c r="F262" s="357">
        <f t="shared" ca="1" si="126"/>
        <v>39.093893125110746</v>
      </c>
      <c r="G262" s="359">
        <f t="shared" ca="1" si="127"/>
        <v>36.652846978129304</v>
      </c>
      <c r="H262" s="360">
        <f t="shared" ca="1" si="128"/>
        <v>157.92326652664039</v>
      </c>
      <c r="I262" s="357">
        <f t="shared" ca="1" si="129"/>
        <v>162.12090951523328</v>
      </c>
      <c r="J262" s="359">
        <f t="shared" ca="1" si="130"/>
        <v>48.863536496418689</v>
      </c>
      <c r="K262" s="360">
        <f t="shared" ca="1" si="131"/>
        <v>226.33687766749455</v>
      </c>
      <c r="L262" s="357">
        <f t="shared" ca="1" si="116"/>
        <v>231.55134936166371</v>
      </c>
      <c r="M262" s="359">
        <f t="shared" ca="1" si="132"/>
        <v>1.3427412333907216</v>
      </c>
      <c r="N262" s="357">
        <f t="shared" ca="1" si="133"/>
        <v>76.933405651478992</v>
      </c>
      <c r="O262" s="343"/>
      <c r="P262" s="363">
        <f t="shared" ca="1" si="134"/>
        <v>7</v>
      </c>
      <c r="Q262" s="357">
        <f t="shared" ca="1" si="135"/>
        <v>497.68085106383205</v>
      </c>
      <c r="R262" s="359">
        <f t="shared" ca="1" si="136"/>
        <v>0.24976283134175997</v>
      </c>
      <c r="S262" s="360">
        <f t="shared" ca="1" si="137"/>
        <v>8.5302643676224292</v>
      </c>
      <c r="T262" s="357">
        <f t="shared" ca="1" si="117"/>
        <v>83.681893446376037</v>
      </c>
      <c r="U262" s="364">
        <f t="shared" ca="1" si="118"/>
        <v>0</v>
      </c>
      <c r="V262" s="359">
        <f t="shared" ca="1" si="119"/>
        <v>1.1975839951327207</v>
      </c>
      <c r="W262" s="357">
        <f t="shared" ca="1" si="120"/>
        <v>83.607245948270361</v>
      </c>
      <c r="X262" s="343"/>
      <c r="Y262" s="367" t="str">
        <f t="shared" ca="1" si="138"/>
        <v/>
      </c>
      <c r="Z262" s="368" t="str">
        <f t="shared" ca="1" si="139"/>
        <v/>
      </c>
      <c r="AA262" s="369" t="str">
        <f t="shared" ca="1" si="140"/>
        <v/>
      </c>
      <c r="AB262" s="344"/>
      <c r="AC262" s="363" t="e">
        <f t="shared" ca="1" si="141"/>
        <v>#N/A</v>
      </c>
      <c r="AD262" s="376" t="e">
        <f t="shared" ca="1" si="142"/>
        <v>#N/A</v>
      </c>
      <c r="AE262" s="377">
        <f t="shared" ca="1" si="121"/>
        <v>226.33687766749455</v>
      </c>
      <c r="AF262" s="344"/>
      <c r="AG262" s="359">
        <f t="shared" ca="1" si="143"/>
        <v>39.031004212701447</v>
      </c>
      <c r="AH262" s="357">
        <f t="shared" ca="1" si="144"/>
        <v>48.587306330902635</v>
      </c>
    </row>
    <row r="263" spans="1:34" x14ac:dyDescent="0.2">
      <c r="A263" s="402">
        <f t="shared" ca="1" si="122"/>
        <v>0.01</v>
      </c>
      <c r="B263" s="357">
        <f t="shared" ca="1" si="123"/>
        <v>2.5899999999999888</v>
      </c>
      <c r="C263" s="342"/>
      <c r="D263" s="359">
        <f t="shared" ca="1" si="124"/>
        <v>10.923524690749421</v>
      </c>
      <c r="E263" s="360">
        <f t="shared" ca="1" si="125"/>
        <v>37.255339895067593</v>
      </c>
      <c r="F263" s="357">
        <f t="shared" ca="1" si="126"/>
        <v>38.823752296325345</v>
      </c>
      <c r="G263" s="359">
        <f t="shared" ca="1" si="127"/>
        <v>36.762082225036799</v>
      </c>
      <c r="H263" s="360">
        <f t="shared" ca="1" si="128"/>
        <v>158.29581992559108</v>
      </c>
      <c r="I263" s="357">
        <f t="shared" ca="1" si="129"/>
        <v>162.50851453211774</v>
      </c>
      <c r="J263" s="359">
        <f t="shared" ca="1" si="130"/>
        <v>49.230611142434519</v>
      </c>
      <c r="K263" s="360">
        <f t="shared" ca="1" si="131"/>
        <v>227.9179730997557</v>
      </c>
      <c r="L263" s="357">
        <f t="shared" ca="1" si="116"/>
        <v>233.17430290526991</v>
      </c>
      <c r="M263" s="359">
        <f t="shared" ca="1" si="132"/>
        <v>1.3426047557298324</v>
      </c>
      <c r="N263" s="357">
        <f t="shared" ca="1" si="133"/>
        <v>76.925586057512234</v>
      </c>
      <c r="O263" s="343"/>
      <c r="P263" s="363">
        <f t="shared" ca="1" si="134"/>
        <v>7</v>
      </c>
      <c r="Q263" s="357">
        <f t="shared" ca="1" si="135"/>
        <v>495.63829787234272</v>
      </c>
      <c r="R263" s="359">
        <f t="shared" ca="1" si="136"/>
        <v>0.24873776906101916</v>
      </c>
      <c r="S263" s="360">
        <f t="shared" ca="1" si="137"/>
        <v>8.5277769899318194</v>
      </c>
      <c r="T263" s="357">
        <f t="shared" ca="1" si="117"/>
        <v>83.657492271231149</v>
      </c>
      <c r="U263" s="364">
        <f t="shared" ca="1" si="118"/>
        <v>0</v>
      </c>
      <c r="V263" s="359">
        <f t="shared" ca="1" si="119"/>
        <v>1.1973946362232142</v>
      </c>
      <c r="W263" s="357">
        <f t="shared" ca="1" si="120"/>
        <v>83.994223758175991</v>
      </c>
      <c r="X263" s="343"/>
      <c r="Y263" s="367" t="str">
        <f t="shared" ca="1" si="138"/>
        <v/>
      </c>
      <c r="Z263" s="368" t="str">
        <f t="shared" ca="1" si="139"/>
        <v/>
      </c>
      <c r="AA263" s="369" t="str">
        <f t="shared" ca="1" si="140"/>
        <v/>
      </c>
      <c r="AB263" s="344"/>
      <c r="AC263" s="363" t="e">
        <f t="shared" ca="1" si="141"/>
        <v>#N/A</v>
      </c>
      <c r="AD263" s="376" t="e">
        <f t="shared" ca="1" si="142"/>
        <v>#N/A</v>
      </c>
      <c r="AE263" s="377">
        <f t="shared" ca="1" si="121"/>
        <v>227.9179730997557</v>
      </c>
      <c r="AF263" s="344"/>
      <c r="AG263" s="359">
        <f t="shared" ca="1" si="143"/>
        <v>38.760350343030538</v>
      </c>
      <c r="AH263" s="357">
        <f t="shared" ca="1" si="144"/>
        <v>48.316349314778058</v>
      </c>
    </row>
    <row r="264" spans="1:34" x14ac:dyDescent="0.2">
      <c r="A264" s="402">
        <f t="shared" ca="1" si="122"/>
        <v>0.01</v>
      </c>
      <c r="B264" s="357">
        <f t="shared" ca="1" si="123"/>
        <v>2.5999999999999885</v>
      </c>
      <c r="C264" s="342"/>
      <c r="D264" s="359">
        <f t="shared" ca="1" si="124"/>
        <v>10.868656886127091</v>
      </c>
      <c r="E264" s="360">
        <f t="shared" ca="1" si="125"/>
        <v>36.989932135174008</v>
      </c>
      <c r="F264" s="357">
        <f t="shared" ca="1" si="126"/>
        <v>38.553635131763343</v>
      </c>
      <c r="G264" s="359">
        <f t="shared" ca="1" si="127"/>
        <v>36.870768793898073</v>
      </c>
      <c r="H264" s="360">
        <f t="shared" ca="1" si="128"/>
        <v>158.66571924694281</v>
      </c>
      <c r="I264" s="357">
        <f t="shared" ca="1" si="129"/>
        <v>162.89341317439073</v>
      </c>
      <c r="J264" s="359">
        <f t="shared" ca="1" si="130"/>
        <v>49.598775397529195</v>
      </c>
      <c r="K264" s="360">
        <f t="shared" ca="1" si="131"/>
        <v>229.50278079561838</v>
      </c>
      <c r="L264" s="357">
        <f t="shared" ca="1" si="116"/>
        <v>234.8011177866413</v>
      </c>
      <c r="M264" s="359">
        <f t="shared" ca="1" si="132"/>
        <v>1.3424685204880107</v>
      </c>
      <c r="N264" s="357">
        <f t="shared" ca="1" si="133"/>
        <v>76.917780353134901</v>
      </c>
      <c r="O264" s="343"/>
      <c r="P264" s="363">
        <f t="shared" ca="1" si="134"/>
        <v>7</v>
      </c>
      <c r="Q264" s="357">
        <f t="shared" ca="1" si="135"/>
        <v>493.59574468085339</v>
      </c>
      <c r="R264" s="359">
        <f t="shared" ca="1" si="136"/>
        <v>0.24771270678027832</v>
      </c>
      <c r="S264" s="360">
        <f t="shared" ca="1" si="137"/>
        <v>8.5252998628640171</v>
      </c>
      <c r="T264" s="357">
        <f t="shared" ca="1" si="117"/>
        <v>83.633191654696006</v>
      </c>
      <c r="U264" s="364">
        <f t="shared" ca="1" si="118"/>
        <v>0</v>
      </c>
      <c r="V264" s="359">
        <f t="shared" ca="1" si="119"/>
        <v>1.1972048624208871</v>
      </c>
      <c r="W264" s="357">
        <f t="shared" ca="1" si="120"/>
        <v>84.379197422432014</v>
      </c>
      <c r="X264" s="343"/>
      <c r="Y264" s="367" t="str">
        <f t="shared" ca="1" si="138"/>
        <v/>
      </c>
      <c r="Z264" s="368" t="str">
        <f t="shared" ca="1" si="139"/>
        <v/>
      </c>
      <c r="AA264" s="369" t="str">
        <f t="shared" ca="1" si="140"/>
        <v/>
      </c>
      <c r="AB264" s="344"/>
      <c r="AC264" s="363" t="e">
        <f t="shared" ca="1" si="141"/>
        <v>#N/A</v>
      </c>
      <c r="AD264" s="376" t="e">
        <f t="shared" ca="1" si="142"/>
        <v>#N/A</v>
      </c>
      <c r="AE264" s="377">
        <f t="shared" ca="1" si="121"/>
        <v>229.50278079561838</v>
      </c>
      <c r="AF264" s="344"/>
      <c r="AG264" s="359">
        <f t="shared" ca="1" si="143"/>
        <v>38.489713061875619</v>
      </c>
      <c r="AH264" s="357">
        <f t="shared" ca="1" si="144"/>
        <v>48.045409253801253</v>
      </c>
    </row>
    <row r="265" spans="1:34" x14ac:dyDescent="0.2">
      <c r="A265" s="402">
        <f t="shared" ca="1" si="122"/>
        <v>0.01</v>
      </c>
      <c r="B265" s="357">
        <f t="shared" ca="1" si="123"/>
        <v>2.6099999999999883</v>
      </c>
      <c r="C265" s="342"/>
      <c r="D265" s="359">
        <f t="shared" ca="1" si="124"/>
        <v>10.813710131989334</v>
      </c>
      <c r="E265" s="360">
        <f t="shared" ca="1" si="125"/>
        <v>36.724562525964785</v>
      </c>
      <c r="F265" s="357">
        <f t="shared" ca="1" si="126"/>
        <v>38.283545023184381</v>
      </c>
      <c r="G265" s="359">
        <f t="shared" ca="1" si="127"/>
        <v>36.978905895217963</v>
      </c>
      <c r="H265" s="360">
        <f t="shared" ca="1" si="128"/>
        <v>159.03296487220246</v>
      </c>
      <c r="I265" s="357">
        <f t="shared" ca="1" si="129"/>
        <v>163.27560564043412</v>
      </c>
      <c r="J265" s="359">
        <f t="shared" ca="1" si="130"/>
        <v>49.968023770974774</v>
      </c>
      <c r="K265" s="360">
        <f t="shared" ca="1" si="131"/>
        <v>231.09127421621412</v>
      </c>
      <c r="L265" s="357">
        <f t="shared" ca="1" si="116"/>
        <v>236.43176694016853</v>
      </c>
      <c r="M265" s="359">
        <f t="shared" ca="1" si="132"/>
        <v>1.3423325244127393</v>
      </c>
      <c r="N265" s="357">
        <f t="shared" ca="1" si="133"/>
        <v>76.909988351991501</v>
      </c>
      <c r="O265" s="343"/>
      <c r="P265" s="363">
        <f t="shared" ca="1" si="134"/>
        <v>7</v>
      </c>
      <c r="Q265" s="357">
        <f t="shared" ca="1" si="135"/>
        <v>491.55319148936405</v>
      </c>
      <c r="R265" s="359">
        <f t="shared" ca="1" si="136"/>
        <v>0.24668764449953751</v>
      </c>
      <c r="S265" s="360">
        <f t="shared" ca="1" si="137"/>
        <v>8.5228329864190222</v>
      </c>
      <c r="T265" s="357">
        <f t="shared" ca="1" si="117"/>
        <v>83.608991596770608</v>
      </c>
      <c r="U265" s="364">
        <f t="shared" ca="1" si="118"/>
        <v>0</v>
      </c>
      <c r="V265" s="359">
        <f t="shared" ca="1" si="119"/>
        <v>1.1970146771048731</v>
      </c>
      <c r="W265" s="357">
        <f t="shared" ca="1" si="120"/>
        <v>84.76214797902</v>
      </c>
      <c r="X265" s="343"/>
      <c r="Y265" s="367" t="str">
        <f t="shared" ca="1" si="138"/>
        <v/>
      </c>
      <c r="Z265" s="368" t="str">
        <f t="shared" ca="1" si="139"/>
        <v/>
      </c>
      <c r="AA265" s="369" t="str">
        <f t="shared" ca="1" si="140"/>
        <v/>
      </c>
      <c r="AB265" s="344"/>
      <c r="AC265" s="363" t="e">
        <f t="shared" ca="1" si="141"/>
        <v>#N/A</v>
      </c>
      <c r="AD265" s="376" t="e">
        <f t="shared" ca="1" si="142"/>
        <v>#N/A</v>
      </c>
      <c r="AE265" s="377">
        <f t="shared" ca="1" si="121"/>
        <v>231.09127421621412</v>
      </c>
      <c r="AF265" s="344"/>
      <c r="AG265" s="359">
        <f t="shared" ca="1" si="143"/>
        <v>38.219095615777178</v>
      </c>
      <c r="AH265" s="357">
        <f t="shared" ca="1" si="144"/>
        <v>47.774489388183049</v>
      </c>
    </row>
    <row r="266" spans="1:34" x14ac:dyDescent="0.2">
      <c r="A266" s="402">
        <f t="shared" ca="1" si="122"/>
        <v>0.01</v>
      </c>
      <c r="B266" s="357">
        <f t="shared" ca="1" si="123"/>
        <v>2.6199999999999881</v>
      </c>
      <c r="C266" s="342"/>
      <c r="D266" s="359">
        <f t="shared" ca="1" si="124"/>
        <v>10.758685512615585</v>
      </c>
      <c r="E266" s="360">
        <f t="shared" ca="1" si="125"/>
        <v>36.459234142487944</v>
      </c>
      <c r="F266" s="357">
        <f t="shared" ca="1" si="126"/>
        <v>38.01348534686241</v>
      </c>
      <c r="G266" s="359">
        <f t="shared" ca="1" si="127"/>
        <v>37.086492750344121</v>
      </c>
      <c r="H266" s="360">
        <f t="shared" ca="1" si="128"/>
        <v>159.39755721362732</v>
      </c>
      <c r="I266" s="357">
        <f t="shared" ca="1" si="129"/>
        <v>163.65509216090078</v>
      </c>
      <c r="J266" s="359">
        <f t="shared" ca="1" si="130"/>
        <v>50.338350764202588</v>
      </c>
      <c r="K266" s="360">
        <f t="shared" ca="1" si="131"/>
        <v>232.68342682664326</v>
      </c>
      <c r="L266" s="357">
        <f t="shared" ca="1" si="116"/>
        <v>238.06622330236127</v>
      </c>
      <c r="M266" s="359">
        <f t="shared" ca="1" si="132"/>
        <v>1.3421967642844341</v>
      </c>
      <c r="N266" s="357">
        <f t="shared" ca="1" si="133"/>
        <v>76.902209869613458</v>
      </c>
      <c r="O266" s="343"/>
      <c r="P266" s="363">
        <f t="shared" ca="1" si="134"/>
        <v>7</v>
      </c>
      <c r="Q266" s="357">
        <f t="shared" ca="1" si="135"/>
        <v>489.51063829787478</v>
      </c>
      <c r="R266" s="359">
        <f t="shared" ca="1" si="136"/>
        <v>0.24566258221879672</v>
      </c>
      <c r="S266" s="360">
        <f t="shared" ca="1" si="137"/>
        <v>8.5203763605968348</v>
      </c>
      <c r="T266" s="357">
        <f t="shared" ca="1" si="117"/>
        <v>83.584892097454954</v>
      </c>
      <c r="U266" s="364">
        <f t="shared" ca="1" si="118"/>
        <v>0</v>
      </c>
      <c r="V266" s="359">
        <f t="shared" ca="1" si="119"/>
        <v>1.1968240836522255</v>
      </c>
      <c r="W266" s="357">
        <f t="shared" ca="1" si="120"/>
        <v>85.143056661796948</v>
      </c>
      <c r="X266" s="343"/>
      <c r="Y266" s="367" t="str">
        <f t="shared" ca="1" si="138"/>
        <v/>
      </c>
      <c r="Z266" s="368" t="str">
        <f t="shared" ca="1" si="139"/>
        <v/>
      </c>
      <c r="AA266" s="369" t="str">
        <f t="shared" ca="1" si="140"/>
        <v/>
      </c>
      <c r="AB266" s="344"/>
      <c r="AC266" s="363" t="e">
        <f t="shared" ca="1" si="141"/>
        <v>#N/A</v>
      </c>
      <c r="AD266" s="376" t="e">
        <f t="shared" ca="1" si="142"/>
        <v>#N/A</v>
      </c>
      <c r="AE266" s="377">
        <f t="shared" ca="1" si="121"/>
        <v>232.68342682664326</v>
      </c>
      <c r="AF266" s="344"/>
      <c r="AG266" s="359">
        <f t="shared" ca="1" si="143"/>
        <v>37.948501231849242</v>
      </c>
      <c r="AH266" s="357">
        <f t="shared" ca="1" si="144"/>
        <v>47.503592938763447</v>
      </c>
    </row>
    <row r="267" spans="1:34" x14ac:dyDescent="0.2">
      <c r="A267" s="402">
        <f t="shared" ca="1" si="122"/>
        <v>0.01</v>
      </c>
      <c r="B267" s="357">
        <f t="shared" ca="1" si="123"/>
        <v>2.6299999999999879</v>
      </c>
      <c r="C267" s="342"/>
      <c r="D267" s="359">
        <f t="shared" ca="1" si="124"/>
        <v>10.703584104565264</v>
      </c>
      <c r="E267" s="360">
        <f t="shared" ca="1" si="125"/>
        <v>36.193950041419932</v>
      </c>
      <c r="F267" s="357">
        <f t="shared" ca="1" si="126"/>
        <v>37.743459463651497</v>
      </c>
      <c r="G267" s="359">
        <f t="shared" ca="1" si="127"/>
        <v>37.193528591389772</v>
      </c>
      <c r="H267" s="360">
        <f t="shared" ca="1" si="128"/>
        <v>159.75949671404152</v>
      </c>
      <c r="I267" s="357">
        <f t="shared" ca="1" si="129"/>
        <v>164.0318729985193</v>
      </c>
      <c r="J267" s="359">
        <f t="shared" ca="1" si="130"/>
        <v>50.709750870911257</v>
      </c>
      <c r="K267" s="360">
        <f t="shared" ca="1" si="131"/>
        <v>234.27921209628161</v>
      </c>
      <c r="L267" s="357">
        <f t="shared" ca="1" si="116"/>
        <v>239.70445981217034</v>
      </c>
      <c r="M267" s="359">
        <f t="shared" ca="1" si="132"/>
        <v>1.3420612369158627</v>
      </c>
      <c r="N267" s="357">
        <f t="shared" ca="1" si="133"/>
        <v>76.894444723385803</v>
      </c>
      <c r="O267" s="343"/>
      <c r="P267" s="363">
        <f t="shared" ca="1" si="134"/>
        <v>7</v>
      </c>
      <c r="Q267" s="357">
        <f t="shared" ca="1" si="135"/>
        <v>487.46808510638544</v>
      </c>
      <c r="R267" s="359">
        <f t="shared" ca="1" si="136"/>
        <v>0.24463751993805591</v>
      </c>
      <c r="S267" s="360">
        <f t="shared" ca="1" si="137"/>
        <v>8.5179299853974548</v>
      </c>
      <c r="T267" s="357">
        <f t="shared" ca="1" si="117"/>
        <v>83.560893156749032</v>
      </c>
      <c r="U267" s="364">
        <f t="shared" ca="1" si="118"/>
        <v>0</v>
      </c>
      <c r="V267" s="359">
        <f t="shared" ca="1" si="119"/>
        <v>1.1966330854378668</v>
      </c>
      <c r="W267" s="357">
        <f t="shared" ca="1" si="120"/>
        <v>85.521904900511458</v>
      </c>
      <c r="X267" s="343"/>
      <c r="Y267" s="367" t="str">
        <f t="shared" ca="1" si="138"/>
        <v/>
      </c>
      <c r="Z267" s="368" t="str">
        <f t="shared" ca="1" si="139"/>
        <v/>
      </c>
      <c r="AA267" s="369" t="str">
        <f t="shared" ca="1" si="140"/>
        <v/>
      </c>
      <c r="AB267" s="344"/>
      <c r="AC267" s="363" t="e">
        <f t="shared" ca="1" si="141"/>
        <v>#N/A</v>
      </c>
      <c r="AD267" s="376" t="e">
        <f t="shared" ca="1" si="142"/>
        <v>#N/A</v>
      </c>
      <c r="AE267" s="377">
        <f t="shared" ca="1" si="121"/>
        <v>234.27921209628161</v>
      </c>
      <c r="AF267" s="344"/>
      <c r="AG267" s="359">
        <f t="shared" ca="1" si="143"/>
        <v>37.677933117709856</v>
      </c>
      <c r="AH267" s="357">
        <f t="shared" ca="1" si="144"/>
        <v>47.232723106941059</v>
      </c>
    </row>
    <row r="268" spans="1:34" x14ac:dyDescent="0.2">
      <c r="A268" s="402">
        <f t="shared" ca="1" si="122"/>
        <v>0.01</v>
      </c>
      <c r="B268" s="357">
        <f t="shared" ca="1" si="123"/>
        <v>2.6399999999999877</v>
      </c>
      <c r="C268" s="342"/>
      <c r="D268" s="359">
        <f t="shared" ca="1" si="124"/>
        <v>10.648406976713488</v>
      </c>
      <c r="E268" s="360">
        <f t="shared" ca="1" si="125"/>
        <v>35.928713260990683</v>
      </c>
      <c r="F268" s="357">
        <f t="shared" ca="1" si="126"/>
        <v>37.473470719059485</v>
      </c>
      <c r="G268" s="359">
        <f t="shared" ca="1" si="127"/>
        <v>37.300012661156906</v>
      </c>
      <c r="H268" s="360">
        <f t="shared" ca="1" si="128"/>
        <v>160.11878384665141</v>
      </c>
      <c r="I268" s="357">
        <f t="shared" ca="1" si="129"/>
        <v>164.40594844789877</v>
      </c>
      <c r="J268" s="359">
        <f t="shared" ca="1" si="130"/>
        <v>51.08221857717399</v>
      </c>
      <c r="K268" s="360">
        <f t="shared" ca="1" si="131"/>
        <v>235.87860349908507</v>
      </c>
      <c r="L268" s="357">
        <f t="shared" ca="1" si="116"/>
        <v>241.34644941130742</v>
      </c>
      <c r="M268" s="359">
        <f t="shared" ca="1" si="132"/>
        <v>1.3419259391515761</v>
      </c>
      <c r="N268" s="357">
        <f t="shared" ca="1" si="133"/>
        <v>76.886692732514632</v>
      </c>
      <c r="O268" s="343"/>
      <c r="P268" s="363">
        <f t="shared" ca="1" si="134"/>
        <v>7</v>
      </c>
      <c r="Q268" s="357">
        <f t="shared" ca="1" si="135"/>
        <v>485.42553191489611</v>
      </c>
      <c r="R268" s="359">
        <f t="shared" ca="1" si="136"/>
        <v>0.24361245765731507</v>
      </c>
      <c r="S268" s="360">
        <f t="shared" ca="1" si="137"/>
        <v>8.5154938608208823</v>
      </c>
      <c r="T268" s="357">
        <f t="shared" ca="1" si="117"/>
        <v>83.536994774652854</v>
      </c>
      <c r="U268" s="364">
        <f t="shared" ca="1" si="118"/>
        <v>0</v>
      </c>
      <c r="V268" s="359">
        <f t="shared" ca="1" si="119"/>
        <v>1.1964416858345441</v>
      </c>
      <c r="W268" s="357">
        <f t="shared" ca="1" si="120"/>
        <v>85.898674320807103</v>
      </c>
      <c r="X268" s="343"/>
      <c r="Y268" s="367" t="str">
        <f t="shared" ca="1" si="138"/>
        <v/>
      </c>
      <c r="Z268" s="368" t="str">
        <f t="shared" ca="1" si="139"/>
        <v/>
      </c>
      <c r="AA268" s="369" t="str">
        <f t="shared" ca="1" si="140"/>
        <v/>
      </c>
      <c r="AB268" s="344"/>
      <c r="AC268" s="363" t="e">
        <f t="shared" ca="1" si="141"/>
        <v>#N/A</v>
      </c>
      <c r="AD268" s="376" t="e">
        <f t="shared" ca="1" si="142"/>
        <v>#N/A</v>
      </c>
      <c r="AE268" s="377">
        <f t="shared" ca="1" si="121"/>
        <v>235.87860349908507</v>
      </c>
      <c r="AF268" s="344"/>
      <c r="AG268" s="359">
        <f t="shared" ca="1" si="143"/>
        <v>37.407394461413716</v>
      </c>
      <c r="AH268" s="357">
        <f t="shared" ca="1" si="144"/>
        <v>46.961883074604728</v>
      </c>
    </row>
    <row r="269" spans="1:34" x14ac:dyDescent="0.2">
      <c r="A269" s="402">
        <f t="shared" ca="1" si="122"/>
        <v>0.01</v>
      </c>
      <c r="B269" s="357">
        <f t="shared" ca="1" si="123"/>
        <v>2.6499999999999875</v>
      </c>
      <c r="C269" s="342"/>
      <c r="D269" s="359">
        <f t="shared" ca="1" si="124"/>
        <v>10.593155190285858</v>
      </c>
      <c r="E269" s="360">
        <f t="shared" ca="1" si="125"/>
        <v>35.663526820910349</v>
      </c>
      <c r="F269" s="357">
        <f t="shared" ca="1" si="126"/>
        <v>37.203522443328829</v>
      </c>
      <c r="G269" s="359">
        <f t="shared" ca="1" si="127"/>
        <v>37.405944213059762</v>
      </c>
      <c r="H269" s="360">
        <f t="shared" ca="1" si="128"/>
        <v>160.4754191148605</v>
      </c>
      <c r="I269" s="357">
        <f t="shared" ca="1" si="129"/>
        <v>164.77731883533204</v>
      </c>
      <c r="J269" s="359">
        <f t="shared" ca="1" si="130"/>
        <v>51.455748361545076</v>
      </c>
      <c r="K269" s="360">
        <f t="shared" ca="1" si="131"/>
        <v>237.48157451389264</v>
      </c>
      <c r="L269" s="357">
        <f t="shared" ca="1" si="116"/>
        <v>242.99216504456311</v>
      </c>
      <c r="M269" s="359">
        <f t="shared" ca="1" si="132"/>
        <v>1.3417908678673522</v>
      </c>
      <c r="N269" s="357">
        <f t="shared" ca="1" si="133"/>
        <v>76.878953717995188</v>
      </c>
      <c r="O269" s="343"/>
      <c r="P269" s="363">
        <f t="shared" ca="1" si="134"/>
        <v>7</v>
      </c>
      <c r="Q269" s="357">
        <f t="shared" ca="1" si="135"/>
        <v>483.38297872340678</v>
      </c>
      <c r="R269" s="359">
        <f t="shared" ca="1" si="136"/>
        <v>0.24258739537657426</v>
      </c>
      <c r="S269" s="360">
        <f t="shared" ca="1" si="137"/>
        <v>8.5130679868671173</v>
      </c>
      <c r="T269" s="357">
        <f t="shared" ca="1" si="117"/>
        <v>83.513196951166421</v>
      </c>
      <c r="U269" s="364">
        <f t="shared" ca="1" si="118"/>
        <v>0</v>
      </c>
      <c r="V269" s="359">
        <f t="shared" ca="1" si="119"/>
        <v>1.1962498882127823</v>
      </c>
      <c r="W269" s="357">
        <f t="shared" ca="1" si="120"/>
        <v>86.273346744211082</v>
      </c>
      <c r="X269" s="343"/>
      <c r="Y269" s="367" t="str">
        <f t="shared" ca="1" si="138"/>
        <v/>
      </c>
      <c r="Z269" s="368" t="str">
        <f t="shared" ca="1" si="139"/>
        <v/>
      </c>
      <c r="AA269" s="369" t="str">
        <f t="shared" ca="1" si="140"/>
        <v/>
      </c>
      <c r="AB269" s="344"/>
      <c r="AC269" s="363" t="e">
        <f t="shared" ca="1" si="141"/>
        <v>#N/A</v>
      </c>
      <c r="AD269" s="376" t="e">
        <f t="shared" ca="1" si="142"/>
        <v>#N/A</v>
      </c>
      <c r="AE269" s="377">
        <f t="shared" ca="1" si="121"/>
        <v>237.48157451389264</v>
      </c>
      <c r="AF269" s="344"/>
      <c r="AG269" s="359">
        <f t="shared" ca="1" si="143"/>
        <v>37.136888431386289</v>
      </c>
      <c r="AH269" s="357">
        <f t="shared" ca="1" si="144"/>
        <v>46.691076004066701</v>
      </c>
    </row>
    <row r="270" spans="1:34" x14ac:dyDescent="0.2">
      <c r="A270" s="402">
        <f t="shared" ca="1" si="122"/>
        <v>0.01</v>
      </c>
      <c r="B270" s="357">
        <f t="shared" ca="1" si="123"/>
        <v>2.6599999999999873</v>
      </c>
      <c r="C270" s="342"/>
      <c r="D270" s="359">
        <f t="shared" ca="1" si="124"/>
        <v>10.537829798892465</v>
      </c>
      <c r="E270" s="360">
        <f t="shared" ca="1" si="125"/>
        <v>35.39839372229838</v>
      </c>
      <c r="F270" s="357">
        <f t="shared" ca="1" si="126"/>
        <v>36.933617951525939</v>
      </c>
      <c r="G270" s="359">
        <f t="shared" ca="1" si="127"/>
        <v>37.511322511048689</v>
      </c>
      <c r="H270" s="360">
        <f t="shared" ca="1" si="128"/>
        <v>160.82940305208348</v>
      </c>
      <c r="I270" s="357">
        <f t="shared" ca="1" si="129"/>
        <v>165.14598451859925</v>
      </c>
      <c r="J270" s="359">
        <f t="shared" ca="1" si="130"/>
        <v>51.830334695165618</v>
      </c>
      <c r="K270" s="360">
        <f t="shared" ca="1" si="131"/>
        <v>239.08809862472737</v>
      </c>
      <c r="L270" s="357">
        <f t="shared" ca="1" si="116"/>
        <v>244.64157966012289</v>
      </c>
      <c r="M270" s="359">
        <f t="shared" ca="1" si="132"/>
        <v>1.3416560199696477</v>
      </c>
      <c r="N270" s="357">
        <f t="shared" ca="1" si="133"/>
        <v>76.87122750258051</v>
      </c>
      <c r="O270" s="343"/>
      <c r="P270" s="363">
        <f t="shared" ca="1" si="134"/>
        <v>7</v>
      </c>
      <c r="Q270" s="357">
        <f t="shared" ca="1" si="135"/>
        <v>481.3404255319175</v>
      </c>
      <c r="R270" s="359">
        <f t="shared" ca="1" si="136"/>
        <v>0.24156233309583347</v>
      </c>
      <c r="S270" s="360">
        <f t="shared" ca="1" si="137"/>
        <v>8.5106523635361597</v>
      </c>
      <c r="T270" s="357">
        <f t="shared" ca="1" si="117"/>
        <v>83.489499686289733</v>
      </c>
      <c r="U270" s="364">
        <f t="shared" ca="1" si="118"/>
        <v>0</v>
      </c>
      <c r="V270" s="359">
        <f t="shared" ca="1" si="119"/>
        <v>1.1960576959408371</v>
      </c>
      <c r="W270" s="357">
        <f t="shared" ca="1" si="120"/>
        <v>86.645904188109711</v>
      </c>
      <c r="X270" s="343"/>
      <c r="Y270" s="367" t="str">
        <f t="shared" ca="1" si="138"/>
        <v/>
      </c>
      <c r="Z270" s="368" t="str">
        <f t="shared" ca="1" si="139"/>
        <v/>
      </c>
      <c r="AA270" s="369" t="str">
        <f t="shared" ca="1" si="140"/>
        <v/>
      </c>
      <c r="AB270" s="344"/>
      <c r="AC270" s="363" t="e">
        <f t="shared" ca="1" si="141"/>
        <v>#N/A</v>
      </c>
      <c r="AD270" s="376" t="e">
        <f t="shared" ca="1" si="142"/>
        <v>#N/A</v>
      </c>
      <c r="AE270" s="377">
        <f t="shared" ca="1" si="121"/>
        <v>239.08809862472737</v>
      </c>
      <c r="AF270" s="344"/>
      <c r="AG270" s="359">
        <f t="shared" ca="1" si="143"/>
        <v>36.866418176360106</v>
      </c>
      <c r="AH270" s="357">
        <f t="shared" ca="1" si="144"/>
        <v>46.420305037997906</v>
      </c>
    </row>
    <row r="271" spans="1:34" x14ac:dyDescent="0.2">
      <c r="A271" s="402">
        <f t="shared" ca="1" si="122"/>
        <v>0.01</v>
      </c>
      <c r="B271" s="357">
        <f t="shared" ca="1" si="123"/>
        <v>2.6699999999999871</v>
      </c>
      <c r="C271" s="342"/>
      <c r="D271" s="359">
        <f t="shared" ca="1" si="124"/>
        <v>10.482431848561207</v>
      </c>
      <c r="E271" s="360">
        <f t="shared" ca="1" si="125"/>
        <v>35.133316947614439</v>
      </c>
      <c r="F271" s="357">
        <f t="shared" ca="1" si="126"/>
        <v>36.663760543638489</v>
      </c>
      <c r="G271" s="359">
        <f t="shared" ca="1" si="127"/>
        <v>37.616146829534301</v>
      </c>
      <c r="H271" s="360">
        <f t="shared" ca="1" si="128"/>
        <v>161.18073622155961</v>
      </c>
      <c r="I271" s="357">
        <f t="shared" ca="1" si="129"/>
        <v>165.51194588676995</v>
      </c>
      <c r="J271" s="359">
        <f t="shared" ca="1" si="130"/>
        <v>52.205972041868534</v>
      </c>
      <c r="K271" s="360">
        <f t="shared" ca="1" si="131"/>
        <v>240.69814932109557</v>
      </c>
      <c r="L271" s="357">
        <f t="shared" ca="1" si="116"/>
        <v>246.29466620988117</v>
      </c>
      <c r="M271" s="359">
        <f t="shared" ca="1" si="132"/>
        <v>1.3415213923950629</v>
      </c>
      <c r="N271" s="357">
        <f t="shared" ca="1" si="133"/>
        <v>76.863513910750711</v>
      </c>
      <c r="O271" s="343"/>
      <c r="P271" s="363">
        <f t="shared" ca="1" si="134"/>
        <v>7</v>
      </c>
      <c r="Q271" s="357">
        <f t="shared" ca="1" si="135"/>
        <v>479.29787234042817</v>
      </c>
      <c r="R271" s="359">
        <f t="shared" ca="1" si="136"/>
        <v>0.24053727081509266</v>
      </c>
      <c r="S271" s="360">
        <f t="shared" ca="1" si="137"/>
        <v>8.5082469908280096</v>
      </c>
      <c r="T271" s="357">
        <f t="shared" ca="1" si="117"/>
        <v>83.465902980022776</v>
      </c>
      <c r="U271" s="364">
        <f t="shared" ca="1" si="118"/>
        <v>0</v>
      </c>
      <c r="V271" s="359">
        <f t="shared" ca="1" si="119"/>
        <v>1.1958651123846507</v>
      </c>
      <c r="W271" s="357">
        <f t="shared" ca="1" si="120"/>
        <v>87.016328865709966</v>
      </c>
      <c r="X271" s="343"/>
      <c r="Y271" s="367" t="str">
        <f t="shared" ca="1" si="138"/>
        <v/>
      </c>
      <c r="Z271" s="368" t="str">
        <f t="shared" ca="1" si="139"/>
        <v/>
      </c>
      <c r="AA271" s="369" t="str">
        <f t="shared" ca="1" si="140"/>
        <v/>
      </c>
      <c r="AB271" s="344"/>
      <c r="AC271" s="363" t="e">
        <f t="shared" ca="1" si="141"/>
        <v>#N/A</v>
      </c>
      <c r="AD271" s="376" t="e">
        <f t="shared" ca="1" si="142"/>
        <v>#N/A</v>
      </c>
      <c r="AE271" s="377">
        <f t="shared" ca="1" si="121"/>
        <v>240.69814932109557</v>
      </c>
      <c r="AF271" s="344"/>
      <c r="AG271" s="359">
        <f t="shared" ca="1" si="143"/>
        <v>36.59598682531265</v>
      </c>
      <c r="AH271" s="357">
        <f t="shared" ca="1" si="144"/>
        <v>46.149573299364945</v>
      </c>
    </row>
    <row r="272" spans="1:34" x14ac:dyDescent="0.2">
      <c r="A272" s="402">
        <f t="shared" ca="1" si="122"/>
        <v>0.01</v>
      </c>
      <c r="B272" s="357">
        <f t="shared" ca="1" si="123"/>
        <v>2.6799999999999868</v>
      </c>
      <c r="C272" s="342"/>
      <c r="D272" s="359">
        <f t="shared" ca="1" si="124"/>
        <v>10.426962377770236</v>
      </c>
      <c r="E272" s="360">
        <f t="shared" ca="1" si="125"/>
        <v>34.868299460591402</v>
      </c>
      <c r="F272" s="357">
        <f t="shared" ca="1" si="126"/>
        <v>36.393953504681441</v>
      </c>
      <c r="G272" s="359">
        <f t="shared" ca="1" si="127"/>
        <v>37.720416453312005</v>
      </c>
      <c r="H272" s="360">
        <f t="shared" ca="1" si="128"/>
        <v>161.52941921616554</v>
      </c>
      <c r="I272" s="357">
        <f t="shared" ca="1" si="129"/>
        <v>165.87520336000506</v>
      </c>
      <c r="J272" s="359">
        <f t="shared" ca="1" si="130"/>
        <v>52.582654858282766</v>
      </c>
      <c r="K272" s="360">
        <f t="shared" ca="1" si="131"/>
        <v>242.31170009828421</v>
      </c>
      <c r="L272" s="357">
        <f t="shared" ca="1" si="116"/>
        <v>247.95139764975335</v>
      </c>
      <c r="M272" s="359">
        <f t="shared" ca="1" si="132"/>
        <v>1.3413869821098152</v>
      </c>
      <c r="N272" s="357">
        <f t="shared" ca="1" si="133"/>
        <v>76.855812768682881</v>
      </c>
      <c r="O272" s="343"/>
      <c r="P272" s="363">
        <f t="shared" ca="1" si="134"/>
        <v>7</v>
      </c>
      <c r="Q272" s="357">
        <f t="shared" ca="1" si="135"/>
        <v>477.25531914893884</v>
      </c>
      <c r="R272" s="359">
        <f t="shared" ca="1" si="136"/>
        <v>0.23951220853435182</v>
      </c>
      <c r="S272" s="360">
        <f t="shared" ca="1" si="137"/>
        <v>8.505851868742667</v>
      </c>
      <c r="T272" s="357">
        <f t="shared" ca="1" si="117"/>
        <v>83.442406832365563</v>
      </c>
      <c r="U272" s="364">
        <f t="shared" ca="1" si="118"/>
        <v>0</v>
      </c>
      <c r="V272" s="359">
        <f t="shared" ca="1" si="119"/>
        <v>1.1956721409078037</v>
      </c>
      <c r="W272" s="357">
        <f t="shared" ca="1" si="120"/>
        <v>87.384603185987515</v>
      </c>
      <c r="X272" s="343"/>
      <c r="Y272" s="367" t="str">
        <f t="shared" ca="1" si="138"/>
        <v/>
      </c>
      <c r="Z272" s="368" t="str">
        <f t="shared" ca="1" si="139"/>
        <v/>
      </c>
      <c r="AA272" s="369" t="str">
        <f t="shared" ca="1" si="140"/>
        <v/>
      </c>
      <c r="AB272" s="344"/>
      <c r="AC272" s="363" t="e">
        <f t="shared" ca="1" si="141"/>
        <v>#N/A</v>
      </c>
      <c r="AD272" s="376" t="e">
        <f t="shared" ca="1" si="142"/>
        <v>#N/A</v>
      </c>
      <c r="AE272" s="377">
        <f t="shared" ca="1" si="121"/>
        <v>242.31170009828421</v>
      </c>
      <c r="AF272" s="344"/>
      <c r="AG272" s="359">
        <f t="shared" ca="1" si="143"/>
        <v>36.325597487406242</v>
      </c>
      <c r="AH272" s="357">
        <f t="shared" ca="1" si="144"/>
        <v>45.878883891369</v>
      </c>
    </row>
    <row r="273" spans="1:34" x14ac:dyDescent="0.2">
      <c r="A273" s="402">
        <f t="shared" ca="1" si="122"/>
        <v>0.01</v>
      </c>
      <c r="B273" s="357">
        <f t="shared" ca="1" si="123"/>
        <v>2.6899999999999866</v>
      </c>
      <c r="C273" s="342"/>
      <c r="D273" s="359">
        <f t="shared" ca="1" si="124"/>
        <v>10.371422417479833</v>
      </c>
      <c r="E273" s="360">
        <f t="shared" ca="1" si="125"/>
        <v>34.603344206170334</v>
      </c>
      <c r="F273" s="357">
        <f t="shared" ca="1" si="126"/>
        <v>36.124200104812083</v>
      </c>
      <c r="G273" s="359">
        <f t="shared" ca="1" si="127"/>
        <v>37.824130677486806</v>
      </c>
      <c r="H273" s="360">
        <f t="shared" ca="1" si="128"/>
        <v>161.87545265822723</v>
      </c>
      <c r="I273" s="357">
        <f t="shared" ca="1" si="129"/>
        <v>166.23575738935821</v>
      </c>
      <c r="J273" s="359">
        <f t="shared" ca="1" si="130"/>
        <v>52.960377593936762</v>
      </c>
      <c r="K273" s="360">
        <f t="shared" ca="1" si="131"/>
        <v>243.92872445765616</v>
      </c>
      <c r="L273" s="357">
        <f t="shared" ca="1" si="116"/>
        <v>249.61174693998578</v>
      </c>
      <c r="M273" s="359">
        <f t="shared" ca="1" si="132"/>
        <v>1.3412527861092232</v>
      </c>
      <c r="N273" s="357">
        <f t="shared" ca="1" si="133"/>
        <v>76.84812390422141</v>
      </c>
      <c r="O273" s="343"/>
      <c r="P273" s="363">
        <f t="shared" ca="1" si="134"/>
        <v>7</v>
      </c>
      <c r="Q273" s="357">
        <f t="shared" ca="1" si="135"/>
        <v>475.21276595744951</v>
      </c>
      <c r="R273" s="359">
        <f t="shared" ca="1" si="136"/>
        <v>0.238487146253611</v>
      </c>
      <c r="S273" s="360">
        <f t="shared" ca="1" si="137"/>
        <v>8.50346699728013</v>
      </c>
      <c r="T273" s="357">
        <f t="shared" ca="1" si="117"/>
        <v>83.419011243318081</v>
      </c>
      <c r="U273" s="364">
        <f t="shared" ca="1" si="118"/>
        <v>0</v>
      </c>
      <c r="V273" s="359">
        <f t="shared" ca="1" si="119"/>
        <v>1.1954787848714743</v>
      </c>
      <c r="W273" s="357">
        <f t="shared" ca="1" si="120"/>
        <v>87.750709753621848</v>
      </c>
      <c r="X273" s="343"/>
      <c r="Y273" s="367" t="str">
        <f t="shared" ca="1" si="138"/>
        <v/>
      </c>
      <c r="Z273" s="368" t="str">
        <f t="shared" ca="1" si="139"/>
        <v/>
      </c>
      <c r="AA273" s="369" t="str">
        <f t="shared" ca="1" si="140"/>
        <v/>
      </c>
      <c r="AB273" s="344"/>
      <c r="AC273" s="363" t="e">
        <f t="shared" ca="1" si="141"/>
        <v>#N/A</v>
      </c>
      <c r="AD273" s="376" t="e">
        <f t="shared" ca="1" si="142"/>
        <v>#N/A</v>
      </c>
      <c r="AE273" s="377">
        <f t="shared" ca="1" si="121"/>
        <v>243.92872445765616</v>
      </c>
      <c r="AF273" s="344"/>
      <c r="AG273" s="359">
        <f t="shared" ca="1" si="143"/>
        <v>36.055253251929663</v>
      </c>
      <c r="AH273" s="357">
        <f t="shared" ca="1" si="144"/>
        <v>45.608239897386611</v>
      </c>
    </row>
    <row r="274" spans="1:34" x14ac:dyDescent="0.2">
      <c r="A274" s="402">
        <f t="shared" ca="1" si="122"/>
        <v>0.01</v>
      </c>
      <c r="B274" s="357">
        <f t="shared" ca="1" si="123"/>
        <v>2.6999999999999864</v>
      </c>
      <c r="C274" s="342"/>
      <c r="D274" s="359">
        <f t="shared" ca="1" si="124"/>
        <v>10.315812991163506</v>
      </c>
      <c r="E274" s="360">
        <f t="shared" ca="1" si="125"/>
        <v>34.338454110437418</v>
      </c>
      <c r="F274" s="357">
        <f t="shared" ca="1" si="126"/>
        <v>35.854503599454198</v>
      </c>
      <c r="G274" s="359">
        <f t="shared" ca="1" si="127"/>
        <v>37.92728880739844</v>
      </c>
      <c r="H274" s="360">
        <f t="shared" ca="1" si="128"/>
        <v>162.2188371993316</v>
      </c>
      <c r="I274" s="357">
        <f t="shared" ca="1" si="129"/>
        <v>166.59360845657633</v>
      </c>
      <c r="J274" s="359">
        <f t="shared" ca="1" si="130"/>
        <v>53.339134691361188</v>
      </c>
      <c r="K274" s="360">
        <f t="shared" ca="1" si="131"/>
        <v>245.54919590694396</v>
      </c>
      <c r="L274" s="357">
        <f t="shared" ca="1" si="116"/>
        <v>251.27568704546391</v>
      </c>
      <c r="M274" s="359">
        <f t="shared" ca="1" si="132"/>
        <v>1.3411188014172004</v>
      </c>
      <c r="N274" s="357">
        <f t="shared" ca="1" si="133"/>
        <v>76.840447146849158</v>
      </c>
      <c r="O274" s="343"/>
      <c r="P274" s="363">
        <f t="shared" ca="1" si="134"/>
        <v>7</v>
      </c>
      <c r="Q274" s="357">
        <f t="shared" ca="1" si="135"/>
        <v>473.17021276596023</v>
      </c>
      <c r="R274" s="359">
        <f t="shared" ca="1" si="136"/>
        <v>0.23746208397287022</v>
      </c>
      <c r="S274" s="360">
        <f t="shared" ca="1" si="137"/>
        <v>8.5010923764404005</v>
      </c>
      <c r="T274" s="357">
        <f t="shared" ca="1" si="117"/>
        <v>83.39571621288033</v>
      </c>
      <c r="U274" s="364">
        <f t="shared" ca="1" si="118"/>
        <v>0</v>
      </c>
      <c r="V274" s="359">
        <f t="shared" ca="1" si="119"/>
        <v>1.195285047634389</v>
      </c>
      <c r="W274" s="357">
        <f t="shared" ca="1" si="120"/>
        <v>88.11463136891733</v>
      </c>
      <c r="X274" s="343"/>
      <c r="Y274" s="367" t="str">
        <f t="shared" ca="1" si="138"/>
        <v/>
      </c>
      <c r="Z274" s="368" t="str">
        <f t="shared" ca="1" si="139"/>
        <v/>
      </c>
      <c r="AA274" s="369" t="str">
        <f t="shared" ca="1" si="140"/>
        <v/>
      </c>
      <c r="AB274" s="344"/>
      <c r="AC274" s="363" t="e">
        <f t="shared" ca="1" si="141"/>
        <v>#N/A</v>
      </c>
      <c r="AD274" s="376" t="e">
        <f t="shared" ca="1" si="142"/>
        <v>#N/A</v>
      </c>
      <c r="AE274" s="377">
        <f t="shared" ca="1" si="121"/>
        <v>245.54919590694396</v>
      </c>
      <c r="AF274" s="344"/>
      <c r="AG274" s="359">
        <f t="shared" ca="1" si="143"/>
        <v>35.784957188241627</v>
      </c>
      <c r="AH274" s="357">
        <f t="shared" ca="1" si="144"/>
        <v>45.337644380912167</v>
      </c>
    </row>
    <row r="275" spans="1:34" x14ac:dyDescent="0.2">
      <c r="A275" s="402">
        <f t="shared" ca="1" si="122"/>
        <v>0.01</v>
      </c>
      <c r="B275" s="357">
        <f t="shared" ca="1" si="123"/>
        <v>2.7099999999999862</v>
      </c>
      <c r="C275" s="342"/>
      <c r="D275" s="359">
        <f t="shared" ca="1" si="124"/>
        <v>10.260135114838439</v>
      </c>
      <c r="E275" s="360">
        <f t="shared" ca="1" si="125"/>
        <v>34.073632080562831</v>
      </c>
      <c r="F275" s="357">
        <f t="shared" ca="1" si="126"/>
        <v>35.584867229431971</v>
      </c>
      <c r="G275" s="359">
        <f t="shared" ca="1" si="127"/>
        <v>38.029890158546827</v>
      </c>
      <c r="H275" s="360">
        <f t="shared" ca="1" si="128"/>
        <v>162.55957352013723</v>
      </c>
      <c r="I275" s="357">
        <f t="shared" ca="1" si="129"/>
        <v>166.94875707389988</v>
      </c>
      <c r="J275" s="359">
        <f t="shared" ca="1" si="130"/>
        <v>53.718920586190912</v>
      </c>
      <c r="K275" s="360">
        <f t="shared" ca="1" si="131"/>
        <v>247.1730879605413</v>
      </c>
      <c r="L275" s="357">
        <f t="shared" ca="1" si="116"/>
        <v>252.94319093601823</v>
      </c>
      <c r="M275" s="359">
        <f t="shared" ca="1" si="132"/>
        <v>1.3409850250857596</v>
      </c>
      <c r="N275" s="357">
        <f t="shared" ca="1" si="133"/>
        <v>76.832782327658848</v>
      </c>
      <c r="O275" s="343"/>
      <c r="P275" s="363">
        <f t="shared" ca="1" si="134"/>
        <v>7</v>
      </c>
      <c r="Q275" s="357">
        <f t="shared" ca="1" si="135"/>
        <v>471.1276595744709</v>
      </c>
      <c r="R275" s="359">
        <f t="shared" ca="1" si="136"/>
        <v>0.23643702169212941</v>
      </c>
      <c r="S275" s="360">
        <f t="shared" ca="1" si="137"/>
        <v>8.4987280062234785</v>
      </c>
      <c r="T275" s="357">
        <f t="shared" ca="1" si="117"/>
        <v>83.372521741052324</v>
      </c>
      <c r="U275" s="364">
        <f t="shared" ca="1" si="118"/>
        <v>0</v>
      </c>
      <c r="V275" s="359">
        <f t="shared" ca="1" si="119"/>
        <v>1.1950909325527812</v>
      </c>
      <c r="W275" s="357">
        <f t="shared" ca="1" si="120"/>
        <v>88.476351027711786</v>
      </c>
      <c r="X275" s="343"/>
      <c r="Y275" s="367" t="str">
        <f t="shared" ca="1" si="138"/>
        <v/>
      </c>
      <c r="Z275" s="368" t="str">
        <f t="shared" ca="1" si="139"/>
        <v/>
      </c>
      <c r="AA275" s="369" t="str">
        <f t="shared" ca="1" si="140"/>
        <v/>
      </c>
      <c r="AB275" s="344"/>
      <c r="AC275" s="363" t="e">
        <f t="shared" ca="1" si="141"/>
        <v>#N/A</v>
      </c>
      <c r="AD275" s="376" t="e">
        <f t="shared" ca="1" si="142"/>
        <v>#N/A</v>
      </c>
      <c r="AE275" s="377">
        <f t="shared" ca="1" si="121"/>
        <v>247.1730879605413</v>
      </c>
      <c r="AF275" s="344"/>
      <c r="AG275" s="359">
        <f t="shared" ca="1" si="143"/>
        <v>35.514712345716021</v>
      </c>
      <c r="AH275" s="357">
        <f t="shared" ca="1" si="144"/>
        <v>45.067100385502329</v>
      </c>
    </row>
    <row r="276" spans="1:34" x14ac:dyDescent="0.2">
      <c r="A276" s="402">
        <f t="shared" ca="1" si="122"/>
        <v>0.01</v>
      </c>
      <c r="B276" s="357">
        <f t="shared" ca="1" si="123"/>
        <v>2.719999999999986</v>
      </c>
      <c r="C276" s="342"/>
      <c r="D276" s="359">
        <f t="shared" ca="1" si="124"/>
        <v>10.204389797095304</v>
      </c>
      <c r="E276" s="360">
        <f t="shared" ca="1" si="125"/>
        <v>33.8088810047417</v>
      </c>
      <c r="F276" s="357">
        <f t="shared" ca="1" si="126"/>
        <v>35.31529422111398</v>
      </c>
      <c r="G276" s="359">
        <f t="shared" ca="1" si="127"/>
        <v>38.131934056517778</v>
      </c>
      <c r="H276" s="360">
        <f t="shared" ca="1" si="128"/>
        <v>162.89766233018466</v>
      </c>
      <c r="I276" s="357">
        <f t="shared" ca="1" si="129"/>
        <v>167.30120378386249</v>
      </c>
      <c r="J276" s="359">
        <f t="shared" ca="1" si="130"/>
        <v>54.099729707266235</v>
      </c>
      <c r="K276" s="360">
        <f t="shared" ca="1" si="131"/>
        <v>248.80037413979289</v>
      </c>
      <c r="L276" s="357">
        <f t="shared" ca="1" si="116"/>
        <v>254.61423158672847</v>
      </c>
      <c r="M276" s="359">
        <f t="shared" ca="1" si="132"/>
        <v>1.3408514541945242</v>
      </c>
      <c r="N276" s="357">
        <f t="shared" ca="1" si="133"/>
        <v>76.825129279325267</v>
      </c>
      <c r="O276" s="343"/>
      <c r="P276" s="363">
        <f t="shared" ca="1" si="134"/>
        <v>7</v>
      </c>
      <c r="Q276" s="357">
        <f t="shared" ca="1" si="135"/>
        <v>469.08510638298156</v>
      </c>
      <c r="R276" s="359">
        <f t="shared" ca="1" si="136"/>
        <v>0.23541195941138857</v>
      </c>
      <c r="S276" s="360">
        <f t="shared" ca="1" si="137"/>
        <v>8.4963738866293639</v>
      </c>
      <c r="T276" s="357">
        <f t="shared" ca="1" si="117"/>
        <v>83.349427827834063</v>
      </c>
      <c r="U276" s="364">
        <f t="shared" ca="1" si="118"/>
        <v>0</v>
      </c>
      <c r="V276" s="359">
        <f t="shared" ca="1" si="119"/>
        <v>1.194896442980347</v>
      </c>
      <c r="W276" s="357">
        <f t="shared" ca="1" si="120"/>
        <v>88.835851921272024</v>
      </c>
      <c r="X276" s="343"/>
      <c r="Y276" s="367" t="str">
        <f t="shared" ca="1" si="138"/>
        <v/>
      </c>
      <c r="Z276" s="368" t="str">
        <f t="shared" ca="1" si="139"/>
        <v/>
      </c>
      <c r="AA276" s="369" t="str">
        <f t="shared" ca="1" si="140"/>
        <v/>
      </c>
      <c r="AB276" s="344"/>
      <c r="AC276" s="363" t="e">
        <f t="shared" ca="1" si="141"/>
        <v>#N/A</v>
      </c>
      <c r="AD276" s="376" t="e">
        <f t="shared" ca="1" si="142"/>
        <v>#N/A</v>
      </c>
      <c r="AE276" s="377">
        <f t="shared" ca="1" si="121"/>
        <v>248.80037413979289</v>
      </c>
      <c r="AF276" s="344"/>
      <c r="AG276" s="359">
        <f t="shared" ca="1" si="143"/>
        <v>35.244521753689028</v>
      </c>
      <c r="AH276" s="357">
        <f t="shared" ca="1" si="144"/>
        <v>44.796610934722274</v>
      </c>
    </row>
    <row r="277" spans="1:34" x14ac:dyDescent="0.2">
      <c r="A277" s="402">
        <f t="shared" ca="1" si="122"/>
        <v>0.01</v>
      </c>
      <c r="B277" s="357">
        <f t="shared" ca="1" si="123"/>
        <v>2.7299999999999858</v>
      </c>
      <c r="C277" s="342"/>
      <c r="D277" s="359">
        <f t="shared" ca="1" si="124"/>
        <v>10.148578039127491</v>
      </c>
      <c r="E277" s="360">
        <f t="shared" ca="1" si="125"/>
        <v>33.544203752136838</v>
      </c>
      <c r="F277" s="357">
        <f t="shared" ca="1" si="126"/>
        <v>35.045787786567615</v>
      </c>
      <c r="G277" s="359">
        <f t="shared" ca="1" si="127"/>
        <v>38.23341983690905</v>
      </c>
      <c r="H277" s="360">
        <f t="shared" ca="1" si="128"/>
        <v>163.23310436770603</v>
      </c>
      <c r="I277" s="357">
        <f t="shared" ca="1" si="129"/>
        <v>167.65094915908995</v>
      </c>
      <c r="J277" s="359">
        <f t="shared" ca="1" si="130"/>
        <v>54.481556476733367</v>
      </c>
      <c r="K277" s="360">
        <f t="shared" ca="1" si="131"/>
        <v>250.43102797328234</v>
      </c>
      <c r="L277" s="357">
        <f t="shared" ca="1" si="116"/>
        <v>256.28878197822553</v>
      </c>
      <c r="M277" s="359">
        <f t="shared" ca="1" si="132"/>
        <v>1.3407180858502503</v>
      </c>
      <c r="N277" s="357">
        <f t="shared" ca="1" si="133"/>
        <v>76.817487836077717</v>
      </c>
      <c r="O277" s="343"/>
      <c r="P277" s="363">
        <f t="shared" ca="1" si="134"/>
        <v>7</v>
      </c>
      <c r="Q277" s="357">
        <f t="shared" ca="1" si="135"/>
        <v>467.04255319149229</v>
      </c>
      <c r="R277" s="359">
        <f t="shared" ca="1" si="136"/>
        <v>0.23438689713064778</v>
      </c>
      <c r="S277" s="360">
        <f t="shared" ca="1" si="137"/>
        <v>8.4940300176580568</v>
      </c>
      <c r="T277" s="357">
        <f t="shared" ca="1" si="117"/>
        <v>83.326434473225547</v>
      </c>
      <c r="U277" s="364">
        <f t="shared" ca="1" si="118"/>
        <v>0</v>
      </c>
      <c r="V277" s="359">
        <f t="shared" ca="1" si="119"/>
        <v>1.1947015822681999</v>
      </c>
      <c r="W277" s="357">
        <f t="shared" ca="1" si="120"/>
        <v>89.193117436175683</v>
      </c>
      <c r="X277" s="343"/>
      <c r="Y277" s="367" t="str">
        <f t="shared" ca="1" si="138"/>
        <v/>
      </c>
      <c r="Z277" s="368" t="str">
        <f t="shared" ca="1" si="139"/>
        <v/>
      </c>
      <c r="AA277" s="369" t="str">
        <f t="shared" ca="1" si="140"/>
        <v/>
      </c>
      <c r="AB277" s="344"/>
      <c r="AC277" s="363" t="e">
        <f t="shared" ca="1" si="141"/>
        <v>#N/A</v>
      </c>
      <c r="AD277" s="376" t="e">
        <f t="shared" ca="1" si="142"/>
        <v>#N/A</v>
      </c>
      <c r="AE277" s="377">
        <f t="shared" ca="1" si="121"/>
        <v>250.43102797328234</v>
      </c>
      <c r="AF277" s="344"/>
      <c r="AG277" s="359">
        <f t="shared" ca="1" si="143"/>
        <v>34.974388421407966</v>
      </c>
      <c r="AH277" s="357">
        <f t="shared" ca="1" si="144"/>
        <v>44.526179032093658</v>
      </c>
    </row>
    <row r="278" spans="1:34" x14ac:dyDescent="0.2">
      <c r="A278" s="402">
        <f t="shared" ca="1" si="122"/>
        <v>0.01</v>
      </c>
      <c r="B278" s="357">
        <f t="shared" ca="1" si="123"/>
        <v>2.7399999999999856</v>
      </c>
      <c r="C278" s="342"/>
      <c r="D278" s="359">
        <f t="shared" ca="1" si="124"/>
        <v>10.092700834759732</v>
      </c>
      <c r="E278" s="360">
        <f t="shared" ca="1" si="125"/>
        <v>33.279603172823471</v>
      </c>
      <c r="F278" s="357">
        <f t="shared" ca="1" si="126"/>
        <v>34.776351123724318</v>
      </c>
      <c r="G278" s="359">
        <f t="shared" ca="1" si="127"/>
        <v>38.334346845256647</v>
      </c>
      <c r="H278" s="360">
        <f t="shared" ca="1" si="128"/>
        <v>163.56590039943427</v>
      </c>
      <c r="I278" s="357">
        <f t="shared" ca="1" si="129"/>
        <v>167.99799380209899</v>
      </c>
      <c r="J278" s="359">
        <f t="shared" ca="1" si="130"/>
        <v>54.864395310144197</v>
      </c>
      <c r="K278" s="360">
        <f t="shared" ca="1" si="131"/>
        <v>252.06502299711804</v>
      </c>
      <c r="L278" s="357">
        <f t="shared" ca="1" si="116"/>
        <v>257.96681509699152</v>
      </c>
      <c r="M278" s="359">
        <f t="shared" ca="1" si="132"/>
        <v>1.3405849171863582</v>
      </c>
      <c r="N278" s="357">
        <f t="shared" ca="1" si="133"/>
        <v>76.809857833673306</v>
      </c>
      <c r="O278" s="343"/>
      <c r="P278" s="363">
        <f t="shared" ca="1" si="134"/>
        <v>7</v>
      </c>
      <c r="Q278" s="357">
        <f t="shared" ca="1" si="135"/>
        <v>465.00000000000296</v>
      </c>
      <c r="R278" s="359">
        <f t="shared" ca="1" si="136"/>
        <v>0.23336183484990697</v>
      </c>
      <c r="S278" s="360">
        <f t="shared" ca="1" si="137"/>
        <v>8.4916963993095571</v>
      </c>
      <c r="T278" s="357">
        <f t="shared" ca="1" si="117"/>
        <v>83.303541677226761</v>
      </c>
      <c r="U278" s="364">
        <f t="shared" ca="1" si="118"/>
        <v>0</v>
      </c>
      <c r="V278" s="359">
        <f t="shared" ca="1" si="119"/>
        <v>1.1945063537648299</v>
      </c>
      <c r="W278" s="357">
        <f t="shared" ca="1" si="120"/>
        <v>89.54813115418149</v>
      </c>
      <c r="X278" s="343"/>
      <c r="Y278" s="367" t="str">
        <f t="shared" ca="1" si="138"/>
        <v/>
      </c>
      <c r="Z278" s="368" t="str">
        <f t="shared" ca="1" si="139"/>
        <v/>
      </c>
      <c r="AA278" s="369" t="str">
        <f t="shared" ca="1" si="140"/>
        <v/>
      </c>
      <c r="AB278" s="344"/>
      <c r="AC278" s="363" t="e">
        <f t="shared" ca="1" si="141"/>
        <v>#N/A</v>
      </c>
      <c r="AD278" s="376" t="e">
        <f t="shared" ca="1" si="142"/>
        <v>#N/A</v>
      </c>
      <c r="AE278" s="377">
        <f t="shared" ca="1" si="121"/>
        <v>252.06502299711804</v>
      </c>
      <c r="AF278" s="344"/>
      <c r="AG278" s="359">
        <f t="shared" ca="1" si="143"/>
        <v>34.704315337981889</v>
      </c>
      <c r="AH278" s="357">
        <f t="shared" ca="1" si="144"/>
        <v>44.255807661044429</v>
      </c>
    </row>
    <row r="279" spans="1:34" x14ac:dyDescent="0.2">
      <c r="A279" s="402">
        <f t="shared" ca="1" si="122"/>
        <v>0.01</v>
      </c>
      <c r="B279" s="357">
        <f t="shared" ca="1" si="123"/>
        <v>2.7499999999999853</v>
      </c>
      <c r="C279" s="342"/>
      <c r="D279" s="359">
        <f t="shared" ca="1" si="124"/>
        <v>10.036759170476083</v>
      </c>
      <c r="E279" s="360">
        <f t="shared" ca="1" si="125"/>
        <v>33.015082097735927</v>
      </c>
      <c r="F279" s="357">
        <f t="shared" ca="1" si="126"/>
        <v>34.506987416556363</v>
      </c>
      <c r="G279" s="359">
        <f t="shared" ca="1" si="127"/>
        <v>38.434714436961407</v>
      </c>
      <c r="H279" s="360">
        <f t="shared" ca="1" si="128"/>
        <v>163.89605122041164</v>
      </c>
      <c r="I279" s="357">
        <f t="shared" ca="1" si="129"/>
        <v>168.34233834509536</v>
      </c>
      <c r="J279" s="359">
        <f t="shared" ca="1" si="130"/>
        <v>55.248240616555286</v>
      </c>
      <c r="K279" s="360">
        <f t="shared" ca="1" si="131"/>
        <v>253.70233275521727</v>
      </c>
      <c r="L279" s="357">
        <f t="shared" ca="1" si="116"/>
        <v>259.64830393565791</v>
      </c>
      <c r="M279" s="359">
        <f t="shared" ca="1" si="132"/>
        <v>1.3404519453624699</v>
      </c>
      <c r="N279" s="357">
        <f t="shared" ca="1" si="133"/>
        <v>76.802239109370348</v>
      </c>
      <c r="O279" s="343"/>
      <c r="P279" s="363">
        <f t="shared" ca="1" si="134"/>
        <v>7</v>
      </c>
      <c r="Q279" s="357">
        <f t="shared" ca="1" si="135"/>
        <v>462.95744680851362</v>
      </c>
      <c r="R279" s="359">
        <f t="shared" ca="1" si="136"/>
        <v>0.23233677256916616</v>
      </c>
      <c r="S279" s="360">
        <f t="shared" ca="1" si="137"/>
        <v>8.4893730315838649</v>
      </c>
      <c r="T279" s="357">
        <f t="shared" ca="1" si="117"/>
        <v>83.28074943983772</v>
      </c>
      <c r="U279" s="364">
        <f t="shared" ca="1" si="118"/>
        <v>0</v>
      </c>
      <c r="V279" s="359">
        <f t="shared" ca="1" si="119"/>
        <v>1.1943107608160586</v>
      </c>
      <c r="W279" s="357">
        <f t="shared" ca="1" si="120"/>
        <v>89.900876852085844</v>
      </c>
      <c r="X279" s="343"/>
      <c r="Y279" s="367" t="str">
        <f t="shared" ca="1" si="138"/>
        <v/>
      </c>
      <c r="Z279" s="368" t="str">
        <f t="shared" ca="1" si="139"/>
        <v/>
      </c>
      <c r="AA279" s="369" t="str">
        <f t="shared" ca="1" si="140"/>
        <v/>
      </c>
      <c r="AB279" s="344"/>
      <c r="AC279" s="363" t="e">
        <f t="shared" ca="1" si="141"/>
        <v>#N/A</v>
      </c>
      <c r="AD279" s="376" t="e">
        <f t="shared" ca="1" si="142"/>
        <v>#N/A</v>
      </c>
      <c r="AE279" s="377">
        <f t="shared" ca="1" si="121"/>
        <v>253.70233275521727</v>
      </c>
      <c r="AF279" s="344"/>
      <c r="AG279" s="359">
        <f t="shared" ca="1" si="143"/>
        <v>34.43430547233406</v>
      </c>
      <c r="AH279" s="357">
        <f t="shared" ca="1" si="144"/>
        <v>43.985499784860444</v>
      </c>
    </row>
    <row r="280" spans="1:34" x14ac:dyDescent="0.2">
      <c r="A280" s="402">
        <f t="shared" ca="1" si="122"/>
        <v>0.01</v>
      </c>
      <c r="B280" s="357">
        <f t="shared" ca="1" si="123"/>
        <v>2.7599999999999851</v>
      </c>
      <c r="C280" s="342"/>
      <c r="D280" s="359">
        <f t="shared" ca="1" si="124"/>
        <v>9.9807540254475065</v>
      </c>
      <c r="E280" s="360">
        <f t="shared" ca="1" si="125"/>
        <v>32.750643338616122</v>
      </c>
      <c r="F280" s="357">
        <f t="shared" ca="1" si="126"/>
        <v>34.237699835265325</v>
      </c>
      <c r="G280" s="359">
        <f t="shared" ca="1" si="127"/>
        <v>38.534521977215881</v>
      </c>
      <c r="H280" s="360">
        <f t="shared" ca="1" si="128"/>
        <v>164.2235576537978</v>
      </c>
      <c r="I280" s="357">
        <f t="shared" ca="1" si="129"/>
        <v>168.68398344977149</v>
      </c>
      <c r="J280" s="359">
        <f t="shared" ca="1" si="130"/>
        <v>55.633086798626174</v>
      </c>
      <c r="K280" s="360">
        <f t="shared" ca="1" si="131"/>
        <v>255.34293079958832</v>
      </c>
      <c r="L280" s="357">
        <f t="shared" ca="1" si="116"/>
        <v>261.33322149330121</v>
      </c>
      <c r="M280" s="359">
        <f t="shared" ca="1" si="132"/>
        <v>1.3403191675639587</v>
      </c>
      <c r="N280" s="357">
        <f t="shared" ca="1" si="133"/>
        <v>76.794631501902614</v>
      </c>
      <c r="O280" s="343"/>
      <c r="P280" s="363">
        <f t="shared" ca="1" si="134"/>
        <v>7</v>
      </c>
      <c r="Q280" s="357">
        <f t="shared" ca="1" si="135"/>
        <v>460.91489361702429</v>
      </c>
      <c r="R280" s="359">
        <f t="shared" ca="1" si="136"/>
        <v>0.23131171028842534</v>
      </c>
      <c r="S280" s="360">
        <f t="shared" ca="1" si="137"/>
        <v>8.4870599144809802</v>
      </c>
      <c r="T280" s="357">
        <f t="shared" ca="1" si="117"/>
        <v>83.258057761058424</v>
      </c>
      <c r="U280" s="364">
        <f t="shared" ca="1" si="118"/>
        <v>0</v>
      </c>
      <c r="V280" s="359">
        <f t="shared" ca="1" si="119"/>
        <v>1.1941148067649976</v>
      </c>
      <c r="W280" s="357">
        <f t="shared" ca="1" si="120"/>
        <v>90.251338501567233</v>
      </c>
      <c r="X280" s="343"/>
      <c r="Y280" s="367" t="str">
        <f t="shared" ca="1" si="138"/>
        <v/>
      </c>
      <c r="Z280" s="368" t="str">
        <f t="shared" ca="1" si="139"/>
        <v/>
      </c>
      <c r="AA280" s="369" t="str">
        <f t="shared" ca="1" si="140"/>
        <v/>
      </c>
      <c r="AB280" s="344"/>
      <c r="AC280" s="363" t="e">
        <f t="shared" ca="1" si="141"/>
        <v>#N/A</v>
      </c>
      <c r="AD280" s="376" t="e">
        <f t="shared" ca="1" si="142"/>
        <v>#N/A</v>
      </c>
      <c r="AE280" s="377">
        <f t="shared" ca="1" si="121"/>
        <v>255.34293079958832</v>
      </c>
      <c r="AF280" s="344"/>
      <c r="AG280" s="359">
        <f t="shared" ca="1" si="143"/>
        <v>34.164361773156116</v>
      </c>
      <c r="AH280" s="357">
        <f t="shared" ca="1" si="144"/>
        <v>43.715258346638826</v>
      </c>
    </row>
    <row r="281" spans="1:34" x14ac:dyDescent="0.2">
      <c r="A281" s="402">
        <f t="shared" ca="1" si="122"/>
        <v>0.01</v>
      </c>
      <c r="B281" s="357">
        <f t="shared" ca="1" si="123"/>
        <v>2.7699999999999849</v>
      </c>
      <c r="C281" s="342"/>
      <c r="D281" s="359">
        <f t="shared" ca="1" si="124"/>
        <v>9.9246863715587512</v>
      </c>
      <c r="E281" s="360">
        <f t="shared" ca="1" si="125"/>
        <v>32.486289687964039</v>
      </c>
      <c r="F281" s="357">
        <f t="shared" ca="1" si="126"/>
        <v>33.968491536483086</v>
      </c>
      <c r="G281" s="359">
        <f t="shared" ca="1" si="127"/>
        <v>38.633768840931467</v>
      </c>
      <c r="H281" s="360">
        <f t="shared" ca="1" si="128"/>
        <v>164.54842055067743</v>
      </c>
      <c r="I281" s="357">
        <f t="shared" ca="1" si="129"/>
        <v>169.02292980710376</v>
      </c>
      <c r="J281" s="359">
        <f t="shared" ca="1" si="130"/>
        <v>56.018928252716911</v>
      </c>
      <c r="K281" s="360">
        <f t="shared" ca="1" si="131"/>
        <v>256.98679069061069</v>
      </c>
      <c r="L281" s="357">
        <f t="shared" ca="1" si="116"/>
        <v>263.02154077573721</v>
      </c>
      <c r="M281" s="359">
        <f t="shared" ca="1" si="132"/>
        <v>1.3401865810015041</v>
      </c>
      <c r="N281" s="357">
        <f t="shared" ca="1" si="133"/>
        <v>76.787034851453825</v>
      </c>
      <c r="O281" s="343"/>
      <c r="P281" s="363">
        <f t="shared" ca="1" si="134"/>
        <v>7</v>
      </c>
      <c r="Q281" s="357">
        <f t="shared" ca="1" si="135"/>
        <v>458.87234042553501</v>
      </c>
      <c r="R281" s="359">
        <f t="shared" ca="1" si="136"/>
        <v>0.23028664800768453</v>
      </c>
      <c r="S281" s="360">
        <f t="shared" ca="1" si="137"/>
        <v>8.4847570480009029</v>
      </c>
      <c r="T281" s="357">
        <f t="shared" ca="1" si="117"/>
        <v>83.235466640888859</v>
      </c>
      <c r="U281" s="364">
        <f t="shared" ca="1" si="118"/>
        <v>0</v>
      </c>
      <c r="V281" s="359">
        <f t="shared" ca="1" si="119"/>
        <v>1.1939184949520061</v>
      </c>
      <c r="W281" s="357">
        <f t="shared" ca="1" si="120"/>
        <v>90.599500269018364</v>
      </c>
      <c r="X281" s="343"/>
      <c r="Y281" s="367" t="str">
        <f t="shared" ca="1" si="138"/>
        <v/>
      </c>
      <c r="Z281" s="368" t="str">
        <f t="shared" ca="1" si="139"/>
        <v/>
      </c>
      <c r="AA281" s="369" t="str">
        <f t="shared" ca="1" si="140"/>
        <v/>
      </c>
      <c r="AB281" s="344"/>
      <c r="AC281" s="363" t="e">
        <f t="shared" ca="1" si="141"/>
        <v>#N/A</v>
      </c>
      <c r="AD281" s="376" t="e">
        <f t="shared" ca="1" si="142"/>
        <v>#N/A</v>
      </c>
      <c r="AE281" s="377">
        <f t="shared" ca="1" si="121"/>
        <v>256.98679069061069</v>
      </c>
      <c r="AF281" s="344"/>
      <c r="AG281" s="359">
        <f t="shared" ca="1" si="143"/>
        <v>33.894487168863989</v>
      </c>
      <c r="AH281" s="357">
        <f t="shared" ca="1" si="144"/>
        <v>43.44508626924312</v>
      </c>
    </row>
    <row r="282" spans="1:34" x14ac:dyDescent="0.2">
      <c r="A282" s="402">
        <f t="shared" ca="1" si="122"/>
        <v>0.01</v>
      </c>
      <c r="B282" s="357">
        <f t="shared" ca="1" si="123"/>
        <v>2.7799999999999847</v>
      </c>
      <c r="C282" s="342"/>
      <c r="D282" s="359">
        <f t="shared" ca="1" si="124"/>
        <v>9.8685571734348425</v>
      </c>
      <c r="E282" s="360">
        <f t="shared" ca="1" si="125"/>
        <v>32.222023918989969</v>
      </c>
      <c r="F282" s="357">
        <f t="shared" ca="1" si="126"/>
        <v>33.699365663485622</v>
      </c>
      <c r="G282" s="359">
        <f t="shared" ca="1" si="127"/>
        <v>38.732454412665817</v>
      </c>
      <c r="H282" s="360">
        <f t="shared" ca="1" si="128"/>
        <v>164.87064078986734</v>
      </c>
      <c r="I282" s="357">
        <f t="shared" ca="1" si="129"/>
        <v>169.3591781371494</v>
      </c>
      <c r="J282" s="359">
        <f t="shared" ca="1" si="130"/>
        <v>56.405759368984896</v>
      </c>
      <c r="K282" s="360">
        <f t="shared" ca="1" si="131"/>
        <v>258.63388599731343</v>
      </c>
      <c r="L282" s="357">
        <f t="shared" ca="1" si="116"/>
        <v>264.71323479581287</v>
      </c>
      <c r="M282" s="359">
        <f t="shared" ca="1" si="132"/>
        <v>1.3400541829106558</v>
      </c>
      <c r="N282" s="357">
        <f t="shared" ca="1" si="133"/>
        <v>76.779448999632621</v>
      </c>
      <c r="O282" s="343"/>
      <c r="P282" s="363">
        <f t="shared" ca="1" si="134"/>
        <v>7</v>
      </c>
      <c r="Q282" s="357">
        <f t="shared" ca="1" si="135"/>
        <v>456.82978723404568</v>
      </c>
      <c r="R282" s="359">
        <f t="shared" ca="1" si="136"/>
        <v>0.22926158572694372</v>
      </c>
      <c r="S282" s="360">
        <f t="shared" ca="1" si="137"/>
        <v>8.4824644321436331</v>
      </c>
      <c r="T282" s="357">
        <f t="shared" ca="1" si="117"/>
        <v>83.212976079329039</v>
      </c>
      <c r="U282" s="364">
        <f t="shared" ca="1" si="118"/>
        <v>0</v>
      </c>
      <c r="V282" s="359">
        <f t="shared" ca="1" si="119"/>
        <v>1.19372182871465</v>
      </c>
      <c r="W282" s="357">
        <f t="shared" ca="1" si="120"/>
        <v>90.945346515365884</v>
      </c>
      <c r="X282" s="343"/>
      <c r="Y282" s="367" t="str">
        <f t="shared" ca="1" si="138"/>
        <v/>
      </c>
      <c r="Z282" s="368" t="str">
        <f t="shared" ca="1" si="139"/>
        <v/>
      </c>
      <c r="AA282" s="369" t="str">
        <f t="shared" ca="1" si="140"/>
        <v/>
      </c>
      <c r="AB282" s="344"/>
      <c r="AC282" s="363" t="e">
        <f t="shared" ca="1" si="141"/>
        <v>#N/A</v>
      </c>
      <c r="AD282" s="376" t="e">
        <f t="shared" ca="1" si="142"/>
        <v>#N/A</v>
      </c>
      <c r="AE282" s="377">
        <f t="shared" ca="1" si="121"/>
        <v>258.63388599731343</v>
      </c>
      <c r="AF282" s="344"/>
      <c r="AG282" s="359">
        <f t="shared" ca="1" si="143"/>
        <v>33.624684567555548</v>
      </c>
      <c r="AH282" s="357">
        <f t="shared" ca="1" si="144"/>
        <v>43.174986455260147</v>
      </c>
    </row>
    <row r="283" spans="1:34" x14ac:dyDescent="0.2">
      <c r="A283" s="402">
        <f t="shared" ca="1" si="122"/>
        <v>0.01</v>
      </c>
      <c r="B283" s="357">
        <f t="shared" ca="1" si="123"/>
        <v>2.7899999999999845</v>
      </c>
      <c r="C283" s="342"/>
      <c r="D283" s="359">
        <f t="shared" ca="1" si="124"/>
        <v>9.8123673884670506</v>
      </c>
      <c r="E283" s="360">
        <f t="shared" ca="1" si="125"/>
        <v>31.957848785568729</v>
      </c>
      <c r="F283" s="357">
        <f t="shared" ca="1" si="126"/>
        <v>33.430325346420553</v>
      </c>
      <c r="G283" s="359">
        <f t="shared" ca="1" si="127"/>
        <v>38.830578086550489</v>
      </c>
      <c r="H283" s="360">
        <f t="shared" ca="1" si="128"/>
        <v>165.19021927772303</v>
      </c>
      <c r="I283" s="357">
        <f t="shared" ca="1" si="129"/>
        <v>169.69272918884272</v>
      </c>
      <c r="J283" s="359">
        <f t="shared" ca="1" si="130"/>
        <v>56.793574531480978</v>
      </c>
      <c r="K283" s="360">
        <f t="shared" ca="1" si="131"/>
        <v>260.28419029765138</v>
      </c>
      <c r="L283" s="357">
        <f t="shared" ca="1" si="116"/>
        <v>266.40827657369596</v>
      </c>
      <c r="M283" s="359">
        <f t="shared" ca="1" si="132"/>
        <v>1.3399219705514056</v>
      </c>
      <c r="N283" s="357">
        <f t="shared" ca="1" si="133"/>
        <v>76.771873789448122</v>
      </c>
      <c r="O283" s="343"/>
      <c r="P283" s="363">
        <f t="shared" ca="1" si="134"/>
        <v>7</v>
      </c>
      <c r="Q283" s="357">
        <f t="shared" ca="1" si="135"/>
        <v>454.78723404255635</v>
      </c>
      <c r="R283" s="359">
        <f t="shared" ca="1" si="136"/>
        <v>0.2282365234462029</v>
      </c>
      <c r="S283" s="360">
        <f t="shared" ca="1" si="137"/>
        <v>8.4801820669091708</v>
      </c>
      <c r="T283" s="357">
        <f t="shared" ca="1" si="117"/>
        <v>83.190586076378963</v>
      </c>
      <c r="U283" s="364">
        <f t="shared" ca="1" si="118"/>
        <v>0</v>
      </c>
      <c r="V283" s="359">
        <f t="shared" ca="1" si="119"/>
        <v>1.1935248113876593</v>
      </c>
      <c r="W283" s="357">
        <f t="shared" ca="1" si="120"/>
        <v>91.288861795877665</v>
      </c>
      <c r="X283" s="343"/>
      <c r="Y283" s="367" t="str">
        <f t="shared" ca="1" si="138"/>
        <v/>
      </c>
      <c r="Z283" s="368" t="str">
        <f t="shared" ca="1" si="139"/>
        <v/>
      </c>
      <c r="AA283" s="369" t="str">
        <f t="shared" ca="1" si="140"/>
        <v/>
      </c>
      <c r="AB283" s="344"/>
      <c r="AC283" s="363" t="e">
        <f t="shared" ca="1" si="141"/>
        <v>#N/A</v>
      </c>
      <c r="AD283" s="376" t="e">
        <f t="shared" ca="1" si="142"/>
        <v>#N/A</v>
      </c>
      <c r="AE283" s="377">
        <f t="shared" ca="1" si="121"/>
        <v>260.28419029765138</v>
      </c>
      <c r="AF283" s="344"/>
      <c r="AG283" s="359">
        <f t="shared" ca="1" si="143"/>
        <v>33.354956856970084</v>
      </c>
      <c r="AH283" s="357">
        <f t="shared" ca="1" si="144"/>
        <v>42.904961786958708</v>
      </c>
    </row>
    <row r="284" spans="1:34" x14ac:dyDescent="0.2">
      <c r="A284" s="402">
        <f t="shared" ca="1" si="122"/>
        <v>0.01</v>
      </c>
      <c r="B284" s="357">
        <f t="shared" ca="1" si="123"/>
        <v>2.7999999999999843</v>
      </c>
      <c r="C284" s="342"/>
      <c r="D284" s="359">
        <f t="shared" ca="1" si="124"/>
        <v>9.7561179668383833</v>
      </c>
      <c r="E284" s="360">
        <f t="shared" ca="1" si="125"/>
        <v>31.69376702219563</v>
      </c>
      <c r="F284" s="357">
        <f t="shared" ca="1" si="126"/>
        <v>33.161373702548602</v>
      </c>
      <c r="G284" s="359">
        <f t="shared" ca="1" si="127"/>
        <v>38.928139266218871</v>
      </c>
      <c r="H284" s="360">
        <f t="shared" ca="1" si="128"/>
        <v>165.50715694794499</v>
      </c>
      <c r="I284" s="357">
        <f t="shared" ca="1" si="129"/>
        <v>170.02358373979132</v>
      </c>
      <c r="J284" s="359">
        <f t="shared" ca="1" si="130"/>
        <v>57.182368118244824</v>
      </c>
      <c r="K284" s="360">
        <f t="shared" ca="1" si="131"/>
        <v>261.93767717877972</v>
      </c>
      <c r="L284" s="357">
        <f t="shared" ca="1" si="116"/>
        <v>268.10663913716326</v>
      </c>
      <c r="M284" s="359">
        <f t="shared" ca="1" si="132"/>
        <v>1.339789941207767</v>
      </c>
      <c r="N284" s="357">
        <f t="shared" ca="1" si="133"/>
        <v>76.764309065285744</v>
      </c>
      <c r="O284" s="343"/>
      <c r="P284" s="363">
        <f t="shared" ca="1" si="134"/>
        <v>7</v>
      </c>
      <c r="Q284" s="357">
        <f t="shared" ca="1" si="135"/>
        <v>452.74468085106707</v>
      </c>
      <c r="R284" s="359">
        <f t="shared" ca="1" si="136"/>
        <v>0.22721146116546212</v>
      </c>
      <c r="S284" s="360">
        <f t="shared" ca="1" si="137"/>
        <v>8.4779099522975159</v>
      </c>
      <c r="T284" s="357">
        <f t="shared" ca="1" si="117"/>
        <v>83.168296632038633</v>
      </c>
      <c r="U284" s="364">
        <f t="shared" ca="1" si="118"/>
        <v>0</v>
      </c>
      <c r="V284" s="359">
        <f t="shared" ca="1" si="119"/>
        <v>1.1933274463028867</v>
      </c>
      <c r="W284" s="357">
        <f t="shared" ca="1" si="120"/>
        <v>91.630030859958381</v>
      </c>
      <c r="X284" s="343"/>
      <c r="Y284" s="367" t="str">
        <f t="shared" ca="1" si="138"/>
        <v/>
      </c>
      <c r="Z284" s="368" t="str">
        <f t="shared" ca="1" si="139"/>
        <v/>
      </c>
      <c r="AA284" s="369" t="str">
        <f t="shared" ca="1" si="140"/>
        <v/>
      </c>
      <c r="AB284" s="344"/>
      <c r="AC284" s="363" t="e">
        <f t="shared" ca="1" si="141"/>
        <v>#N/A</v>
      </c>
      <c r="AD284" s="376" t="e">
        <f t="shared" ca="1" si="142"/>
        <v>#N/A</v>
      </c>
      <c r="AE284" s="377">
        <f t="shared" ca="1" si="121"/>
        <v>261.93767717877972</v>
      </c>
      <c r="AF284" s="344"/>
      <c r="AG284" s="359">
        <f t="shared" ca="1" si="143"/>
        <v>33.085306904449396</v>
      </c>
      <c r="AH284" s="357">
        <f t="shared" ca="1" si="144"/>
        <v>42.635015126249932</v>
      </c>
    </row>
    <row r="285" spans="1:34" x14ac:dyDescent="0.2">
      <c r="A285" s="402">
        <f t="shared" ca="1" si="122"/>
        <v>0.01</v>
      </c>
      <c r="B285" s="357">
        <f t="shared" ca="1" si="123"/>
        <v>2.8099999999999841</v>
      </c>
      <c r="C285" s="342"/>
      <c r="D285" s="359">
        <f t="shared" ca="1" si="124"/>
        <v>9.6998098515486166</v>
      </c>
      <c r="E285" s="360">
        <f t="shared" ca="1" si="125"/>
        <v>31.429781343944313</v>
      </c>
      <c r="F285" s="357">
        <f t="shared" ca="1" si="126"/>
        <v>32.892513836500086</v>
      </c>
      <c r="G285" s="359">
        <f t="shared" ca="1" si="127"/>
        <v>39.025137364734356</v>
      </c>
      <c r="H285" s="360">
        <f t="shared" ca="1" si="128"/>
        <v>165.82145476138444</v>
      </c>
      <c r="I285" s="357">
        <f t="shared" ca="1" si="129"/>
        <v>170.35174259607166</v>
      </c>
      <c r="J285" s="359">
        <f t="shared" ca="1" si="130"/>
        <v>57.572134501399589</v>
      </c>
      <c r="K285" s="360">
        <f t="shared" ca="1" si="131"/>
        <v>263.59432023732637</v>
      </c>
      <c r="L285" s="357">
        <f t="shared" ca="1" si="116"/>
        <v>269.80829552188607</v>
      </c>
      <c r="M285" s="359">
        <f t="shared" ca="1" si="132"/>
        <v>1.3396580921873626</v>
      </c>
      <c r="N285" s="357">
        <f t="shared" ca="1" si="133"/>
        <v>76.756754672883645</v>
      </c>
      <c r="O285" s="343"/>
      <c r="P285" s="363">
        <f t="shared" ca="1" si="134"/>
        <v>7</v>
      </c>
      <c r="Q285" s="357">
        <f t="shared" ca="1" si="135"/>
        <v>450.70212765957774</v>
      </c>
      <c r="R285" s="359">
        <f t="shared" ca="1" si="136"/>
        <v>0.22618639888472128</v>
      </c>
      <c r="S285" s="360">
        <f t="shared" ca="1" si="137"/>
        <v>8.4756480883086684</v>
      </c>
      <c r="T285" s="357">
        <f t="shared" ca="1" si="117"/>
        <v>83.146107746308047</v>
      </c>
      <c r="U285" s="364">
        <f t="shared" ca="1" si="118"/>
        <v>0</v>
      </c>
      <c r="V285" s="359">
        <f t="shared" ca="1" si="119"/>
        <v>1.1931297367892684</v>
      </c>
      <c r="W285" s="357">
        <f t="shared" ca="1" si="120"/>
        <v>91.968838650933037</v>
      </c>
      <c r="X285" s="343"/>
      <c r="Y285" s="367" t="str">
        <f t="shared" ca="1" si="138"/>
        <v/>
      </c>
      <c r="Z285" s="368" t="str">
        <f t="shared" ca="1" si="139"/>
        <v/>
      </c>
      <c r="AA285" s="369" t="str">
        <f t="shared" ca="1" si="140"/>
        <v/>
      </c>
      <c r="AB285" s="344"/>
      <c r="AC285" s="363" t="e">
        <f t="shared" ca="1" si="141"/>
        <v>#N/A</v>
      </c>
      <c r="AD285" s="376" t="e">
        <f t="shared" ca="1" si="142"/>
        <v>#N/A</v>
      </c>
      <c r="AE285" s="377">
        <f t="shared" ca="1" si="121"/>
        <v>263.59432023732637</v>
      </c>
      <c r="AF285" s="344"/>
      <c r="AG285" s="359">
        <f t="shared" ca="1" si="143"/>
        <v>32.815737556900643</v>
      </c>
      <c r="AH285" s="357">
        <f t="shared" ca="1" si="144"/>
        <v>42.365149314649386</v>
      </c>
    </row>
    <row r="286" spans="1:34" x14ac:dyDescent="0.2">
      <c r="A286" s="402">
        <f t="shared" ca="1" si="122"/>
        <v>0.01</v>
      </c>
      <c r="B286" s="357">
        <f t="shared" ca="1" si="123"/>
        <v>2.8199999999999839</v>
      </c>
      <c r="C286" s="342"/>
      <c r="D286" s="359">
        <f t="shared" ca="1" si="124"/>
        <v>9.6434439784388779</v>
      </c>
      <c r="E286" s="360">
        <f t="shared" ca="1" si="125"/>
        <v>31.165894446426442</v>
      </c>
      <c r="F286" s="357">
        <f t="shared" ca="1" si="126"/>
        <v>32.623748840546874</v>
      </c>
      <c r="G286" s="359">
        <f t="shared" ca="1" si="127"/>
        <v>39.121571804518744</v>
      </c>
      <c r="H286" s="360">
        <f t="shared" ca="1" si="128"/>
        <v>166.1331137058487</v>
      </c>
      <c r="I286" s="357">
        <f t="shared" ca="1" si="129"/>
        <v>170.67720659202439</v>
      </c>
      <c r="J286" s="359">
        <f t="shared" ca="1" si="130"/>
        <v>57.962868047245856</v>
      </c>
      <c r="K286" s="360">
        <f t="shared" ca="1" si="131"/>
        <v>265.25409307966254</v>
      </c>
      <c r="L286" s="357">
        <f t="shared" ca="1" si="116"/>
        <v>271.51321877171415</v>
      </c>
      <c r="M286" s="359">
        <f t="shared" ca="1" si="132"/>
        <v>1.3395264208210176</v>
      </c>
      <c r="N286" s="357">
        <f t="shared" ca="1" si="133"/>
        <v>76.749210459309353</v>
      </c>
      <c r="O286" s="343"/>
      <c r="P286" s="363">
        <f t="shared" ca="1" si="134"/>
        <v>7</v>
      </c>
      <c r="Q286" s="357">
        <f t="shared" ca="1" si="135"/>
        <v>448.65957446808841</v>
      </c>
      <c r="R286" s="359">
        <f t="shared" ca="1" si="136"/>
        <v>0.22516133660398047</v>
      </c>
      <c r="S286" s="360">
        <f t="shared" ca="1" si="137"/>
        <v>8.4733964749426285</v>
      </c>
      <c r="T286" s="357">
        <f t="shared" ca="1" si="117"/>
        <v>83.124019419187192</v>
      </c>
      <c r="U286" s="364">
        <f t="shared" ca="1" si="118"/>
        <v>0</v>
      </c>
      <c r="V286" s="359">
        <f t="shared" ca="1" si="119"/>
        <v>1.1929316861727828</v>
      </c>
      <c r="W286" s="357">
        <f t="shared" ca="1" si="120"/>
        <v>92.305270305818709</v>
      </c>
      <c r="X286" s="343"/>
      <c r="Y286" s="367" t="str">
        <f t="shared" ca="1" si="138"/>
        <v/>
      </c>
      <c r="Z286" s="368" t="str">
        <f t="shared" ca="1" si="139"/>
        <v/>
      </c>
      <c r="AA286" s="369" t="str">
        <f t="shared" ca="1" si="140"/>
        <v/>
      </c>
      <c r="AB286" s="344"/>
      <c r="AC286" s="363" t="e">
        <f t="shared" ca="1" si="141"/>
        <v>#N/A</v>
      </c>
      <c r="AD286" s="376" t="e">
        <f t="shared" ca="1" si="142"/>
        <v>#N/A</v>
      </c>
      <c r="AE286" s="377">
        <f t="shared" ca="1" si="121"/>
        <v>265.25409307966254</v>
      </c>
      <c r="AF286" s="344"/>
      <c r="AG286" s="359">
        <f t="shared" ca="1" si="143"/>
        <v>32.546251640760943</v>
      </c>
      <c r="AH286" s="357">
        <f t="shared" ca="1" si="144"/>
        <v>42.095367173240938</v>
      </c>
    </row>
    <row r="287" spans="1:34" x14ac:dyDescent="0.2">
      <c r="A287" s="402">
        <f t="shared" ca="1" si="122"/>
        <v>0.01</v>
      </c>
      <c r="B287" s="357">
        <f t="shared" ca="1" si="123"/>
        <v>2.8299999999999836</v>
      </c>
      <c r="C287" s="342"/>
      <c r="D287" s="359">
        <f t="shared" ca="1" si="124"/>
        <v>9.587021276215884</v>
      </c>
      <c r="E287" s="360">
        <f t="shared" ca="1" si="125"/>
        <v>30.902109005753104</v>
      </c>
      <c r="F287" s="357">
        <f t="shared" ca="1" si="126"/>
        <v>32.35508179489063</v>
      </c>
      <c r="G287" s="359">
        <f t="shared" ca="1" si="127"/>
        <v>39.217442017280902</v>
      </c>
      <c r="H287" s="360">
        <f t="shared" ca="1" si="128"/>
        <v>166.44213479590624</v>
      </c>
      <c r="I287" s="357">
        <f t="shared" ca="1" si="129"/>
        <v>170.9999765900493</v>
      </c>
      <c r="J287" s="359">
        <f t="shared" ca="1" si="130"/>
        <v>58.354563116354853</v>
      </c>
      <c r="K287" s="360">
        <f t="shared" ca="1" si="131"/>
        <v>266.91696932217133</v>
      </c>
      <c r="L287" s="357">
        <f t="shared" ca="1" si="116"/>
        <v>273.22138193895734</v>
      </c>
      <c r="M287" s="359">
        <f t="shared" ca="1" si="132"/>
        <v>1.3393949244623617</v>
      </c>
      <c r="N287" s="357">
        <f t="shared" ca="1" si="133"/>
        <v>76.741676272937028</v>
      </c>
      <c r="O287" s="343"/>
      <c r="P287" s="363">
        <f t="shared" ca="1" si="134"/>
        <v>7</v>
      </c>
      <c r="Q287" s="357">
        <f t="shared" ca="1" si="135"/>
        <v>446.61702127659908</v>
      </c>
      <c r="R287" s="359">
        <f t="shared" ca="1" si="136"/>
        <v>0.22413627432323965</v>
      </c>
      <c r="S287" s="360">
        <f t="shared" ca="1" si="137"/>
        <v>8.471155112199396</v>
      </c>
      <c r="T287" s="357">
        <f t="shared" ca="1" si="117"/>
        <v>83.102031650676082</v>
      </c>
      <c r="U287" s="364">
        <f t="shared" ca="1" si="118"/>
        <v>0</v>
      </c>
      <c r="V287" s="359">
        <f t="shared" ca="1" si="119"/>
        <v>1.1927332977764113</v>
      </c>
      <c r="W287" s="357">
        <f t="shared" ca="1" si="120"/>
        <v>92.639311155084542</v>
      </c>
      <c r="X287" s="343"/>
      <c r="Y287" s="367" t="str">
        <f t="shared" ca="1" si="138"/>
        <v/>
      </c>
      <c r="Z287" s="368" t="str">
        <f t="shared" ca="1" si="139"/>
        <v/>
      </c>
      <c r="AA287" s="369" t="str">
        <f t="shared" ca="1" si="140"/>
        <v/>
      </c>
      <c r="AB287" s="344"/>
      <c r="AC287" s="363" t="e">
        <f t="shared" ca="1" si="141"/>
        <v>#N/A</v>
      </c>
      <c r="AD287" s="376" t="e">
        <f t="shared" ca="1" si="142"/>
        <v>#N/A</v>
      </c>
      <c r="AE287" s="377">
        <f t="shared" ca="1" si="121"/>
        <v>266.91696932217133</v>
      </c>
      <c r="AF287" s="344"/>
      <c r="AG287" s="359">
        <f t="shared" ca="1" si="143"/>
        <v>32.276851961963544</v>
      </c>
      <c r="AH287" s="357">
        <f t="shared" ca="1" si="144"/>
        <v>41.825671502642237</v>
      </c>
    </row>
    <row r="288" spans="1:34" x14ac:dyDescent="0.2">
      <c r="A288" s="402">
        <f t="shared" ca="1" si="122"/>
        <v>0.01</v>
      </c>
      <c r="B288" s="357">
        <f t="shared" ca="1" si="123"/>
        <v>2.8399999999999834</v>
      </c>
      <c r="C288" s="342"/>
      <c r="D288" s="359">
        <f t="shared" ca="1" si="124"/>
        <v>9.5305426664756663</v>
      </c>
      <c r="E288" s="360">
        <f t="shared" ca="1" si="125"/>
        <v>30.63842767849809</v>
      </c>
      <c r="F288" s="357">
        <f t="shared" ca="1" si="126"/>
        <v>32.086515767968187</v>
      </c>
      <c r="G288" s="359">
        <f t="shared" ca="1" si="127"/>
        <v>39.312747443945661</v>
      </c>
      <c r="H288" s="360">
        <f t="shared" ca="1" si="128"/>
        <v>166.74851907269121</v>
      </c>
      <c r="I288" s="357">
        <f t="shared" ca="1" si="129"/>
        <v>171.32005348040002</v>
      </c>
      <c r="J288" s="359">
        <f t="shared" ca="1" si="130"/>
        <v>58.747214063660984</v>
      </c>
      <c r="K288" s="360">
        <f t="shared" ca="1" si="131"/>
        <v>268.58292259151432</v>
      </c>
      <c r="L288" s="357">
        <f t="shared" ca="1" si="116"/>
        <v>274.93275808466507</v>
      </c>
      <c r="M288" s="359">
        <f t="shared" ca="1" si="132"/>
        <v>1.3392636004874374</v>
      </c>
      <c r="N288" s="357">
        <f t="shared" ca="1" si="133"/>
        <v>76.734151963424992</v>
      </c>
      <c r="O288" s="343"/>
      <c r="P288" s="363">
        <f t="shared" ca="1" si="134"/>
        <v>7</v>
      </c>
      <c r="Q288" s="357">
        <f t="shared" ca="1" si="135"/>
        <v>444.57446808510974</v>
      </c>
      <c r="R288" s="359">
        <f t="shared" ca="1" si="136"/>
        <v>0.22311121204249884</v>
      </c>
      <c r="S288" s="360">
        <f t="shared" ca="1" si="137"/>
        <v>8.4689240000789709</v>
      </c>
      <c r="T288" s="357">
        <f t="shared" ca="1" si="117"/>
        <v>83.080144440774703</v>
      </c>
      <c r="U288" s="364">
        <f t="shared" ca="1" si="118"/>
        <v>0</v>
      </c>
      <c r="V288" s="359">
        <f t="shared" ca="1" si="119"/>
        <v>1.1925345749200962</v>
      </c>
      <c r="W288" s="357">
        <f t="shared" ca="1" si="120"/>
        <v>92.9709467224001</v>
      </c>
      <c r="X288" s="343"/>
      <c r="Y288" s="367" t="str">
        <f t="shared" ca="1" si="138"/>
        <v/>
      </c>
      <c r="Z288" s="368" t="str">
        <f t="shared" ca="1" si="139"/>
        <v/>
      </c>
      <c r="AA288" s="369" t="str">
        <f t="shared" ca="1" si="140"/>
        <v/>
      </c>
      <c r="AB288" s="344"/>
      <c r="AC288" s="363" t="e">
        <f t="shared" ca="1" si="141"/>
        <v>#N/A</v>
      </c>
      <c r="AD288" s="376" t="e">
        <f t="shared" ca="1" si="142"/>
        <v>#N/A</v>
      </c>
      <c r="AE288" s="377">
        <f t="shared" ca="1" si="121"/>
        <v>268.58292259151432</v>
      </c>
      <c r="AF288" s="344"/>
      <c r="AG288" s="359">
        <f t="shared" ca="1" si="143"/>
        <v>32.007541305905846</v>
      </c>
      <c r="AH288" s="357">
        <f t="shared" ca="1" si="144"/>
        <v>41.55606508297199</v>
      </c>
    </row>
    <row r="289" spans="1:34" x14ac:dyDescent="0.2">
      <c r="A289" s="402">
        <f t="shared" ca="1" si="122"/>
        <v>0.01</v>
      </c>
      <c r="B289" s="357">
        <f t="shared" ca="1" si="123"/>
        <v>2.8499999999999832</v>
      </c>
      <c r="C289" s="342"/>
      <c r="D289" s="359">
        <f t="shared" ca="1" si="124"/>
        <v>9.4740090637270153</v>
      </c>
      <c r="E289" s="360">
        <f t="shared" ca="1" si="125"/>
        <v>30.374853101662971</v>
      </c>
      <c r="F289" s="357">
        <f t="shared" ca="1" si="126"/>
        <v>31.818053816774938</v>
      </c>
      <c r="G289" s="359">
        <f t="shared" ca="1" si="127"/>
        <v>39.407487534582934</v>
      </c>
      <c r="H289" s="360">
        <f t="shared" ca="1" si="128"/>
        <v>167.05226760370783</v>
      </c>
      <c r="I289" s="357">
        <f t="shared" ca="1" si="129"/>
        <v>171.63743818097822</v>
      </c>
      <c r="J289" s="359">
        <f t="shared" ca="1" si="130"/>
        <v>59.140815238553628</v>
      </c>
      <c r="K289" s="360">
        <f t="shared" ca="1" si="131"/>
        <v>270.25192652489631</v>
      </c>
      <c r="L289" s="357">
        <f t="shared" ca="1" si="116"/>
        <v>276.64732027890437</v>
      </c>
      <c r="M289" s="359">
        <f t="shared" ca="1" si="132"/>
        <v>1.3391324462943162</v>
      </c>
      <c r="N289" s="357">
        <f t="shared" ca="1" si="133"/>
        <v>76.726637381693692</v>
      </c>
      <c r="O289" s="343"/>
      <c r="P289" s="363">
        <f t="shared" ca="1" si="134"/>
        <v>7</v>
      </c>
      <c r="Q289" s="357">
        <f t="shared" ca="1" si="135"/>
        <v>442.53191489362047</v>
      </c>
      <c r="R289" s="359">
        <f t="shared" ca="1" si="136"/>
        <v>0.22208614976175803</v>
      </c>
      <c r="S289" s="360">
        <f t="shared" ca="1" si="137"/>
        <v>8.4667031385813534</v>
      </c>
      <c r="T289" s="357">
        <f t="shared" ca="1" si="117"/>
        <v>83.058357789483082</v>
      </c>
      <c r="U289" s="364">
        <f t="shared" ca="1" si="118"/>
        <v>0</v>
      </c>
      <c r="V289" s="359">
        <f t="shared" ca="1" si="119"/>
        <v>1.1923355209207058</v>
      </c>
      <c r="W289" s="357">
        <f t="shared" ca="1" si="120"/>
        <v>93.300162724372598</v>
      </c>
      <c r="X289" s="343"/>
      <c r="Y289" s="367" t="str">
        <f t="shared" ca="1" si="138"/>
        <v/>
      </c>
      <c r="Z289" s="368" t="str">
        <f t="shared" ca="1" si="139"/>
        <v/>
      </c>
      <c r="AA289" s="369" t="str">
        <f t="shared" ca="1" si="140"/>
        <v/>
      </c>
      <c r="AB289" s="344"/>
      <c r="AC289" s="363" t="e">
        <f t="shared" ca="1" si="141"/>
        <v>#N/A</v>
      </c>
      <c r="AD289" s="376" t="e">
        <f t="shared" ca="1" si="142"/>
        <v>#N/A</v>
      </c>
      <c r="AE289" s="377">
        <f t="shared" ca="1" si="121"/>
        <v>270.25192652489631</v>
      </c>
      <c r="AF289" s="344"/>
      <c r="AG289" s="359">
        <f t="shared" ca="1" si="143"/>
        <v>31.738322437418947</v>
      </c>
      <c r="AH289" s="357">
        <f t="shared" ca="1" si="144"/>
        <v>41.286550673818873</v>
      </c>
    </row>
    <row r="290" spans="1:34" x14ac:dyDescent="0.2">
      <c r="A290" s="402">
        <f t="shared" ca="1" si="122"/>
        <v>0.01</v>
      </c>
      <c r="B290" s="357">
        <f t="shared" ca="1" si="123"/>
        <v>2.859999999999983</v>
      </c>
      <c r="C290" s="342"/>
      <c r="D290" s="359">
        <f t="shared" ca="1" si="124"/>
        <v>9.4174213754144329</v>
      </c>
      <c r="E290" s="360">
        <f t="shared" ca="1" si="125"/>
        <v>30.111387892643798</v>
      </c>
      <c r="F290" s="357">
        <f t="shared" ca="1" si="126"/>
        <v>31.549698987206963</v>
      </c>
      <c r="G290" s="359">
        <f t="shared" ca="1" si="127"/>
        <v>39.501661748337078</v>
      </c>
      <c r="H290" s="360">
        <f t="shared" ca="1" si="128"/>
        <v>167.35338148263426</v>
      </c>
      <c r="I290" s="357">
        <f t="shared" ca="1" si="129"/>
        <v>171.95213163712785</v>
      </c>
      <c r="J290" s="359">
        <f t="shared" ca="1" si="130"/>
        <v>59.535360984968229</v>
      </c>
      <c r="K290" s="360">
        <f t="shared" ca="1" si="131"/>
        <v>271.92395477032801</v>
      </c>
      <c r="L290" s="357">
        <f t="shared" ca="1" si="116"/>
        <v>278.36504160103487</v>
      </c>
      <c r="M290" s="359">
        <f t="shared" ca="1" si="132"/>
        <v>1.3390014593027182</v>
      </c>
      <c r="N290" s="357">
        <f t="shared" ca="1" si="133"/>
        <v>76.719132379904011</v>
      </c>
      <c r="O290" s="343"/>
      <c r="P290" s="363">
        <f t="shared" ca="1" si="134"/>
        <v>7</v>
      </c>
      <c r="Q290" s="357">
        <f t="shared" ca="1" si="135"/>
        <v>440.48936170213113</v>
      </c>
      <c r="R290" s="359">
        <f t="shared" ca="1" si="136"/>
        <v>0.22106108748101722</v>
      </c>
      <c r="S290" s="360">
        <f t="shared" ca="1" si="137"/>
        <v>8.4644925277065433</v>
      </c>
      <c r="T290" s="357">
        <f t="shared" ca="1" si="117"/>
        <v>83.036671696801193</v>
      </c>
      <c r="U290" s="364">
        <f t="shared" ca="1" si="118"/>
        <v>0</v>
      </c>
      <c r="V290" s="359">
        <f t="shared" ca="1" si="119"/>
        <v>1.1921361390919911</v>
      </c>
      <c r="W290" s="357">
        <f t="shared" ca="1" si="120"/>
        <v>93.626945070272541</v>
      </c>
      <c r="X290" s="343"/>
      <c r="Y290" s="367" t="str">
        <f t="shared" ca="1" si="138"/>
        <v/>
      </c>
      <c r="Z290" s="368" t="str">
        <f t="shared" ca="1" si="139"/>
        <v/>
      </c>
      <c r="AA290" s="369" t="str">
        <f t="shared" ca="1" si="140"/>
        <v/>
      </c>
      <c r="AB290" s="344"/>
      <c r="AC290" s="363" t="e">
        <f t="shared" ca="1" si="141"/>
        <v>#N/A</v>
      </c>
      <c r="AD290" s="376" t="e">
        <f t="shared" ca="1" si="142"/>
        <v>#N/A</v>
      </c>
      <c r="AE290" s="377">
        <f t="shared" ca="1" si="121"/>
        <v>271.92395477032801</v>
      </c>
      <c r="AF290" s="344"/>
      <c r="AG290" s="359">
        <f t="shared" ca="1" si="143"/>
        <v>31.469198100738947</v>
      </c>
      <c r="AH290" s="357">
        <f t="shared" ca="1" si="144"/>
        <v>41.01713101421209</v>
      </c>
    </row>
    <row r="291" spans="1:34" x14ac:dyDescent="0.2">
      <c r="A291" s="402">
        <f t="shared" ca="1" si="122"/>
        <v>0.01</v>
      </c>
      <c r="B291" s="357">
        <f t="shared" ca="1" si="123"/>
        <v>2.8699999999999828</v>
      </c>
      <c r="C291" s="342"/>
      <c r="D291" s="359">
        <f t="shared" ca="1" si="124"/>
        <v>9.3607805019408943</v>
      </c>
      <c r="E291" s="360">
        <f t="shared" ca="1" si="125"/>
        <v>29.848034649199704</v>
      </c>
      <c r="F291" s="357">
        <f t="shared" ca="1" si="126"/>
        <v>31.281454314423154</v>
      </c>
      <c r="G291" s="359">
        <f t="shared" ca="1" si="127"/>
        <v>39.595269553356488</v>
      </c>
      <c r="H291" s="360">
        <f t="shared" ca="1" si="128"/>
        <v>167.65186182912626</v>
      </c>
      <c r="I291" s="357">
        <f t="shared" ca="1" si="129"/>
        <v>172.2641348214288</v>
      </c>
      <c r="J291" s="359">
        <f t="shared" ca="1" si="130"/>
        <v>59.930845641476694</v>
      </c>
      <c r="K291" s="360">
        <f t="shared" ca="1" si="131"/>
        <v>273.59898098688683</v>
      </c>
      <c r="L291" s="357">
        <f t="shared" ca="1" si="116"/>
        <v>280.08589513998265</v>
      </c>
      <c r="M291" s="359">
        <f t="shared" ca="1" si="132"/>
        <v>1.3388706369536434</v>
      </c>
      <c r="N291" s="357">
        <f t="shared" ca="1" si="133"/>
        <v>76.711636811436037</v>
      </c>
      <c r="O291" s="343"/>
      <c r="P291" s="363">
        <f t="shared" ca="1" si="134"/>
        <v>7</v>
      </c>
      <c r="Q291" s="357">
        <f t="shared" ca="1" si="135"/>
        <v>438.44680851064186</v>
      </c>
      <c r="R291" s="359">
        <f t="shared" ca="1" si="136"/>
        <v>0.22003602520027643</v>
      </c>
      <c r="S291" s="360">
        <f t="shared" ca="1" si="137"/>
        <v>8.4622921674545406</v>
      </c>
      <c r="T291" s="357">
        <f t="shared" ca="1" si="117"/>
        <v>83.015086162729048</v>
      </c>
      <c r="U291" s="364">
        <f t="shared" ca="1" si="118"/>
        <v>0</v>
      </c>
      <c r="V291" s="359">
        <f t="shared" ca="1" si="119"/>
        <v>1.1919364327445505</v>
      </c>
      <c r="W291" s="357">
        <f t="shared" ca="1" si="120"/>
        <v>93.951279861748333</v>
      </c>
      <c r="X291" s="343"/>
      <c r="Y291" s="367" t="str">
        <f t="shared" ca="1" si="138"/>
        <v/>
      </c>
      <c r="Z291" s="368" t="str">
        <f t="shared" ca="1" si="139"/>
        <v/>
      </c>
      <c r="AA291" s="369" t="str">
        <f t="shared" ca="1" si="140"/>
        <v/>
      </c>
      <c r="AB291" s="344"/>
      <c r="AC291" s="363" t="e">
        <f t="shared" ca="1" si="141"/>
        <v>#N/A</v>
      </c>
      <c r="AD291" s="376" t="e">
        <f t="shared" ca="1" si="142"/>
        <v>#N/A</v>
      </c>
      <c r="AE291" s="377">
        <f t="shared" ca="1" si="121"/>
        <v>273.59898098688683</v>
      </c>
      <c r="AF291" s="344"/>
      <c r="AG291" s="359">
        <f t="shared" ca="1" si="143"/>
        <v>31.200171019479853</v>
      </c>
      <c r="AH291" s="357">
        <f t="shared" ca="1" si="144"/>
        <v>40.747808822593655</v>
      </c>
    </row>
    <row r="292" spans="1:34" x14ac:dyDescent="0.2">
      <c r="A292" s="402">
        <f t="shared" ca="1" si="122"/>
        <v>0.01</v>
      </c>
      <c r="B292" s="357">
        <f t="shared" ca="1" si="123"/>
        <v>2.8799999999999826</v>
      </c>
      <c r="C292" s="342"/>
      <c r="D292" s="359">
        <f t="shared" ca="1" si="124"/>
        <v>9.3040873366900758</v>
      </c>
      <c r="E292" s="360">
        <f t="shared" ca="1" si="125"/>
        <v>29.584795949423189</v>
      </c>
      <c r="F292" s="357">
        <f t="shared" ca="1" si="126"/>
        <v>31.01332282322814</v>
      </c>
      <c r="G292" s="359">
        <f t="shared" ca="1" si="127"/>
        <v>39.68831042672339</v>
      </c>
      <c r="H292" s="360">
        <f t="shared" ca="1" si="128"/>
        <v>167.9477097886205</v>
      </c>
      <c r="I292" s="357">
        <f t="shared" ca="1" si="129"/>
        <v>172.57344873349044</v>
      </c>
      <c r="J292" s="359">
        <f t="shared" ca="1" si="130"/>
        <v>60.327263541377093</v>
      </c>
      <c r="K292" s="360">
        <f t="shared" ca="1" si="131"/>
        <v>275.27697884497559</v>
      </c>
      <c r="L292" s="357">
        <f t="shared" ca="1" si="116"/>
        <v>281.80985399451151</v>
      </c>
      <c r="M292" s="359">
        <f t="shared" ca="1" si="132"/>
        <v>1.3387399767090045</v>
      </c>
      <c r="N292" s="357">
        <f t="shared" ca="1" si="133"/>
        <v>76.704150530868091</v>
      </c>
      <c r="O292" s="343"/>
      <c r="P292" s="363">
        <f t="shared" ca="1" si="134"/>
        <v>7</v>
      </c>
      <c r="Q292" s="357">
        <f t="shared" ca="1" si="135"/>
        <v>436.40425531915253</v>
      </c>
      <c r="R292" s="359">
        <f t="shared" ca="1" si="136"/>
        <v>0.21901096291953562</v>
      </c>
      <c r="S292" s="360">
        <f t="shared" ca="1" si="137"/>
        <v>8.4601020578253454</v>
      </c>
      <c r="T292" s="357">
        <f t="shared" ca="1" si="117"/>
        <v>82.993601187266648</v>
      </c>
      <c r="U292" s="364">
        <f t="shared" ca="1" si="118"/>
        <v>0</v>
      </c>
      <c r="V292" s="359">
        <f t="shared" ca="1" si="119"/>
        <v>1.1917364051857893</v>
      </c>
      <c r="W292" s="357">
        <f t="shared" ca="1" si="120"/>
        <v>94.273153392529608</v>
      </c>
      <c r="X292" s="343"/>
      <c r="Y292" s="367" t="str">
        <f t="shared" ca="1" si="138"/>
        <v/>
      </c>
      <c r="Z292" s="368" t="str">
        <f t="shared" ca="1" si="139"/>
        <v/>
      </c>
      <c r="AA292" s="369" t="str">
        <f t="shared" ca="1" si="140"/>
        <v/>
      </c>
      <c r="AB292" s="344"/>
      <c r="AC292" s="363" t="e">
        <f t="shared" ca="1" si="141"/>
        <v>#N/A</v>
      </c>
      <c r="AD292" s="376" t="e">
        <f t="shared" ca="1" si="142"/>
        <v>#N/A</v>
      </c>
      <c r="AE292" s="377">
        <f t="shared" ca="1" si="121"/>
        <v>275.27697884497559</v>
      </c>
      <c r="AF292" s="344"/>
      <c r="AG292" s="359">
        <f t="shared" ca="1" si="143"/>
        <v>30.931243896608159</v>
      </c>
      <c r="AH292" s="357">
        <f t="shared" ca="1" si="144"/>
        <v>40.478586796792278</v>
      </c>
    </row>
    <row r="293" spans="1:34" x14ac:dyDescent="0.2">
      <c r="A293" s="402">
        <f t="shared" ca="1" si="122"/>
        <v>0.01</v>
      </c>
      <c r="B293" s="357">
        <f t="shared" ca="1" si="123"/>
        <v>2.8899999999999824</v>
      </c>
      <c r="C293" s="342"/>
      <c r="D293" s="359">
        <f t="shared" ca="1" si="124"/>
        <v>9.2473427660484155</v>
      </c>
      <c r="E293" s="360">
        <f t="shared" ca="1" si="125"/>
        <v>29.321674351712083</v>
      </c>
      <c r="F293" s="357">
        <f t="shared" ca="1" si="126"/>
        <v>30.745307528477223</v>
      </c>
      <c r="G293" s="359">
        <f t="shared" ca="1" si="127"/>
        <v>39.780783854383877</v>
      </c>
      <c r="H293" s="360">
        <f t="shared" ca="1" si="128"/>
        <v>168.24092653213762</v>
      </c>
      <c r="I293" s="357">
        <f t="shared" ca="1" si="129"/>
        <v>172.8800743997449</v>
      </c>
      <c r="J293" s="359">
        <f t="shared" ca="1" si="130"/>
        <v>60.724609012782629</v>
      </c>
      <c r="K293" s="360">
        <f t="shared" ca="1" si="131"/>
        <v>276.95792202657935</v>
      </c>
      <c r="L293" s="357">
        <f t="shared" ca="1" si="116"/>
        <v>283.53689127349219</v>
      </c>
      <c r="M293" s="359">
        <f t="shared" ca="1" si="132"/>
        <v>1.3386094760512679</v>
      </c>
      <c r="N293" s="357">
        <f t="shared" ca="1" si="133"/>
        <v>76.696673393956104</v>
      </c>
      <c r="O293" s="343"/>
      <c r="P293" s="363">
        <f t="shared" ca="1" si="134"/>
        <v>7</v>
      </c>
      <c r="Q293" s="357">
        <f t="shared" ca="1" si="135"/>
        <v>434.36170212766319</v>
      </c>
      <c r="R293" s="359">
        <f t="shared" ca="1" si="136"/>
        <v>0.21798590063879481</v>
      </c>
      <c r="S293" s="360">
        <f t="shared" ca="1" si="137"/>
        <v>8.4579221988189577</v>
      </c>
      <c r="T293" s="357">
        <f t="shared" ca="1" si="117"/>
        <v>82.972216770413979</v>
      </c>
      <c r="U293" s="364">
        <f t="shared" ca="1" si="118"/>
        <v>0</v>
      </c>
      <c r="V293" s="359">
        <f t="shared" ca="1" si="119"/>
        <v>1.1915360597198841</v>
      </c>
      <c r="W293" s="357">
        <f t="shared" ca="1" si="120"/>
        <v>94.592552148119978</v>
      </c>
      <c r="X293" s="343"/>
      <c r="Y293" s="367" t="str">
        <f t="shared" ca="1" si="138"/>
        <v/>
      </c>
      <c r="Z293" s="368" t="str">
        <f t="shared" ca="1" si="139"/>
        <v/>
      </c>
      <c r="AA293" s="369" t="str">
        <f t="shared" ca="1" si="140"/>
        <v/>
      </c>
      <c r="AB293" s="344"/>
      <c r="AC293" s="363" t="e">
        <f t="shared" ca="1" si="141"/>
        <v>#N/A</v>
      </c>
      <c r="AD293" s="376" t="e">
        <f t="shared" ca="1" si="142"/>
        <v>#N/A</v>
      </c>
      <c r="AE293" s="377">
        <f t="shared" ca="1" si="121"/>
        <v>276.95792202657935</v>
      </c>
      <c r="AF293" s="344"/>
      <c r="AG293" s="359">
        <f t="shared" ca="1" si="143"/>
        <v>30.66241941441902</v>
      </c>
      <c r="AH293" s="357">
        <f t="shared" ca="1" si="144"/>
        <v>40.209467613998939</v>
      </c>
    </row>
    <row r="294" spans="1:34" x14ac:dyDescent="0.2">
      <c r="A294" s="402">
        <f t="shared" ca="1" si="122"/>
        <v>0.01</v>
      </c>
      <c r="B294" s="357">
        <f t="shared" ca="1" si="123"/>
        <v>2.8999999999999821</v>
      </c>
      <c r="C294" s="342"/>
      <c r="D294" s="359">
        <f t="shared" ca="1" si="124"/>
        <v>9.1905476694267954</v>
      </c>
      <c r="E294" s="360">
        <f t="shared" ca="1" si="125"/>
        <v>29.058672394743326</v>
      </c>
      <c r="F294" s="357">
        <f t="shared" ca="1" si="126"/>
        <v>30.47741143550456</v>
      </c>
      <c r="G294" s="359">
        <f t="shared" ca="1" si="127"/>
        <v>39.872689331078142</v>
      </c>
      <c r="H294" s="360">
        <f t="shared" ca="1" si="128"/>
        <v>168.53151325608505</v>
      </c>
      <c r="I294" s="357">
        <f t="shared" ca="1" si="129"/>
        <v>173.18401287324025</v>
      </c>
      <c r="J294" s="359">
        <f t="shared" ca="1" si="130"/>
        <v>61.12287637870994</v>
      </c>
      <c r="K294" s="360">
        <f t="shared" ca="1" si="131"/>
        <v>278.64178422552044</v>
      </c>
      <c r="L294" s="357">
        <f t="shared" ca="1" si="116"/>
        <v>285.26698009616985</v>
      </c>
      <c r="M294" s="359">
        <f t="shared" ca="1" si="132"/>
        <v>1.3384791324831025</v>
      </c>
      <c r="N294" s="357">
        <f t="shared" ca="1" si="133"/>
        <v>76.689205257613537</v>
      </c>
      <c r="O294" s="343"/>
      <c r="P294" s="363">
        <f t="shared" ca="1" si="134"/>
        <v>7</v>
      </c>
      <c r="Q294" s="357">
        <f t="shared" ca="1" si="135"/>
        <v>432.31914893617386</v>
      </c>
      <c r="R294" s="359">
        <f t="shared" ca="1" si="136"/>
        <v>0.21696083835805396</v>
      </c>
      <c r="S294" s="360">
        <f t="shared" ca="1" si="137"/>
        <v>8.4557525904353774</v>
      </c>
      <c r="T294" s="357">
        <f t="shared" ca="1" si="117"/>
        <v>82.950932912171055</v>
      </c>
      <c r="U294" s="364">
        <f t="shared" ca="1" si="118"/>
        <v>0</v>
      </c>
      <c r="V294" s="359">
        <f t="shared" ca="1" si="119"/>
        <v>1.1913353996477434</v>
      </c>
      <c r="W294" s="357">
        <f t="shared" ca="1" si="120"/>
        <v>94.909462805478825</v>
      </c>
      <c r="X294" s="343"/>
      <c r="Y294" s="367" t="str">
        <f t="shared" ca="1" si="138"/>
        <v/>
      </c>
      <c r="Z294" s="368" t="str">
        <f t="shared" ca="1" si="139"/>
        <v/>
      </c>
      <c r="AA294" s="369" t="str">
        <f t="shared" ca="1" si="140"/>
        <v/>
      </c>
      <c r="AB294" s="344"/>
      <c r="AC294" s="363" t="e">
        <f t="shared" ca="1" si="141"/>
        <v>#N/A</v>
      </c>
      <c r="AD294" s="376" t="e">
        <f t="shared" ca="1" si="142"/>
        <v>#N/A</v>
      </c>
      <c r="AE294" s="377">
        <f t="shared" ca="1" si="121"/>
        <v>278.64178422552044</v>
      </c>
      <c r="AF294" s="344"/>
      <c r="AG294" s="359">
        <f t="shared" ca="1" si="143"/>
        <v>30.393700234514125</v>
      </c>
      <c r="AH294" s="357">
        <f t="shared" ca="1" si="144"/>
        <v>39.940453930744056</v>
      </c>
    </row>
    <row r="295" spans="1:34" x14ac:dyDescent="0.2">
      <c r="A295" s="402">
        <f t="shared" ca="1" si="122"/>
        <v>0.01</v>
      </c>
      <c r="B295" s="357">
        <f t="shared" ca="1" si="123"/>
        <v>2.9099999999999819</v>
      </c>
      <c r="C295" s="342"/>
      <c r="D295" s="359">
        <f t="shared" ca="1" si="124"/>
        <v>9.1337029192818502</v>
      </c>
      <c r="E295" s="360">
        <f t="shared" ca="1" si="125"/>
        <v>28.795792597448283</v>
      </c>
      <c r="F295" s="357">
        <f t="shared" ca="1" si="126"/>
        <v>30.20963754057561</v>
      </c>
      <c r="G295" s="359">
        <f t="shared" ca="1" si="127"/>
        <v>39.964026360270964</v>
      </c>
      <c r="H295" s="360">
        <f t="shared" ca="1" si="128"/>
        <v>168.81947118205954</v>
      </c>
      <c r="I295" s="357">
        <f t="shared" ca="1" si="129"/>
        <v>173.48526523343321</v>
      </c>
      <c r="J295" s="359">
        <f t="shared" ca="1" si="130"/>
        <v>61.522059957166682</v>
      </c>
      <c r="K295" s="360">
        <f t="shared" ca="1" si="131"/>
        <v>280.32853914771118</v>
      </c>
      <c r="L295" s="357">
        <f t="shared" ca="1" si="116"/>
        <v>287.0000935924291</v>
      </c>
      <c r="M295" s="359">
        <f t="shared" ca="1" si="132"/>
        <v>1.3383489435270304</v>
      </c>
      <c r="N295" s="357">
        <f t="shared" ca="1" si="133"/>
        <v>76.681745979891403</v>
      </c>
      <c r="O295" s="343"/>
      <c r="P295" s="363">
        <f t="shared" ca="1" si="134"/>
        <v>7</v>
      </c>
      <c r="Q295" s="357">
        <f t="shared" ca="1" si="135"/>
        <v>430.27659574468453</v>
      </c>
      <c r="R295" s="359">
        <f t="shared" ca="1" si="136"/>
        <v>0.21593577607731315</v>
      </c>
      <c r="S295" s="360">
        <f t="shared" ca="1" si="137"/>
        <v>8.4535932326746046</v>
      </c>
      <c r="T295" s="357">
        <f t="shared" ca="1" si="117"/>
        <v>82.929749612537876</v>
      </c>
      <c r="U295" s="364">
        <f t="shared" ca="1" si="118"/>
        <v>0</v>
      </c>
      <c r="V295" s="359">
        <f t="shared" ca="1" si="119"/>
        <v>1.1911344282669716</v>
      </c>
      <c r="W295" s="357">
        <f t="shared" ca="1" si="120"/>
        <v>95.22387223269223</v>
      </c>
      <c r="X295" s="343"/>
      <c r="Y295" s="367" t="str">
        <f t="shared" ca="1" si="138"/>
        <v/>
      </c>
      <c r="Z295" s="368" t="str">
        <f t="shared" ca="1" si="139"/>
        <v/>
      </c>
      <c r="AA295" s="369" t="str">
        <f t="shared" ca="1" si="140"/>
        <v/>
      </c>
      <c r="AB295" s="344"/>
      <c r="AC295" s="363" t="e">
        <f t="shared" ca="1" si="141"/>
        <v>#N/A</v>
      </c>
      <c r="AD295" s="376" t="e">
        <f t="shared" ca="1" si="142"/>
        <v>#N/A</v>
      </c>
      <c r="AE295" s="377">
        <f t="shared" ca="1" si="121"/>
        <v>280.32853914771118</v>
      </c>
      <c r="AF295" s="344"/>
      <c r="AG295" s="359">
        <f t="shared" ca="1" si="143"/>
        <v>30.125088997781027</v>
      </c>
      <c r="AH295" s="357">
        <f t="shared" ca="1" si="144"/>
        <v>39.671548382876239</v>
      </c>
    </row>
    <row r="296" spans="1:34" x14ac:dyDescent="0.2">
      <c r="A296" s="402">
        <f t="shared" ca="1" si="122"/>
        <v>0.01</v>
      </c>
      <c r="B296" s="357">
        <f t="shared" ca="1" si="123"/>
        <v>2.9199999999999817</v>
      </c>
      <c r="C296" s="342"/>
      <c r="D296" s="359">
        <f t="shared" ca="1" si="124"/>
        <v>9.076809381137144</v>
      </c>
      <c r="E296" s="360">
        <f t="shared" ca="1" si="125"/>
        <v>28.533037458989895</v>
      </c>
      <c r="F296" s="357">
        <f t="shared" ca="1" si="126"/>
        <v>29.941988831365556</v>
      </c>
      <c r="G296" s="359">
        <f t="shared" ca="1" si="127"/>
        <v>40.054794454082334</v>
      </c>
      <c r="H296" s="360">
        <f t="shared" ca="1" si="128"/>
        <v>169.10480155664945</v>
      </c>
      <c r="I296" s="357">
        <f t="shared" ca="1" si="129"/>
        <v>173.78383258598188</v>
      </c>
      <c r="J296" s="359">
        <f t="shared" ca="1" si="130"/>
        <v>61.922154061238452</v>
      </c>
      <c r="K296" s="360">
        <f t="shared" ca="1" si="131"/>
        <v>282.01816051140474</v>
      </c>
      <c r="L296" s="357">
        <f t="shared" ca="1" si="116"/>
        <v>288.73620490305717</v>
      </c>
      <c r="M296" s="359">
        <f t="shared" ca="1" si="132"/>
        <v>1.3382189067250874</v>
      </c>
      <c r="N296" s="357">
        <f t="shared" ca="1" si="133"/>
        <v>76.674295419958682</v>
      </c>
      <c r="O296" s="343"/>
      <c r="P296" s="363">
        <f t="shared" ca="1" si="134"/>
        <v>7</v>
      </c>
      <c r="Q296" s="357">
        <f t="shared" ca="1" si="135"/>
        <v>428.23404255319525</v>
      </c>
      <c r="R296" s="359">
        <f t="shared" ca="1" si="136"/>
        <v>0.21491071379657237</v>
      </c>
      <c r="S296" s="360">
        <f t="shared" ca="1" si="137"/>
        <v>8.4514441255366393</v>
      </c>
      <c r="T296" s="357">
        <f t="shared" ca="1" si="117"/>
        <v>82.908666871514441</v>
      </c>
      <c r="U296" s="364">
        <f t="shared" ca="1" si="118"/>
        <v>0</v>
      </c>
      <c r="V296" s="359">
        <f t="shared" ca="1" si="119"/>
        <v>1.1909331488718322</v>
      </c>
      <c r="W296" s="357">
        <f t="shared" ca="1" si="120"/>
        <v>95.535767488633581</v>
      </c>
      <c r="X296" s="343"/>
      <c r="Y296" s="367" t="str">
        <f t="shared" ca="1" si="138"/>
        <v/>
      </c>
      <c r="Z296" s="368" t="str">
        <f t="shared" ca="1" si="139"/>
        <v/>
      </c>
      <c r="AA296" s="369" t="str">
        <f t="shared" ca="1" si="140"/>
        <v/>
      </c>
      <c r="AB296" s="344"/>
      <c r="AC296" s="363" t="e">
        <f t="shared" ca="1" si="141"/>
        <v>#N/A</v>
      </c>
      <c r="AD296" s="376" t="e">
        <f t="shared" ca="1" si="142"/>
        <v>#N/A</v>
      </c>
      <c r="AE296" s="377">
        <f t="shared" ca="1" si="121"/>
        <v>282.01816051140474</v>
      </c>
      <c r="AF296" s="344"/>
      <c r="AG296" s="359">
        <f t="shared" ca="1" si="143"/>
        <v>29.856588324374243</v>
      </c>
      <c r="AH296" s="357">
        <f t="shared" ca="1" si="144"/>
        <v>39.402753585542747</v>
      </c>
    </row>
    <row r="297" spans="1:34" x14ac:dyDescent="0.2">
      <c r="A297" s="402">
        <f t="shared" ca="1" si="122"/>
        <v>0.01</v>
      </c>
      <c r="B297" s="357">
        <f t="shared" ca="1" si="123"/>
        <v>2.9299999999999815</v>
      </c>
      <c r="C297" s="342"/>
      <c r="D297" s="359">
        <f t="shared" ca="1" si="124"/>
        <v>9.0198679136039299</v>
      </c>
      <c r="E297" s="360">
        <f t="shared" ca="1" si="125"/>
        <v>28.270409458741455</v>
      </c>
      <c r="F297" s="357">
        <f t="shared" ca="1" si="126"/>
        <v>29.674468287464897</v>
      </c>
      <c r="G297" s="359">
        <f t="shared" ca="1" si="127"/>
        <v>40.144993133218371</v>
      </c>
      <c r="H297" s="360">
        <f t="shared" ca="1" si="128"/>
        <v>169.38750565123686</v>
      </c>
      <c r="I297" s="357">
        <f t="shared" ca="1" si="129"/>
        <v>174.0797160625383</v>
      </c>
      <c r="J297" s="359">
        <f t="shared" ca="1" si="130"/>
        <v>62.323152999174958</v>
      </c>
      <c r="K297" s="360">
        <f t="shared" ca="1" si="131"/>
        <v>283.71062204744419</v>
      </c>
      <c r="L297" s="357">
        <f t="shared" ca="1" si="116"/>
        <v>290.4752871800049</v>
      </c>
      <c r="M297" s="359">
        <f t="shared" ca="1" si="132"/>
        <v>1.3380890196384865</v>
      </c>
      <c r="N297" s="357">
        <f t="shared" ca="1" si="133"/>
        <v>76.666853438083209</v>
      </c>
      <c r="O297" s="343"/>
      <c r="P297" s="363">
        <f t="shared" ca="1" si="134"/>
        <v>7</v>
      </c>
      <c r="Q297" s="357">
        <f t="shared" ca="1" si="135"/>
        <v>426.19148936170592</v>
      </c>
      <c r="R297" s="359">
        <f t="shared" ca="1" si="136"/>
        <v>0.21388565151583155</v>
      </c>
      <c r="S297" s="360">
        <f t="shared" ca="1" si="137"/>
        <v>8.4493052690214814</v>
      </c>
      <c r="T297" s="357">
        <f t="shared" ca="1" si="117"/>
        <v>82.887684689100738</v>
      </c>
      <c r="U297" s="364">
        <f t="shared" ca="1" si="118"/>
        <v>0</v>
      </c>
      <c r="V297" s="359">
        <f t="shared" ca="1" si="119"/>
        <v>1.1907315647532111</v>
      </c>
      <c r="W297" s="357">
        <f t="shared" ca="1" si="120"/>
        <v>95.845135822613869</v>
      </c>
      <c r="X297" s="343"/>
      <c r="Y297" s="367" t="str">
        <f t="shared" ca="1" si="138"/>
        <v/>
      </c>
      <c r="Z297" s="368" t="str">
        <f t="shared" ca="1" si="139"/>
        <v/>
      </c>
      <c r="AA297" s="369" t="str">
        <f t="shared" ca="1" si="140"/>
        <v/>
      </c>
      <c r="AB297" s="344"/>
      <c r="AC297" s="363" t="e">
        <f t="shared" ca="1" si="141"/>
        <v>#N/A</v>
      </c>
      <c r="AD297" s="376" t="e">
        <f t="shared" ca="1" si="142"/>
        <v>#N/A</v>
      </c>
      <c r="AE297" s="377">
        <f t="shared" ca="1" si="121"/>
        <v>283.71062204744419</v>
      </c>
      <c r="AF297" s="344"/>
      <c r="AG297" s="359">
        <f t="shared" ca="1" si="143"/>
        <v>29.588200813697831</v>
      </c>
      <c r="AH297" s="357">
        <f t="shared" ca="1" si="144"/>
        <v>39.134072133171465</v>
      </c>
    </row>
    <row r="298" spans="1:34" x14ac:dyDescent="0.2">
      <c r="A298" s="402">
        <f t="shared" ca="1" si="122"/>
        <v>0.01</v>
      </c>
      <c r="B298" s="357">
        <f t="shared" ca="1" si="123"/>
        <v>2.9399999999999813</v>
      </c>
      <c r="C298" s="342"/>
      <c r="D298" s="359">
        <f t="shared" ca="1" si="124"/>
        <v>8.9628793684017083</v>
      </c>
      <c r="E298" s="360">
        <f t="shared" ca="1" si="125"/>
        <v>28.007911056266913</v>
      </c>
      <c r="F298" s="357">
        <f t="shared" ca="1" si="126"/>
        <v>29.40707888091368</v>
      </c>
      <c r="G298" s="359">
        <f t="shared" ca="1" si="127"/>
        <v>40.234621926902385</v>
      </c>
      <c r="H298" s="360">
        <f t="shared" ca="1" si="128"/>
        <v>169.66758476179953</v>
      </c>
      <c r="I298" s="357">
        <f t="shared" ca="1" si="129"/>
        <v>174.37291682054069</v>
      </c>
      <c r="J298" s="359">
        <f t="shared" ca="1" si="130"/>
        <v>62.725051074475559</v>
      </c>
      <c r="K298" s="360">
        <f t="shared" ca="1" si="131"/>
        <v>285.40589749950936</v>
      </c>
      <c r="L298" s="357">
        <f t="shared" ca="1" si="116"/>
        <v>292.21731358664567</v>
      </c>
      <c r="M298" s="359">
        <f t="shared" ca="1" si="132"/>
        <v>1.3379592798472881</v>
      </c>
      <c r="N298" s="357">
        <f t="shared" ca="1" si="133"/>
        <v>76.659419895612629</v>
      </c>
      <c r="O298" s="343"/>
      <c r="P298" s="363">
        <f t="shared" ca="1" si="134"/>
        <v>7</v>
      </c>
      <c r="Q298" s="357">
        <f t="shared" ca="1" si="135"/>
        <v>424.14893617021659</v>
      </c>
      <c r="R298" s="359">
        <f t="shared" ca="1" si="136"/>
        <v>0.21286058923509071</v>
      </c>
      <c r="S298" s="360">
        <f t="shared" ca="1" si="137"/>
        <v>8.447176663129131</v>
      </c>
      <c r="T298" s="357">
        <f t="shared" ca="1" si="117"/>
        <v>82.866803065296779</v>
      </c>
      <c r="U298" s="364">
        <f t="shared" ca="1" si="118"/>
        <v>0</v>
      </c>
      <c r="V298" s="359">
        <f t="shared" ca="1" si="119"/>
        <v>1.1905296791985813</v>
      </c>
      <c r="W298" s="357">
        <f t="shared" ca="1" si="120"/>
        <v>96.151964674021301</v>
      </c>
      <c r="X298" s="343"/>
      <c r="Y298" s="367" t="str">
        <f t="shared" ca="1" si="138"/>
        <v/>
      </c>
      <c r="Z298" s="368" t="str">
        <f t="shared" ca="1" si="139"/>
        <v/>
      </c>
      <c r="AA298" s="369" t="str">
        <f t="shared" ca="1" si="140"/>
        <v/>
      </c>
      <c r="AB298" s="344"/>
      <c r="AC298" s="363" t="e">
        <f t="shared" ca="1" si="141"/>
        <v>#N/A</v>
      </c>
      <c r="AD298" s="376" t="e">
        <f t="shared" ca="1" si="142"/>
        <v>#N/A</v>
      </c>
      <c r="AE298" s="377">
        <f t="shared" ca="1" si="121"/>
        <v>285.40589749950936</v>
      </c>
      <c r="AF298" s="344"/>
      <c r="AG298" s="359">
        <f t="shared" ca="1" si="143"/>
        <v>29.319929044389546</v>
      </c>
      <c r="AH298" s="357">
        <f t="shared" ca="1" si="144"/>
        <v>38.865506599454434</v>
      </c>
    </row>
    <row r="299" spans="1:34" x14ac:dyDescent="0.2">
      <c r="A299" s="402">
        <f t="shared" ca="1" si="122"/>
        <v>0.01</v>
      </c>
      <c r="B299" s="357">
        <f t="shared" ca="1" si="123"/>
        <v>2.9499999999999811</v>
      </c>
      <c r="C299" s="342"/>
      <c r="D299" s="359">
        <f t="shared" ca="1" si="124"/>
        <v>8.9058445903785373</v>
      </c>
      <c r="E299" s="360">
        <f t="shared" ca="1" si="125"/>
        <v>27.745544691303053</v>
      </c>
      <c r="F299" s="357">
        <f t="shared" ca="1" si="126"/>
        <v>29.139823576766378</v>
      </c>
      <c r="G299" s="359">
        <f t="shared" ca="1" si="127"/>
        <v>40.323680372806173</v>
      </c>
      <c r="H299" s="360">
        <f t="shared" ca="1" si="128"/>
        <v>169.94504020871256</v>
      </c>
      <c r="I299" s="357">
        <f t="shared" ca="1" si="129"/>
        <v>174.66343604300576</v>
      </c>
      <c r="J299" s="359">
        <f t="shared" ca="1" si="130"/>
        <v>63.127842585974101</v>
      </c>
      <c r="K299" s="360">
        <f t="shared" ca="1" si="131"/>
        <v>287.10396062436195</v>
      </c>
      <c r="L299" s="357">
        <f t="shared" ca="1" si="116"/>
        <v>293.96225729803257</v>
      </c>
      <c r="M299" s="359">
        <f t="shared" ca="1" si="132"/>
        <v>1.3378296849500755</v>
      </c>
      <c r="N299" s="357">
        <f t="shared" ca="1" si="133"/>
        <v>76.651994654955914</v>
      </c>
      <c r="O299" s="343"/>
      <c r="P299" s="363">
        <f t="shared" ca="1" si="134"/>
        <v>7</v>
      </c>
      <c r="Q299" s="357">
        <f t="shared" ca="1" si="135"/>
        <v>422.10638297872731</v>
      </c>
      <c r="R299" s="359">
        <f t="shared" ca="1" si="136"/>
        <v>0.21183552695434993</v>
      </c>
      <c r="S299" s="360">
        <f t="shared" ca="1" si="137"/>
        <v>8.445058307859588</v>
      </c>
      <c r="T299" s="357">
        <f t="shared" ca="1" si="117"/>
        <v>82.846022000102565</v>
      </c>
      <c r="U299" s="364">
        <f t="shared" ca="1" si="118"/>
        <v>0</v>
      </c>
      <c r="V299" s="359">
        <f t="shared" ca="1" si="119"/>
        <v>1.1903274954919669</v>
      </c>
      <c r="W299" s="357">
        <f t="shared" ca="1" si="120"/>
        <v>96.456241671951233</v>
      </c>
      <c r="X299" s="343"/>
      <c r="Y299" s="367" t="str">
        <f t="shared" ca="1" si="138"/>
        <v/>
      </c>
      <c r="Z299" s="368" t="str">
        <f t="shared" ca="1" si="139"/>
        <v/>
      </c>
      <c r="AA299" s="369" t="str">
        <f t="shared" ca="1" si="140"/>
        <v/>
      </c>
      <c r="AB299" s="344"/>
      <c r="AC299" s="363" t="e">
        <f t="shared" ca="1" si="141"/>
        <v>#N/A</v>
      </c>
      <c r="AD299" s="376" t="e">
        <f t="shared" ca="1" si="142"/>
        <v>#N/A</v>
      </c>
      <c r="AE299" s="377">
        <f t="shared" ca="1" si="121"/>
        <v>287.10396062436195</v>
      </c>
      <c r="AF299" s="344"/>
      <c r="AG299" s="359">
        <f t="shared" ca="1" si="143"/>
        <v>29.051775574306639</v>
      </c>
      <c r="AH299" s="357">
        <f t="shared" ca="1" si="144"/>
        <v>38.597059537333095</v>
      </c>
    </row>
    <row r="300" spans="1:34" x14ac:dyDescent="0.2">
      <c r="A300" s="402">
        <f t="shared" ca="1" si="122"/>
        <v>0.01</v>
      </c>
      <c r="B300" s="357">
        <f t="shared" ca="1" si="123"/>
        <v>2.9599999999999809</v>
      </c>
      <c r="C300" s="342"/>
      <c r="D300" s="359">
        <f t="shared" ca="1" si="124"/>
        <v>8.8487644175310596</v>
      </c>
      <c r="E300" s="360">
        <f t="shared" ca="1" si="125"/>
        <v>27.483312783743052</v>
      </c>
      <c r="F300" s="357">
        <f t="shared" ca="1" si="126"/>
        <v>28.872705333688739</v>
      </c>
      <c r="G300" s="359">
        <f t="shared" ca="1" si="127"/>
        <v>40.412168016981482</v>
      </c>
      <c r="H300" s="360">
        <f t="shared" ca="1" si="128"/>
        <v>170.21987333654999</v>
      </c>
      <c r="I300" s="357">
        <f t="shared" ca="1" si="129"/>
        <v>174.95127493832067</v>
      </c>
      <c r="J300" s="359">
        <f t="shared" ca="1" si="130"/>
        <v>63.531521827923036</v>
      </c>
      <c r="K300" s="360">
        <f t="shared" ca="1" si="131"/>
        <v>288.80478519208827</v>
      </c>
      <c r="L300" s="357">
        <f t="shared" ca="1" si="116"/>
        <v>295.7100915011527</v>
      </c>
      <c r="M300" s="359">
        <f t="shared" ca="1" si="132"/>
        <v>1.3377002325636351</v>
      </c>
      <c r="N300" s="357">
        <f t="shared" ca="1" si="133"/>
        <v>76.644577579564981</v>
      </c>
      <c r="O300" s="343"/>
      <c r="P300" s="363">
        <f t="shared" ca="1" si="134"/>
        <v>7</v>
      </c>
      <c r="Q300" s="357">
        <f t="shared" ca="1" si="135"/>
        <v>420.06382978723798</v>
      </c>
      <c r="R300" s="359">
        <f t="shared" ca="1" si="136"/>
        <v>0.21081046467360912</v>
      </c>
      <c r="S300" s="360">
        <f t="shared" ca="1" si="137"/>
        <v>8.4429502032128525</v>
      </c>
      <c r="T300" s="357">
        <f t="shared" ca="1" si="117"/>
        <v>82.825341493518081</v>
      </c>
      <c r="U300" s="364">
        <f t="shared" ca="1" si="118"/>
        <v>0</v>
      </c>
      <c r="V300" s="359">
        <f t="shared" ca="1" si="119"/>
        <v>1.190125016913907</v>
      </c>
      <c r="W300" s="357">
        <f t="shared" ca="1" si="120"/>
        <v>96.757954634825467</v>
      </c>
      <c r="X300" s="343"/>
      <c r="Y300" s="367" t="str">
        <f t="shared" ca="1" si="138"/>
        <v/>
      </c>
      <c r="Z300" s="368" t="str">
        <f t="shared" ca="1" si="139"/>
        <v/>
      </c>
      <c r="AA300" s="369" t="str">
        <f t="shared" ca="1" si="140"/>
        <v/>
      </c>
      <c r="AB300" s="344"/>
      <c r="AC300" s="363" t="e">
        <f t="shared" ca="1" si="141"/>
        <v>#N/A</v>
      </c>
      <c r="AD300" s="376" t="e">
        <f t="shared" ca="1" si="142"/>
        <v>#N/A</v>
      </c>
      <c r="AE300" s="377">
        <f t="shared" ca="1" si="121"/>
        <v>288.80478519208827</v>
      </c>
      <c r="AF300" s="344"/>
      <c r="AG300" s="359">
        <f t="shared" ca="1" si="143"/>
        <v>28.783742940513054</v>
      </c>
      <c r="AH300" s="357">
        <f t="shared" ca="1" si="144"/>
        <v>38.328733478984887</v>
      </c>
    </row>
    <row r="301" spans="1:34" x14ac:dyDescent="0.2">
      <c r="A301" s="402">
        <f t="shared" ca="1" si="122"/>
        <v>0.01</v>
      </c>
      <c r="B301" s="357">
        <f t="shared" ca="1" si="123"/>
        <v>2.9699999999999807</v>
      </c>
      <c r="C301" s="342"/>
      <c r="D301" s="359">
        <f t="shared" ca="1" si="124"/>
        <v>8.7916396810243516</v>
      </c>
      <c r="E301" s="360">
        <f t="shared" ca="1" si="125"/>
        <v>27.22121773362187</v>
      </c>
      <c r="F301" s="357">
        <f t="shared" ca="1" si="126"/>
        <v>28.605727104588894</v>
      </c>
      <c r="G301" s="359">
        <f t="shared" ca="1" si="127"/>
        <v>40.500084413791726</v>
      </c>
      <c r="H301" s="360">
        <f t="shared" ca="1" si="128"/>
        <v>170.49208551388622</v>
      </c>
      <c r="I301" s="357">
        <f t="shared" ca="1" si="129"/>
        <v>175.23643474003501</v>
      </c>
      <c r="J301" s="359">
        <f t="shared" ca="1" si="130"/>
        <v>63.936083090076906</v>
      </c>
      <c r="K301" s="360">
        <f t="shared" ca="1" si="131"/>
        <v>290.50834498634043</v>
      </c>
      <c r="L301" s="357">
        <f t="shared" ca="1" si="116"/>
        <v>297.46078939518031</v>
      </c>
      <c r="M301" s="359">
        <f t="shared" ca="1" si="132"/>
        <v>1.3375709203226434</v>
      </c>
      <c r="N301" s="357">
        <f t="shared" ca="1" si="133"/>
        <v>76.637168533916778</v>
      </c>
      <c r="O301" s="343"/>
      <c r="P301" s="363">
        <f t="shared" ca="1" si="134"/>
        <v>7</v>
      </c>
      <c r="Q301" s="357">
        <f t="shared" ca="1" si="135"/>
        <v>418.02127659574865</v>
      </c>
      <c r="R301" s="359">
        <f t="shared" ca="1" si="136"/>
        <v>0.2097854023928683</v>
      </c>
      <c r="S301" s="360">
        <f t="shared" ca="1" si="137"/>
        <v>8.4408523491889245</v>
      </c>
      <c r="T301" s="357">
        <f t="shared" ca="1" si="117"/>
        <v>82.804761545543357</v>
      </c>
      <c r="U301" s="364">
        <f t="shared" ca="1" si="118"/>
        <v>0</v>
      </c>
      <c r="V301" s="359">
        <f t="shared" ca="1" si="119"/>
        <v>1.1899222467414228</v>
      </c>
      <c r="W301" s="357">
        <f t="shared" ca="1" si="120"/>
        <v>97.057091570002385</v>
      </c>
      <c r="X301" s="343"/>
      <c r="Y301" s="367" t="str">
        <f t="shared" ca="1" si="138"/>
        <v/>
      </c>
      <c r="Z301" s="368" t="str">
        <f t="shared" ca="1" si="139"/>
        <v/>
      </c>
      <c r="AA301" s="369" t="str">
        <f t="shared" ca="1" si="140"/>
        <v/>
      </c>
      <c r="AB301" s="344"/>
      <c r="AC301" s="363" t="e">
        <f t="shared" ca="1" si="141"/>
        <v>#N/A</v>
      </c>
      <c r="AD301" s="376" t="e">
        <f t="shared" ca="1" si="142"/>
        <v>#N/A</v>
      </c>
      <c r="AE301" s="377">
        <f t="shared" ca="1" si="121"/>
        <v>290.50834498634043</v>
      </c>
      <c r="AF301" s="344"/>
      <c r="AG301" s="359">
        <f t="shared" ca="1" si="143"/>
        <v>28.515833659268381</v>
      </c>
      <c r="AH301" s="357">
        <f t="shared" ca="1" si="144"/>
        <v>38.060530935811613</v>
      </c>
    </row>
    <row r="302" spans="1:34" x14ac:dyDescent="0.2">
      <c r="A302" s="402">
        <f t="shared" ca="1" si="122"/>
        <v>0.01</v>
      </c>
      <c r="B302" s="357">
        <f t="shared" ca="1" si="123"/>
        <v>2.9799999999999804</v>
      </c>
      <c r="C302" s="342"/>
      <c r="D302" s="359">
        <f t="shared" ca="1" si="124"/>
        <v>8.6481121108278014</v>
      </c>
      <c r="E302" s="360">
        <f t="shared" ca="1" si="125"/>
        <v>26.595718429338163</v>
      </c>
      <c r="F302" s="357">
        <f t="shared" ca="1" si="126"/>
        <v>27.966445642127713</v>
      </c>
      <c r="G302" s="359">
        <f t="shared" ca="1" si="127"/>
        <v>40.586565534900004</v>
      </c>
      <c r="H302" s="360">
        <f t="shared" ca="1" si="128"/>
        <v>170.75804269817959</v>
      </c>
      <c r="I302" s="357">
        <f t="shared" ca="1" si="129"/>
        <v>175.51518010711226</v>
      </c>
      <c r="J302" s="359">
        <f t="shared" ca="1" si="130"/>
        <v>64.341516339820359</v>
      </c>
      <c r="K302" s="360">
        <f t="shared" ca="1" si="131"/>
        <v>292.21459562740074</v>
      </c>
      <c r="L302" s="357">
        <f t="shared" ca="1" si="116"/>
        <v>299.21430551127179</v>
      </c>
      <c r="M302" s="359">
        <f t="shared" ca="1" si="132"/>
        <v>1.3374417431293193</v>
      </c>
      <c r="N302" s="357">
        <f t="shared" ca="1" si="133"/>
        <v>76.629767225929967</v>
      </c>
      <c r="O302" s="343"/>
      <c r="P302" s="363">
        <f t="shared" ca="1" si="134"/>
        <v>8</v>
      </c>
      <c r="Q302" s="357">
        <f t="shared" ca="1" si="135"/>
        <v>412.82608695653812</v>
      </c>
      <c r="R302" s="359">
        <f t="shared" ca="1" si="136"/>
        <v>0.20717817876577282</v>
      </c>
      <c r="S302" s="360">
        <f t="shared" ca="1" si="137"/>
        <v>8.4387805674012668</v>
      </c>
      <c r="T302" s="357">
        <f t="shared" ca="1" si="117"/>
        <v>82.784437366206433</v>
      </c>
      <c r="U302" s="364">
        <f t="shared" ca="1" si="118"/>
        <v>0</v>
      </c>
      <c r="V302" s="359">
        <f t="shared" ca="1" si="119"/>
        <v>1.189719190411016</v>
      </c>
      <c r="W302" s="357">
        <f t="shared" ca="1" si="120"/>
        <v>97.349495796334367</v>
      </c>
      <c r="X302" s="343"/>
      <c r="Y302" s="367" t="str">
        <f t="shared" ca="1" si="138"/>
        <v/>
      </c>
      <c r="Z302" s="368" t="str">
        <f t="shared" ca="1" si="139"/>
        <v/>
      </c>
      <c r="AA302" s="369" t="str">
        <f t="shared" ca="1" si="140"/>
        <v/>
      </c>
      <c r="AB302" s="344"/>
      <c r="AC302" s="363" t="e">
        <f t="shared" ca="1" si="141"/>
        <v>#N/A</v>
      </c>
      <c r="AD302" s="376" t="e">
        <f t="shared" ca="1" si="142"/>
        <v>#N/A</v>
      </c>
      <c r="AE302" s="377">
        <f t="shared" ca="1" si="121"/>
        <v>292.21459562740074</v>
      </c>
      <c r="AF302" s="344"/>
      <c r="AG302" s="359">
        <f t="shared" ca="1" si="143"/>
        <v>27.87439026885469</v>
      </c>
      <c r="AH302" s="357">
        <f t="shared" ca="1" si="144"/>
        <v>37.418794441265725</v>
      </c>
    </row>
    <row r="303" spans="1:34" x14ac:dyDescent="0.2">
      <c r="A303" s="402">
        <f t="shared" ca="1" si="122"/>
        <v>0.01</v>
      </c>
      <c r="B303" s="357">
        <f t="shared" ca="1" si="123"/>
        <v>2.9899999999999802</v>
      </c>
      <c r="C303" s="342"/>
      <c r="D303" s="359">
        <f t="shared" ca="1" si="124"/>
        <v>8.4180770570832752</v>
      </c>
      <c r="E303" s="360">
        <f t="shared" ca="1" si="125"/>
        <v>25.606999260849975</v>
      </c>
      <c r="F303" s="357">
        <f t="shared" ca="1" si="126"/>
        <v>26.955193052251786</v>
      </c>
      <c r="G303" s="359">
        <f t="shared" ca="1" si="127"/>
        <v>40.670746305470836</v>
      </c>
      <c r="H303" s="360">
        <f t="shared" ca="1" si="128"/>
        <v>171.0141126907881</v>
      </c>
      <c r="I303" s="357">
        <f t="shared" ca="1" si="129"/>
        <v>175.78377725052314</v>
      </c>
      <c r="J303" s="359">
        <f t="shared" ca="1" si="130"/>
        <v>64.747802899022219</v>
      </c>
      <c r="K303" s="360">
        <f t="shared" ca="1" si="131"/>
        <v>293.92345640434559</v>
      </c>
      <c r="L303" s="357">
        <f t="shared" ca="1" si="116"/>
        <v>300.97055703993351</v>
      </c>
      <c r="M303" s="359">
        <f t="shared" ca="1" si="132"/>
        <v>1.3373126931810762</v>
      </c>
      <c r="N303" s="357">
        <f t="shared" ca="1" si="133"/>
        <v>76.622373208549249</v>
      </c>
      <c r="O303" s="343"/>
      <c r="P303" s="363">
        <f t="shared" ca="1" si="134"/>
        <v>8</v>
      </c>
      <c r="Q303" s="357">
        <f t="shared" ca="1" si="135"/>
        <v>404.47826086958179</v>
      </c>
      <c r="R303" s="359">
        <f t="shared" ca="1" si="136"/>
        <v>0.20298879379231038</v>
      </c>
      <c r="S303" s="360">
        <f t="shared" ca="1" si="137"/>
        <v>8.4367506794633442</v>
      </c>
      <c r="T303" s="357">
        <f t="shared" ca="1" si="117"/>
        <v>82.764524165535406</v>
      </c>
      <c r="U303" s="364">
        <f t="shared" ca="1" si="118"/>
        <v>0</v>
      </c>
      <c r="V303" s="359">
        <f t="shared" ca="1" si="119"/>
        <v>1.1895158576784031</v>
      </c>
      <c r="W303" s="357">
        <f t="shared" ca="1" si="120"/>
        <v>97.630989810185255</v>
      </c>
      <c r="X303" s="343"/>
      <c r="Y303" s="367" t="str">
        <f t="shared" ca="1" si="138"/>
        <v/>
      </c>
      <c r="Z303" s="368" t="str">
        <f t="shared" ca="1" si="139"/>
        <v/>
      </c>
      <c r="AA303" s="369" t="str">
        <f t="shared" ca="1" si="140"/>
        <v/>
      </c>
      <c r="AB303" s="344"/>
      <c r="AC303" s="363" t="e">
        <f t="shared" ca="1" si="141"/>
        <v>#N/A</v>
      </c>
      <c r="AD303" s="376" t="e">
        <f t="shared" ca="1" si="142"/>
        <v>#N/A</v>
      </c>
      <c r="AE303" s="377">
        <f t="shared" ca="1" si="121"/>
        <v>293.92345640434559</v>
      </c>
      <c r="AF303" s="344"/>
      <c r="AG303" s="359">
        <f t="shared" ca="1" si="143"/>
        <v>26.859567966911083</v>
      </c>
      <c r="AH303" s="357">
        <f t="shared" ca="1" si="144"/>
        <v>36.403679181945876</v>
      </c>
    </row>
    <row r="304" spans="1:34" x14ac:dyDescent="0.2">
      <c r="A304" s="402">
        <f t="shared" ca="1" si="122"/>
        <v>0.01</v>
      </c>
      <c r="B304" s="357">
        <f t="shared" ca="1" si="123"/>
        <v>2.99999999999998</v>
      </c>
      <c r="C304" s="342"/>
      <c r="D304" s="359">
        <f t="shared" ca="1" si="124"/>
        <v>8.1879278898984786</v>
      </c>
      <c r="E304" s="360">
        <f t="shared" ca="1" si="125"/>
        <v>24.618953241971617</v>
      </c>
      <c r="F304" s="357">
        <f t="shared" ca="1" si="126"/>
        <v>25.944845766752248</v>
      </c>
      <c r="G304" s="359">
        <f t="shared" ca="1" si="127"/>
        <v>40.752625584369824</v>
      </c>
      <c r="H304" s="360">
        <f t="shared" ca="1" si="128"/>
        <v>171.26030222320782</v>
      </c>
      <c r="I304" s="357">
        <f t="shared" ca="1" si="129"/>
        <v>176.04223246029437</v>
      </c>
      <c r="J304" s="359">
        <f t="shared" ca="1" si="130"/>
        <v>65.154919758471422</v>
      </c>
      <c r="K304" s="360">
        <f t="shared" ca="1" si="131"/>
        <v>295.63482847891555</v>
      </c>
      <c r="L304" s="357">
        <f t="shared" ca="1" si="116"/>
        <v>302.72944253655055</v>
      </c>
      <c r="M304" s="359">
        <f t="shared" ca="1" si="132"/>
        <v>1.3371837627334187</v>
      </c>
      <c r="N304" s="357">
        <f t="shared" ca="1" si="133"/>
        <v>76.614986038047746</v>
      </c>
      <c r="O304" s="343"/>
      <c r="P304" s="363">
        <f t="shared" ca="1" si="134"/>
        <v>8</v>
      </c>
      <c r="Q304" s="357">
        <f t="shared" ca="1" si="135"/>
        <v>396.13043478262546</v>
      </c>
      <c r="R304" s="359">
        <f t="shared" ca="1" si="136"/>
        <v>0.19879940881884794</v>
      </c>
      <c r="S304" s="360">
        <f t="shared" ca="1" si="137"/>
        <v>8.4347626853751549</v>
      </c>
      <c r="T304" s="357">
        <f t="shared" ca="1" si="117"/>
        <v>82.745021943530276</v>
      </c>
      <c r="U304" s="364">
        <f t="shared" ca="1" si="118"/>
        <v>0</v>
      </c>
      <c r="V304" s="359">
        <f t="shared" ca="1" si="119"/>
        <v>1.1893122604493753</v>
      </c>
      <c r="W304" s="357">
        <f t="shared" ca="1" si="120"/>
        <v>97.901535243804645</v>
      </c>
      <c r="X304" s="343"/>
      <c r="Y304" s="367" t="str">
        <f t="shared" ca="1" si="138"/>
        <v/>
      </c>
      <c r="Z304" s="368" t="str">
        <f t="shared" ca="1" si="139"/>
        <v/>
      </c>
      <c r="AA304" s="369" t="str">
        <f t="shared" ca="1" si="140"/>
        <v/>
      </c>
      <c r="AB304" s="344"/>
      <c r="AC304" s="363">
        <f t="shared" ca="1" si="141"/>
        <v>2.99999999999998</v>
      </c>
      <c r="AD304" s="376">
        <f t="shared" ca="1" si="142"/>
        <v>65.154919758471422</v>
      </c>
      <c r="AE304" s="377">
        <f t="shared" ca="1" si="121"/>
        <v>295.63482847891555</v>
      </c>
      <c r="AF304" s="344"/>
      <c r="AG304" s="359">
        <f t="shared" ca="1" si="143"/>
        <v>25.845374659087355</v>
      </c>
      <c r="AH304" s="357">
        <f t="shared" ca="1" si="144"/>
        <v>35.389193046296569</v>
      </c>
    </row>
    <row r="305" spans="1:34" x14ac:dyDescent="0.2">
      <c r="A305" s="402">
        <f t="shared" ca="1" si="122"/>
        <v>0.01</v>
      </c>
      <c r="B305" s="357">
        <f t="shared" ca="1" si="123"/>
        <v>3.0099999999999798</v>
      </c>
      <c r="C305" s="342"/>
      <c r="D305" s="359">
        <f t="shared" ca="1" si="124"/>
        <v>7.9576701504211123</v>
      </c>
      <c r="E305" s="360">
        <f t="shared" ca="1" si="125"/>
        <v>23.631599784344139</v>
      </c>
      <c r="F305" s="357">
        <f t="shared" ca="1" si="126"/>
        <v>24.935457136180943</v>
      </c>
      <c r="G305" s="359">
        <f t="shared" ca="1" si="127"/>
        <v>40.832202285874033</v>
      </c>
      <c r="H305" s="360">
        <f t="shared" ca="1" si="128"/>
        <v>171.49661822105125</v>
      </c>
      <c r="I305" s="357">
        <f t="shared" ca="1" si="129"/>
        <v>176.29055222776842</v>
      </c>
      <c r="J305" s="359">
        <f t="shared" ca="1" si="130"/>
        <v>65.562843897822646</v>
      </c>
      <c r="K305" s="360">
        <f t="shared" ca="1" si="131"/>
        <v>297.34861308113682</v>
      </c>
      <c r="L305" s="357">
        <f t="shared" ca="1" si="116"/>
        <v>304.49086062022593</v>
      </c>
      <c r="M305" s="359">
        <f t="shared" ca="1" si="132"/>
        <v>1.3370549440970836</v>
      </c>
      <c r="N305" s="357">
        <f t="shared" ca="1" si="133"/>
        <v>76.607605273863115</v>
      </c>
      <c r="O305" s="343"/>
      <c r="P305" s="363">
        <f t="shared" ca="1" si="134"/>
        <v>8</v>
      </c>
      <c r="Q305" s="357">
        <f t="shared" ca="1" si="135"/>
        <v>387.78260869566913</v>
      </c>
      <c r="R305" s="359">
        <f t="shared" ca="1" si="136"/>
        <v>0.1946100238453855</v>
      </c>
      <c r="S305" s="360">
        <f t="shared" ca="1" si="137"/>
        <v>8.4328165851367007</v>
      </c>
      <c r="T305" s="357">
        <f t="shared" ca="1" si="117"/>
        <v>82.725930700191043</v>
      </c>
      <c r="U305" s="364">
        <f t="shared" ca="1" si="118"/>
        <v>0</v>
      </c>
      <c r="V305" s="359">
        <f t="shared" ca="1" si="119"/>
        <v>1.1891084106138239</v>
      </c>
      <c r="W305" s="357">
        <f t="shared" ca="1" si="120"/>
        <v>98.161096000214499</v>
      </c>
      <c r="X305" s="343"/>
      <c r="Y305" s="367" t="str">
        <f t="shared" ca="1" si="138"/>
        <v/>
      </c>
      <c r="Z305" s="368" t="str">
        <f t="shared" ca="1" si="139"/>
        <v/>
      </c>
      <c r="AA305" s="369" t="str">
        <f t="shared" ca="1" si="140"/>
        <v/>
      </c>
      <c r="AB305" s="344"/>
      <c r="AC305" s="363" t="e">
        <f t="shared" ca="1" si="141"/>
        <v>#N/A</v>
      </c>
      <c r="AD305" s="376" t="e">
        <f t="shared" ca="1" si="142"/>
        <v>#N/A</v>
      </c>
      <c r="AE305" s="377">
        <f t="shared" ca="1" si="121"/>
        <v>297.34861308113682</v>
      </c>
      <c r="AF305" s="344"/>
      <c r="AG305" s="359">
        <f t="shared" ca="1" si="143"/>
        <v>24.831830477011597</v>
      </c>
      <c r="AH305" s="357">
        <f t="shared" ca="1" si="144"/>
        <v>34.375356148833561</v>
      </c>
    </row>
    <row r="306" spans="1:34" x14ac:dyDescent="0.2">
      <c r="A306" s="402">
        <f t="shared" ca="1" si="122"/>
        <v>0.01</v>
      </c>
      <c r="B306" s="357">
        <f t="shared" ca="1" si="123"/>
        <v>3.0199999999999796</v>
      </c>
      <c r="C306" s="342"/>
      <c r="D306" s="359">
        <f t="shared" ca="1" si="124"/>
        <v>7.7273092944842627</v>
      </c>
      <c r="E306" s="360">
        <f t="shared" ca="1" si="125"/>
        <v>22.644958042040415</v>
      </c>
      <c r="F306" s="357">
        <f t="shared" ca="1" si="126"/>
        <v>23.927085774460576</v>
      </c>
      <c r="G306" s="359">
        <f t="shared" ca="1" si="127"/>
        <v>40.909475378818875</v>
      </c>
      <c r="H306" s="360">
        <f t="shared" ca="1" si="128"/>
        <v>171.72306780147164</v>
      </c>
      <c r="I306" s="357">
        <f t="shared" ca="1" si="129"/>
        <v>176.52874324290369</v>
      </c>
      <c r="J306" s="359">
        <f t="shared" ca="1" si="130"/>
        <v>65.971552286146107</v>
      </c>
      <c r="K306" s="360">
        <f t="shared" ca="1" si="131"/>
        <v>299.06471151124941</v>
      </c>
      <c r="L306" s="357">
        <f t="shared" ca="1" si="116"/>
        <v>306.25470997578236</v>
      </c>
      <c r="M306" s="359">
        <f t="shared" ca="1" si="132"/>
        <v>1.336926229635232</v>
      </c>
      <c r="N306" s="357">
        <f t="shared" ca="1" si="133"/>
        <v>76.600230478436714</v>
      </c>
      <c r="O306" s="343"/>
      <c r="P306" s="363">
        <f t="shared" ca="1" si="134"/>
        <v>8</v>
      </c>
      <c r="Q306" s="357">
        <f t="shared" ca="1" si="135"/>
        <v>379.43478260871274</v>
      </c>
      <c r="R306" s="359">
        <f t="shared" ca="1" si="136"/>
        <v>0.19042063887192304</v>
      </c>
      <c r="S306" s="360">
        <f t="shared" ca="1" si="137"/>
        <v>8.4309123787479816</v>
      </c>
      <c r="T306" s="357">
        <f t="shared" ca="1" si="117"/>
        <v>82.707250435517707</v>
      </c>
      <c r="U306" s="364">
        <f t="shared" ca="1" si="118"/>
        <v>0</v>
      </c>
      <c r="V306" s="359">
        <f t="shared" ca="1" si="119"/>
        <v>1.1889043200454921</v>
      </c>
      <c r="W306" s="357">
        <f t="shared" ca="1" si="120"/>
        <v>98.409638244757147</v>
      </c>
      <c r="X306" s="343"/>
      <c r="Y306" s="367" t="str">
        <f t="shared" ca="1" si="138"/>
        <v/>
      </c>
      <c r="Z306" s="368" t="str">
        <f t="shared" ca="1" si="139"/>
        <v/>
      </c>
      <c r="AA306" s="369" t="str">
        <f t="shared" ca="1" si="140"/>
        <v/>
      </c>
      <c r="AB306" s="344"/>
      <c r="AC306" s="363" t="e">
        <f t="shared" ca="1" si="141"/>
        <v>#N/A</v>
      </c>
      <c r="AD306" s="376" t="e">
        <f t="shared" ca="1" si="142"/>
        <v>#N/A</v>
      </c>
      <c r="AE306" s="377">
        <f t="shared" ca="1" si="121"/>
        <v>299.06471151124941</v>
      </c>
      <c r="AF306" s="344"/>
      <c r="AG306" s="359">
        <f t="shared" ca="1" si="143"/>
        <v>23.818955282301346</v>
      </c>
      <c r="AH306" s="357">
        <f t="shared" ca="1" si="144"/>
        <v>33.362188334148989</v>
      </c>
    </row>
    <row r="307" spans="1:34" x14ac:dyDescent="0.2">
      <c r="A307" s="402">
        <f t="shared" ca="1" si="122"/>
        <v>0.01</v>
      </c>
      <c r="B307" s="357">
        <f t="shared" ca="1" si="123"/>
        <v>3.0299999999999794</v>
      </c>
      <c r="C307" s="342"/>
      <c r="D307" s="359">
        <f t="shared" ca="1" si="124"/>
        <v>7.4968506927606802</v>
      </c>
      <c r="E307" s="360">
        <f t="shared" ca="1" si="125"/>
        <v>21.659046911244474</v>
      </c>
      <c r="F307" s="357">
        <f t="shared" ca="1" si="126"/>
        <v>22.919796757672941</v>
      </c>
      <c r="G307" s="359">
        <f t="shared" ca="1" si="127"/>
        <v>40.984443885746479</v>
      </c>
      <c r="H307" s="360">
        <f t="shared" ca="1" si="128"/>
        <v>171.93965827058409</v>
      </c>
      <c r="I307" s="357">
        <f t="shared" ca="1" si="129"/>
        <v>176.75681239157132</v>
      </c>
      <c r="J307" s="359">
        <f t="shared" ca="1" si="130"/>
        <v>66.381021882468929</v>
      </c>
      <c r="K307" s="360">
        <f t="shared" ca="1" si="131"/>
        <v>300.7830251416097</v>
      </c>
      <c r="L307" s="357">
        <f t="shared" ca="1" si="116"/>
        <v>308.02088935573676</v>
      </c>
      <c r="M307" s="359">
        <f t="shared" ca="1" si="132"/>
        <v>1.3367976117606901</v>
      </c>
      <c r="N307" s="357">
        <f t="shared" ca="1" si="133"/>
        <v>76.592861217055528</v>
      </c>
      <c r="O307" s="343"/>
      <c r="P307" s="363">
        <f t="shared" ca="1" si="134"/>
        <v>8</v>
      </c>
      <c r="Q307" s="357">
        <f t="shared" ca="1" si="135"/>
        <v>371.08695652175641</v>
      </c>
      <c r="R307" s="359">
        <f t="shared" ca="1" si="136"/>
        <v>0.1862312538984606</v>
      </c>
      <c r="S307" s="360">
        <f t="shared" ca="1" si="137"/>
        <v>8.4290500662089975</v>
      </c>
      <c r="T307" s="357">
        <f t="shared" ca="1" si="117"/>
        <v>82.688981149510269</v>
      </c>
      <c r="U307" s="364">
        <f t="shared" ca="1" si="118"/>
        <v>0</v>
      </c>
      <c r="V307" s="359">
        <f t="shared" ca="1" si="119"/>
        <v>1.1887000006017354</v>
      </c>
      <c r="W307" s="357">
        <f t="shared" ca="1" si="120"/>
        <v>98.647130396418746</v>
      </c>
      <c r="X307" s="343"/>
      <c r="Y307" s="367" t="str">
        <f t="shared" ca="1" si="138"/>
        <v/>
      </c>
      <c r="Z307" s="368" t="str">
        <f t="shared" ca="1" si="139"/>
        <v/>
      </c>
      <c r="AA307" s="369" t="str">
        <f t="shared" ca="1" si="140"/>
        <v/>
      </c>
      <c r="AB307" s="344"/>
      <c r="AC307" s="363" t="e">
        <f t="shared" ca="1" si="141"/>
        <v>#N/A</v>
      </c>
      <c r="AD307" s="376" t="e">
        <f t="shared" ca="1" si="142"/>
        <v>#N/A</v>
      </c>
      <c r="AE307" s="377">
        <f t="shared" ca="1" si="121"/>
        <v>300.7830251416097</v>
      </c>
      <c r="AF307" s="344"/>
      <c r="AG307" s="359">
        <f t="shared" ca="1" si="143"/>
        <v>22.806768666274451</v>
      </c>
      <c r="AH307" s="357">
        <f t="shared" ca="1" si="144"/>
        <v>32.34970917661628</v>
      </c>
    </row>
    <row r="308" spans="1:34" x14ac:dyDescent="0.2">
      <c r="A308" s="402">
        <f t="shared" ca="1" si="122"/>
        <v>0.01</v>
      </c>
      <c r="B308" s="357">
        <f t="shared" ca="1" si="123"/>
        <v>3.0399999999999792</v>
      </c>
      <c r="C308" s="342"/>
      <c r="D308" s="359">
        <f t="shared" ca="1" si="124"/>
        <v>7.2662996309122612</v>
      </c>
      <c r="E308" s="360">
        <f t="shared" ca="1" si="125"/>
        <v>20.67388502997909</v>
      </c>
      <c r="F308" s="357">
        <f t="shared" ca="1" si="126"/>
        <v>21.913663147885366</v>
      </c>
      <c r="G308" s="359">
        <f t="shared" ca="1" si="127"/>
        <v>41.057106882055599</v>
      </c>
      <c r="H308" s="360">
        <f t="shared" ca="1" si="128"/>
        <v>172.14639712088388</v>
      </c>
      <c r="I308" s="357">
        <f t="shared" ca="1" si="129"/>
        <v>176.9747667528498</v>
      </c>
      <c r="J308" s="359">
        <f t="shared" ca="1" si="130"/>
        <v>66.791229636307932</v>
      </c>
      <c r="K308" s="360">
        <f t="shared" ca="1" si="131"/>
        <v>302.50345541856706</v>
      </c>
      <c r="L308" s="357">
        <f t="shared" ca="1" si="116"/>
        <v>309.78929758224865</v>
      </c>
      <c r="M308" s="359">
        <f t="shared" ca="1" si="132"/>
        <v>1.3366690829332359</v>
      </c>
      <c r="N308" s="357">
        <f t="shared" ca="1" si="133"/>
        <v>76.585497057696642</v>
      </c>
      <c r="O308" s="343"/>
      <c r="P308" s="363">
        <f t="shared" ca="1" si="134"/>
        <v>8</v>
      </c>
      <c r="Q308" s="357">
        <f t="shared" ca="1" si="135"/>
        <v>362.73913043480007</v>
      </c>
      <c r="R308" s="359">
        <f t="shared" ca="1" si="136"/>
        <v>0.18204186892499816</v>
      </c>
      <c r="S308" s="360">
        <f t="shared" ca="1" si="137"/>
        <v>8.4272296475197468</v>
      </c>
      <c r="T308" s="357">
        <f t="shared" ca="1" si="117"/>
        <v>82.671122842168714</v>
      </c>
      <c r="U308" s="364">
        <f t="shared" ca="1" si="118"/>
        <v>0</v>
      </c>
      <c r="V308" s="359">
        <f t="shared" ca="1" si="119"/>
        <v>1.1884954641232837</v>
      </c>
      <c r="W308" s="357">
        <f t="shared" ca="1" si="120"/>
        <v>98.873543118933796</v>
      </c>
      <c r="X308" s="343"/>
      <c r="Y308" s="367" t="str">
        <f t="shared" ca="1" si="138"/>
        <v/>
      </c>
      <c r="Z308" s="368" t="str">
        <f t="shared" ca="1" si="139"/>
        <v/>
      </c>
      <c r="AA308" s="369" t="str">
        <f t="shared" ca="1" si="140"/>
        <v/>
      </c>
      <c r="AB308" s="344"/>
      <c r="AC308" s="363" t="e">
        <f t="shared" ca="1" si="141"/>
        <v>#N/A</v>
      </c>
      <c r="AD308" s="376" t="e">
        <f t="shared" ca="1" si="142"/>
        <v>#N/A</v>
      </c>
      <c r="AE308" s="377">
        <f t="shared" ca="1" si="121"/>
        <v>302.50345541856706</v>
      </c>
      <c r="AF308" s="344"/>
      <c r="AG308" s="359">
        <f t="shared" ca="1" si="143"/>
        <v>21.795289949706053</v>
      </c>
      <c r="AH308" s="357">
        <f t="shared" ca="1" si="144"/>
        <v>31.337937980141241</v>
      </c>
    </row>
    <row r="309" spans="1:34" x14ac:dyDescent="0.2">
      <c r="A309" s="402">
        <f t="shared" ca="1" si="122"/>
        <v>0.01</v>
      </c>
      <c r="B309" s="357">
        <f t="shared" ca="1" si="123"/>
        <v>3.049999999999979</v>
      </c>
      <c r="C309" s="342"/>
      <c r="D309" s="359">
        <f t="shared" ca="1" si="124"/>
        <v>7.0356613097350804</v>
      </c>
      <c r="E309" s="360">
        <f t="shared" ca="1" si="125"/>
        <v>19.689490777881467</v>
      </c>
      <c r="F309" s="357">
        <f t="shared" ca="1" si="126"/>
        <v>20.90876794929779</v>
      </c>
      <c r="G309" s="359">
        <f t="shared" ca="1" si="127"/>
        <v>41.127463495152952</v>
      </c>
      <c r="H309" s="360">
        <f t="shared" ca="1" si="128"/>
        <v>172.34329202866269</v>
      </c>
      <c r="I309" s="357">
        <f t="shared" ca="1" si="129"/>
        <v>177.18261359631776</v>
      </c>
      <c r="J309" s="359">
        <f t="shared" ca="1" si="130"/>
        <v>67.202152488193974</v>
      </c>
      <c r="K309" s="360">
        <f t="shared" ca="1" si="131"/>
        <v>304.22590386431477</v>
      </c>
      <c r="L309" s="357">
        <f t="shared" ca="1" si="116"/>
        <v>311.55983354904043</v>
      </c>
      <c r="M309" s="359">
        <f t="shared" ca="1" si="132"/>
        <v>1.3365406356569292</v>
      </c>
      <c r="N309" s="357">
        <f t="shared" ca="1" si="133"/>
        <v>76.578137570874304</v>
      </c>
      <c r="O309" s="343"/>
      <c r="P309" s="363">
        <f t="shared" ca="1" si="134"/>
        <v>8</v>
      </c>
      <c r="Q309" s="357">
        <f t="shared" ca="1" si="135"/>
        <v>354.39130434784374</v>
      </c>
      <c r="R309" s="359">
        <f t="shared" ca="1" si="136"/>
        <v>0.17785248395153572</v>
      </c>
      <c r="S309" s="360">
        <f t="shared" ca="1" si="137"/>
        <v>8.4254511226802311</v>
      </c>
      <c r="T309" s="357">
        <f t="shared" ca="1" si="117"/>
        <v>82.65367551349307</v>
      </c>
      <c r="U309" s="364">
        <f t="shared" ca="1" si="118"/>
        <v>0</v>
      </c>
      <c r="V309" s="359">
        <f t="shared" ca="1" si="119"/>
        <v>1.1882907224340076</v>
      </c>
      <c r="W309" s="357">
        <f t="shared" ca="1" si="120"/>
        <v>99.08884931167627</v>
      </c>
      <c r="X309" s="343"/>
      <c r="Y309" s="367" t="str">
        <f t="shared" ca="1" si="138"/>
        <v/>
      </c>
      <c r="Z309" s="368" t="str">
        <f t="shared" ca="1" si="139"/>
        <v/>
      </c>
      <c r="AA309" s="369" t="str">
        <f t="shared" ca="1" si="140"/>
        <v/>
      </c>
      <c r="AB309" s="344"/>
      <c r="AC309" s="363" t="e">
        <f t="shared" ca="1" si="141"/>
        <v>#N/A</v>
      </c>
      <c r="AD309" s="376" t="e">
        <f t="shared" ca="1" si="142"/>
        <v>#N/A</v>
      </c>
      <c r="AE309" s="377">
        <f t="shared" ca="1" si="121"/>
        <v>304.22590386431477</v>
      </c>
      <c r="AF309" s="344"/>
      <c r="AG309" s="359">
        <f t="shared" ca="1" si="143"/>
        <v>20.78453818263144</v>
      </c>
      <c r="AH309" s="357">
        <f t="shared" ca="1" si="144"/>
        <v>30.326893777959139</v>
      </c>
    </row>
    <row r="310" spans="1:34" x14ac:dyDescent="0.2">
      <c r="A310" s="402">
        <f t="shared" ca="1" si="122"/>
        <v>0.01</v>
      </c>
      <c r="B310" s="357">
        <f t="shared" ca="1" si="123"/>
        <v>3.0599999999999787</v>
      </c>
      <c r="C310" s="342"/>
      <c r="D310" s="359">
        <f t="shared" ca="1" si="124"/>
        <v>6.8049408453001643</v>
      </c>
      <c r="E310" s="360">
        <f t="shared" ca="1" si="125"/>
        <v>18.705882276026067</v>
      </c>
      <c r="F310" s="357">
        <f t="shared" ca="1" si="126"/>
        <v>19.905206646316955</v>
      </c>
      <c r="G310" s="359">
        <f t="shared" ca="1" si="127"/>
        <v>41.195512903605952</v>
      </c>
      <c r="H310" s="360">
        <f t="shared" ca="1" si="128"/>
        <v>172.53035085142295</v>
      </c>
      <c r="I310" s="357">
        <f t="shared" ca="1" si="129"/>
        <v>177.38036037934489</v>
      </c>
      <c r="J310" s="359">
        <f t="shared" ca="1" si="130"/>
        <v>67.613767370187773</v>
      </c>
      <c r="K310" s="360">
        <f t="shared" ca="1" si="131"/>
        <v>305.95027207871522</v>
      </c>
      <c r="L310" s="357">
        <f t="shared" ca="1" si="116"/>
        <v>313.33239622329148</v>
      </c>
      <c r="M310" s="359">
        <f t="shared" ca="1" si="132"/>
        <v>1.3364122624774817</v>
      </c>
      <c r="N310" s="357">
        <f t="shared" ca="1" si="133"/>
        <v>76.57078232948929</v>
      </c>
      <c r="O310" s="343"/>
      <c r="P310" s="363">
        <f t="shared" ca="1" si="134"/>
        <v>8</v>
      </c>
      <c r="Q310" s="357">
        <f t="shared" ca="1" si="135"/>
        <v>346.04347826088735</v>
      </c>
      <c r="R310" s="359">
        <f t="shared" ca="1" si="136"/>
        <v>0.17366309897807322</v>
      </c>
      <c r="S310" s="360">
        <f t="shared" ca="1" si="137"/>
        <v>8.4237144916904505</v>
      </c>
      <c r="T310" s="357">
        <f t="shared" ca="1" si="117"/>
        <v>82.636639163483324</v>
      </c>
      <c r="U310" s="364">
        <f t="shared" ca="1" si="118"/>
        <v>0</v>
      </c>
      <c r="V310" s="359">
        <f t="shared" ca="1" si="119"/>
        <v>1.1880857873406916</v>
      </c>
      <c r="W310" s="357">
        <f t="shared" ca="1" si="120"/>
        <v>99.293024100342919</v>
      </c>
      <c r="X310" s="343"/>
      <c r="Y310" s="367" t="str">
        <f t="shared" ca="1" si="138"/>
        <v/>
      </c>
      <c r="Z310" s="368" t="str">
        <f t="shared" ca="1" si="139"/>
        <v/>
      </c>
      <c r="AA310" s="369" t="str">
        <f t="shared" ca="1" si="140"/>
        <v/>
      </c>
      <c r="AB310" s="344"/>
      <c r="AC310" s="363" t="e">
        <f t="shared" ca="1" si="141"/>
        <v>#N/A</v>
      </c>
      <c r="AD310" s="376" t="e">
        <f t="shared" ca="1" si="142"/>
        <v>#N/A</v>
      </c>
      <c r="AE310" s="377">
        <f t="shared" ca="1" si="121"/>
        <v>305.95027207871522</v>
      </c>
      <c r="AF310" s="344"/>
      <c r="AG310" s="359">
        <f t="shared" ca="1" si="143"/>
        <v>19.774532144194072</v>
      </c>
      <c r="AH310" s="357">
        <f t="shared" ca="1" si="144"/>
        <v>29.316595332476997</v>
      </c>
    </row>
    <row r="311" spans="1:34" x14ac:dyDescent="0.2">
      <c r="A311" s="402">
        <f t="shared" ca="1" si="122"/>
        <v>0.01</v>
      </c>
      <c r="B311" s="357">
        <f t="shared" ca="1" si="123"/>
        <v>3.0699999999999785</v>
      </c>
      <c r="C311" s="342"/>
      <c r="D311" s="359">
        <f t="shared" ca="1" si="124"/>
        <v>6.5741432690902277</v>
      </c>
      <c r="E311" s="360">
        <f t="shared" ca="1" si="125"/>
        <v>17.723077386794088</v>
      </c>
      <c r="F311" s="357">
        <f t="shared" ca="1" si="126"/>
        <v>18.903090535169543</v>
      </c>
      <c r="G311" s="359">
        <f t="shared" ca="1" si="127"/>
        <v>41.261254336296851</v>
      </c>
      <c r="H311" s="360">
        <f t="shared" ca="1" si="128"/>
        <v>172.70758162529089</v>
      </c>
      <c r="I311" s="357">
        <f t="shared" ca="1" si="129"/>
        <v>177.56801474438208</v>
      </c>
      <c r="J311" s="359">
        <f t="shared" ca="1" si="130"/>
        <v>68.026051206387294</v>
      </c>
      <c r="K311" s="360">
        <f t="shared" ca="1" si="131"/>
        <v>307.67646174109876</v>
      </c>
      <c r="L311" s="357">
        <f t="shared" ca="1" si="116"/>
        <v>315.10688464750473</v>
      </c>
      <c r="M311" s="359">
        <f t="shared" ca="1" si="132"/>
        <v>1.3362839559796678</v>
      </c>
      <c r="N311" s="357">
        <f t="shared" ca="1" si="133"/>
        <v>76.563430908680445</v>
      </c>
      <c r="O311" s="343"/>
      <c r="P311" s="363">
        <f t="shared" ca="1" si="134"/>
        <v>8</v>
      </c>
      <c r="Q311" s="357">
        <f t="shared" ca="1" si="135"/>
        <v>337.69565217393102</v>
      </c>
      <c r="R311" s="359">
        <f t="shared" ca="1" si="136"/>
        <v>0.16947371400461078</v>
      </c>
      <c r="S311" s="360">
        <f t="shared" ca="1" si="137"/>
        <v>8.422019754550405</v>
      </c>
      <c r="T311" s="357">
        <f t="shared" ca="1" si="117"/>
        <v>82.620013792139474</v>
      </c>
      <c r="U311" s="364">
        <f t="shared" ca="1" si="118"/>
        <v>0</v>
      </c>
      <c r="V311" s="359">
        <f t="shared" ca="1" si="119"/>
        <v>1.1878806706328104</v>
      </c>
      <c r="W311" s="357">
        <f t="shared" ca="1" si="120"/>
        <v>99.486044827434114</v>
      </c>
      <c r="X311" s="343"/>
      <c r="Y311" s="367" t="str">
        <f t="shared" ca="1" si="138"/>
        <v/>
      </c>
      <c r="Z311" s="368" t="str">
        <f t="shared" ca="1" si="139"/>
        <v/>
      </c>
      <c r="AA311" s="369" t="str">
        <f t="shared" ca="1" si="140"/>
        <v/>
      </c>
      <c r="AB311" s="344"/>
      <c r="AC311" s="363" t="e">
        <f t="shared" ca="1" si="141"/>
        <v>#N/A</v>
      </c>
      <c r="AD311" s="376" t="e">
        <f t="shared" ca="1" si="142"/>
        <v>#N/A</v>
      </c>
      <c r="AE311" s="377">
        <f t="shared" ca="1" si="121"/>
        <v>307.67646174109876</v>
      </c>
      <c r="AF311" s="344"/>
      <c r="AG311" s="359">
        <f t="shared" ca="1" si="143"/>
        <v>18.765290342538201</v>
      </c>
      <c r="AH311" s="357">
        <f t="shared" ca="1" si="144"/>
        <v>28.307061135160545</v>
      </c>
    </row>
    <row r="312" spans="1:34" x14ac:dyDescent="0.2">
      <c r="A312" s="402">
        <f t="shared" ca="1" si="122"/>
        <v>0.01</v>
      </c>
      <c r="B312" s="357">
        <f t="shared" ca="1" si="123"/>
        <v>3.0799999999999783</v>
      </c>
      <c r="C312" s="342"/>
      <c r="D312" s="359">
        <f t="shared" ca="1" si="124"/>
        <v>6.3432735281325536</v>
      </c>
      <c r="E312" s="360">
        <f t="shared" ca="1" si="125"/>
        <v>16.741093713788985</v>
      </c>
      <c r="F312" s="357">
        <f t="shared" ca="1" si="126"/>
        <v>17.902551153022081</v>
      </c>
      <c r="G312" s="359">
        <f t="shared" ca="1" si="127"/>
        <v>41.324687071578175</v>
      </c>
      <c r="H312" s="360">
        <f t="shared" ca="1" si="128"/>
        <v>172.87499256242879</v>
      </c>
      <c r="I312" s="357">
        <f t="shared" ca="1" si="129"/>
        <v>177.74558451625083</v>
      </c>
      <c r="J312" s="359">
        <f t="shared" ca="1" si="130"/>
        <v>68.438980913426676</v>
      </c>
      <c r="K312" s="360">
        <f t="shared" ca="1" si="131"/>
        <v>309.40437461203737</v>
      </c>
      <c r="L312" s="357">
        <f t="shared" ca="1" si="116"/>
        <v>316.88319794134611</v>
      </c>
      <c r="M312" s="359">
        <f t="shared" ca="1" si="132"/>
        <v>1.3361557087847684</v>
      </c>
      <c r="N312" s="357">
        <f t="shared" ca="1" si="133"/>
        <v>76.556082885678322</v>
      </c>
      <c r="O312" s="343"/>
      <c r="P312" s="363">
        <f t="shared" ca="1" si="134"/>
        <v>8</v>
      </c>
      <c r="Q312" s="357">
        <f t="shared" ca="1" si="135"/>
        <v>329.34782608697469</v>
      </c>
      <c r="R312" s="359">
        <f t="shared" ca="1" si="136"/>
        <v>0.16528432903114834</v>
      </c>
      <c r="S312" s="360">
        <f t="shared" ca="1" si="137"/>
        <v>8.4203669112600927</v>
      </c>
      <c r="T312" s="357">
        <f t="shared" ca="1" si="117"/>
        <v>82.603799399461508</v>
      </c>
      <c r="U312" s="364">
        <f t="shared" ca="1" si="118"/>
        <v>0</v>
      </c>
      <c r="V312" s="359">
        <f t="shared" ca="1" si="119"/>
        <v>1.187675384082308</v>
      </c>
      <c r="W312" s="357">
        <f t="shared" ca="1" si="120"/>
        <v>99.667891042537889</v>
      </c>
      <c r="X312" s="343"/>
      <c r="Y312" s="367" t="str">
        <f t="shared" ca="1" si="138"/>
        <v/>
      </c>
      <c r="Z312" s="368" t="str">
        <f t="shared" ca="1" si="139"/>
        <v/>
      </c>
      <c r="AA312" s="369" t="str">
        <f t="shared" ca="1" si="140"/>
        <v/>
      </c>
      <c r="AB312" s="344"/>
      <c r="AC312" s="363" t="e">
        <f t="shared" ca="1" si="141"/>
        <v>#N/A</v>
      </c>
      <c r="AD312" s="376" t="e">
        <f t="shared" ca="1" si="142"/>
        <v>#N/A</v>
      </c>
      <c r="AE312" s="377">
        <f t="shared" ca="1" si="121"/>
        <v>309.40437461203737</v>
      </c>
      <c r="AF312" s="344"/>
      <c r="AG312" s="359">
        <f t="shared" ca="1" si="143"/>
        <v>17.756831014745508</v>
      </c>
      <c r="AH312" s="357">
        <f t="shared" ca="1" si="144"/>
        <v>27.298309406465304</v>
      </c>
    </row>
    <row r="313" spans="1:34" x14ac:dyDescent="0.2">
      <c r="A313" s="402">
        <f t="shared" ca="1" si="122"/>
        <v>0.01</v>
      </c>
      <c r="B313" s="357">
        <f t="shared" ca="1" si="123"/>
        <v>3.0899999999999781</v>
      </c>
      <c r="C313" s="342"/>
      <c r="D313" s="359">
        <f t="shared" ca="1" si="124"/>
        <v>6.1123364851282638</v>
      </c>
      <c r="E313" s="360">
        <f t="shared" ca="1" si="125"/>
        <v>15.759948601797293</v>
      </c>
      <c r="F313" s="357">
        <f t="shared" ca="1" si="126"/>
        <v>16.90374624864922</v>
      </c>
      <c r="G313" s="359">
        <f t="shared" ca="1" si="127"/>
        <v>41.385810436429459</v>
      </c>
      <c r="H313" s="360">
        <f t="shared" ca="1" si="128"/>
        <v>173.03259204844676</v>
      </c>
      <c r="I313" s="357">
        <f t="shared" ca="1" si="129"/>
        <v>177.91307769943239</v>
      </c>
      <c r="J313" s="359">
        <f t="shared" ca="1" si="130"/>
        <v>68.85253340096672</v>
      </c>
      <c r="K313" s="360">
        <f t="shared" ca="1" si="131"/>
        <v>311.13391253509172</v>
      </c>
      <c r="L313" s="357">
        <f t="shared" ca="1" si="116"/>
        <v>318.66123530345726</v>
      </c>
      <c r="M313" s="359">
        <f t="shared" ca="1" si="132"/>
        <v>1.3360275135480508</v>
      </c>
      <c r="N313" s="357">
        <f t="shared" ca="1" si="133"/>
        <v>76.548737839660731</v>
      </c>
      <c r="O313" s="343"/>
      <c r="P313" s="363">
        <f t="shared" ca="1" si="134"/>
        <v>8</v>
      </c>
      <c r="Q313" s="357">
        <f t="shared" ca="1" si="135"/>
        <v>321.00000000001836</v>
      </c>
      <c r="R313" s="359">
        <f t="shared" ca="1" si="136"/>
        <v>0.1610949440576859</v>
      </c>
      <c r="S313" s="360">
        <f t="shared" ca="1" si="137"/>
        <v>8.4187559618195156</v>
      </c>
      <c r="T313" s="357">
        <f t="shared" ca="1" si="117"/>
        <v>82.587995985449453</v>
      </c>
      <c r="U313" s="364">
        <f t="shared" ca="1" si="118"/>
        <v>0</v>
      </c>
      <c r="V313" s="359">
        <f t="shared" ca="1" si="119"/>
        <v>1.1874699394433841</v>
      </c>
      <c r="W313" s="357">
        <f t="shared" ca="1" si="120"/>
        <v>99.838544492422542</v>
      </c>
      <c r="X313" s="343"/>
      <c r="Y313" s="367" t="str">
        <f t="shared" ca="1" si="138"/>
        <v/>
      </c>
      <c r="Z313" s="368" t="str">
        <f t="shared" ca="1" si="139"/>
        <v/>
      </c>
      <c r="AA313" s="369" t="str">
        <f t="shared" ca="1" si="140"/>
        <v/>
      </c>
      <c r="AB313" s="344"/>
      <c r="AC313" s="363" t="e">
        <f t="shared" ca="1" si="141"/>
        <v>#N/A</v>
      </c>
      <c r="AD313" s="376" t="e">
        <f t="shared" ca="1" si="142"/>
        <v>#N/A</v>
      </c>
      <c r="AE313" s="377">
        <f t="shared" ca="1" si="121"/>
        <v>311.13391253509172</v>
      </c>
      <c r="AF313" s="344"/>
      <c r="AG313" s="359">
        <f t="shared" ca="1" si="143"/>
        <v>16.749172126815303</v>
      </c>
      <c r="AH313" s="357">
        <f t="shared" ca="1" si="144"/>
        <v>26.290358095811197</v>
      </c>
    </row>
    <row r="314" spans="1:34" x14ac:dyDescent="0.2">
      <c r="A314" s="402">
        <f t="shared" ca="1" si="122"/>
        <v>0.01</v>
      </c>
      <c r="B314" s="357">
        <f t="shared" ca="1" si="123"/>
        <v>3.0999999999999779</v>
      </c>
      <c r="C314" s="342"/>
      <c r="D314" s="359">
        <f t="shared" ca="1" si="124"/>
        <v>5.8813369185780582</v>
      </c>
      <c r="E314" s="360">
        <f t="shared" ca="1" si="125"/>
        <v>14.779659136794349</v>
      </c>
      <c r="F314" s="357">
        <f t="shared" ca="1" si="126"/>
        <v>15.906867955372546</v>
      </c>
      <c r="G314" s="359">
        <f t="shared" ca="1" si="127"/>
        <v>41.444623805615237</v>
      </c>
      <c r="H314" s="360">
        <f t="shared" ca="1" si="128"/>
        <v>173.18038863981471</v>
      </c>
      <c r="I314" s="357">
        <f t="shared" ca="1" si="129"/>
        <v>178.0705024753573</v>
      </c>
      <c r="J314" s="359">
        <f t="shared" ca="1" si="130"/>
        <v>69.266685572176939</v>
      </c>
      <c r="K314" s="360">
        <f t="shared" ca="1" si="131"/>
        <v>312.86497743853306</v>
      </c>
      <c r="L314" s="357">
        <f t="shared" ca="1" si="116"/>
        <v>320.44089601324083</v>
      </c>
      <c r="M314" s="359">
        <f t="shared" ca="1" si="132"/>
        <v>1.335899362956279</v>
      </c>
      <c r="N314" s="357">
        <f t="shared" ca="1" si="133"/>
        <v>76.541395351610092</v>
      </c>
      <c r="O314" s="343"/>
      <c r="P314" s="363">
        <f t="shared" ca="1" si="134"/>
        <v>8</v>
      </c>
      <c r="Q314" s="357">
        <f t="shared" ca="1" si="135"/>
        <v>312.65217391306203</v>
      </c>
      <c r="R314" s="359">
        <f t="shared" ca="1" si="136"/>
        <v>0.15690555908422346</v>
      </c>
      <c r="S314" s="360">
        <f t="shared" ca="1" si="137"/>
        <v>8.4171869062286735</v>
      </c>
      <c r="T314" s="357">
        <f t="shared" ca="1" si="117"/>
        <v>82.572603550103295</v>
      </c>
      <c r="U314" s="364">
        <f t="shared" ca="1" si="118"/>
        <v>0</v>
      </c>
      <c r="V314" s="359">
        <f t="shared" ca="1" si="119"/>
        <v>1.1872643484522849</v>
      </c>
      <c r="W314" s="357">
        <f t="shared" ca="1" si="120"/>
        <v>99.997989110943678</v>
      </c>
      <c r="X314" s="343"/>
      <c r="Y314" s="367" t="str">
        <f t="shared" ca="1" si="138"/>
        <v/>
      </c>
      <c r="Z314" s="368" t="str">
        <f t="shared" ca="1" si="139"/>
        <v/>
      </c>
      <c r="AA314" s="369" t="str">
        <f t="shared" ca="1" si="140"/>
        <v/>
      </c>
      <c r="AB314" s="344"/>
      <c r="AC314" s="363" t="e">
        <f t="shared" ca="1" si="141"/>
        <v>#N/A</v>
      </c>
      <c r="AD314" s="376" t="e">
        <f t="shared" ca="1" si="142"/>
        <v>#N/A</v>
      </c>
      <c r="AE314" s="377">
        <f t="shared" ca="1" si="121"/>
        <v>312.86497743853306</v>
      </c>
      <c r="AF314" s="344"/>
      <c r="AG314" s="359">
        <f t="shared" ca="1" si="143"/>
        <v>15.742331373687522</v>
      </c>
      <c r="AH314" s="357">
        <f t="shared" ca="1" si="144"/>
        <v>25.283224881600113</v>
      </c>
    </row>
    <row r="315" spans="1:34" x14ac:dyDescent="0.2">
      <c r="A315" s="402">
        <f t="shared" ca="1" si="122"/>
        <v>0.01</v>
      </c>
      <c r="B315" s="357">
        <f t="shared" ca="1" si="123"/>
        <v>3.1099999999999777</v>
      </c>
      <c r="C315" s="342"/>
      <c r="D315" s="359">
        <f t="shared" ca="1" si="124"/>
        <v>5.6502795229045928</v>
      </c>
      <c r="E315" s="360">
        <f t="shared" ca="1" si="125"/>
        <v>13.800242145994039</v>
      </c>
      <c r="F315" s="357">
        <f t="shared" ca="1" si="126"/>
        <v>14.91215416950298</v>
      </c>
      <c r="G315" s="359">
        <f t="shared" ca="1" si="127"/>
        <v>41.50112660084428</v>
      </c>
      <c r="H315" s="360">
        <f t="shared" ca="1" si="128"/>
        <v>173.31839106127464</v>
      </c>
      <c r="I315" s="357">
        <f t="shared" ca="1" si="129"/>
        <v>178.21786719969529</v>
      </c>
      <c r="J315" s="359">
        <f t="shared" ca="1" si="130"/>
        <v>69.681414324209243</v>
      </c>
      <c r="K315" s="360">
        <f t="shared" ca="1" si="131"/>
        <v>314.59747133703848</v>
      </c>
      <c r="L315" s="357">
        <f t="shared" ca="1" si="116"/>
        <v>322.22207943261873</v>
      </c>
      <c r="M315" s="359">
        <f t="shared" ca="1" si="132"/>
        <v>1.3357712497252534</v>
      </c>
      <c r="N315" s="357">
        <f t="shared" ca="1" si="133"/>
        <v>76.534055004172544</v>
      </c>
      <c r="O315" s="343"/>
      <c r="P315" s="363">
        <f t="shared" ca="1" si="134"/>
        <v>8</v>
      </c>
      <c r="Q315" s="357">
        <f t="shared" ca="1" si="135"/>
        <v>304.30434782610564</v>
      </c>
      <c r="R315" s="359">
        <f t="shared" ca="1" si="136"/>
        <v>0.15271617411076099</v>
      </c>
      <c r="S315" s="360">
        <f t="shared" ca="1" si="137"/>
        <v>8.4156597444875665</v>
      </c>
      <c r="T315" s="357">
        <f t="shared" ca="1" si="117"/>
        <v>82.557622093423035</v>
      </c>
      <c r="U315" s="364">
        <f t="shared" ca="1" si="118"/>
        <v>0</v>
      </c>
      <c r="V315" s="359">
        <f t="shared" ca="1" si="119"/>
        <v>1.187058622827095</v>
      </c>
      <c r="W315" s="357">
        <f t="shared" ca="1" si="120"/>
        <v>100.14621100877007</v>
      </c>
      <c r="X315" s="343"/>
      <c r="Y315" s="367" t="str">
        <f t="shared" ca="1" si="138"/>
        <v/>
      </c>
      <c r="Z315" s="368" t="str">
        <f t="shared" ca="1" si="139"/>
        <v/>
      </c>
      <c r="AA315" s="369" t="str">
        <f t="shared" ca="1" si="140"/>
        <v/>
      </c>
      <c r="AB315" s="344"/>
      <c r="AC315" s="363" t="e">
        <f t="shared" ca="1" si="141"/>
        <v>#N/A</v>
      </c>
      <c r="AD315" s="376" t="e">
        <f t="shared" ca="1" si="142"/>
        <v>#N/A</v>
      </c>
      <c r="AE315" s="377">
        <f t="shared" ca="1" si="121"/>
        <v>314.59747133703848</v>
      </c>
      <c r="AF315" s="344"/>
      <c r="AG315" s="359">
        <f t="shared" ca="1" si="143"/>
        <v>14.736326179308065</v>
      </c>
      <c r="AH315" s="357">
        <f t="shared" ca="1" si="144"/>
        <v>24.276927171275776</v>
      </c>
    </row>
    <row r="316" spans="1:34" x14ac:dyDescent="0.2">
      <c r="A316" s="402">
        <f t="shared" ca="1" si="122"/>
        <v>0.01</v>
      </c>
      <c r="B316" s="357">
        <f t="shared" ca="1" si="123"/>
        <v>3.1199999999999775</v>
      </c>
      <c r="C316" s="342"/>
      <c r="D316" s="359">
        <f t="shared" ca="1" si="124"/>
        <v>5.4191689085716499</v>
      </c>
      <c r="E316" s="360">
        <f t="shared" ca="1" si="125"/>
        <v>12.821714197942141</v>
      </c>
      <c r="F316" s="357">
        <f t="shared" ca="1" si="126"/>
        <v>13.919904691963259</v>
      </c>
      <c r="G316" s="359">
        <f t="shared" ca="1" si="127"/>
        <v>41.55531828993</v>
      </c>
      <c r="H316" s="360">
        <f t="shared" ca="1" si="128"/>
        <v>173.44660820325407</v>
      </c>
      <c r="I316" s="357">
        <f t="shared" ca="1" si="129"/>
        <v>178.35518039964668</v>
      </c>
      <c r="J316" s="359">
        <f t="shared" ca="1" si="130"/>
        <v>70.096696548663118</v>
      </c>
      <c r="K316" s="360">
        <f t="shared" ca="1" si="131"/>
        <v>316.33129633336114</v>
      </c>
      <c r="L316" s="357">
        <f t="shared" ca="1" si="116"/>
        <v>324.00468500776356</v>
      </c>
      <c r="M316" s="359">
        <f t="shared" ca="1" si="132"/>
        <v>1.3356431665973791</v>
      </c>
      <c r="N316" s="357">
        <f t="shared" ca="1" si="133"/>
        <v>76.526716381518511</v>
      </c>
      <c r="O316" s="343"/>
      <c r="P316" s="363">
        <f t="shared" ca="1" si="134"/>
        <v>8</v>
      </c>
      <c r="Q316" s="357">
        <f t="shared" ca="1" si="135"/>
        <v>295.95652173914931</v>
      </c>
      <c r="R316" s="359">
        <f t="shared" ca="1" si="136"/>
        <v>0.14852678913729855</v>
      </c>
      <c r="S316" s="360">
        <f t="shared" ca="1" si="137"/>
        <v>8.4141744765961928</v>
      </c>
      <c r="T316" s="357">
        <f t="shared" ca="1" si="117"/>
        <v>82.543051615408658</v>
      </c>
      <c r="U316" s="364">
        <f t="shared" ca="1" si="118"/>
        <v>0</v>
      </c>
      <c r="V316" s="359">
        <f t="shared" ca="1" si="119"/>
        <v>1.1868527742675368</v>
      </c>
      <c r="W316" s="357">
        <f t="shared" ca="1" si="120"/>
        <v>100.2831984629356</v>
      </c>
      <c r="X316" s="343"/>
      <c r="Y316" s="367" t="str">
        <f t="shared" ca="1" si="138"/>
        <v/>
      </c>
      <c r="Z316" s="368" t="str">
        <f t="shared" ca="1" si="139"/>
        <v/>
      </c>
      <c r="AA316" s="369" t="str">
        <f t="shared" ca="1" si="140"/>
        <v/>
      </c>
      <c r="AB316" s="344"/>
      <c r="AC316" s="363" t="e">
        <f t="shared" ca="1" si="141"/>
        <v>#N/A</v>
      </c>
      <c r="AD316" s="376" t="e">
        <f t="shared" ca="1" si="142"/>
        <v>#N/A</v>
      </c>
      <c r="AE316" s="377">
        <f t="shared" ca="1" si="121"/>
        <v>316.33129633336114</v>
      </c>
      <c r="AF316" s="344"/>
      <c r="AG316" s="359">
        <f t="shared" ca="1" si="143"/>
        <v>13.73117369673588</v>
      </c>
      <c r="AH316" s="357">
        <f t="shared" ca="1" si="144"/>
        <v>23.271482101425459</v>
      </c>
    </row>
    <row r="317" spans="1:34" x14ac:dyDescent="0.2">
      <c r="A317" s="402">
        <f t="shared" ca="1" si="122"/>
        <v>0.01</v>
      </c>
      <c r="B317" s="357">
        <f t="shared" ca="1" si="123"/>
        <v>3.1299999999999772</v>
      </c>
      <c r="C317" s="342"/>
      <c r="D317" s="359">
        <f t="shared" ca="1" si="124"/>
        <v>5.1880096022001068</v>
      </c>
      <c r="E317" s="360">
        <f t="shared" ca="1" si="125"/>
        <v>11.844091602652432</v>
      </c>
      <c r="F317" s="357">
        <f t="shared" ca="1" si="126"/>
        <v>12.930504612138783</v>
      </c>
      <c r="G317" s="359">
        <f t="shared" ca="1" si="127"/>
        <v>41.607198385952003</v>
      </c>
      <c r="H317" s="360">
        <f t="shared" ca="1" si="128"/>
        <v>173.56504911928059</v>
      </c>
      <c r="I317" s="357">
        <f t="shared" ca="1" si="129"/>
        <v>178.4824507712348</v>
      </c>
      <c r="J317" s="359">
        <f t="shared" ca="1" si="130"/>
        <v>70.512509132042524</v>
      </c>
      <c r="K317" s="360">
        <f t="shared" ca="1" si="131"/>
        <v>318.06635461997382</v>
      </c>
      <c r="L317" s="357">
        <f t="shared" ca="1" si="116"/>
        <v>325.78861227080256</v>
      </c>
      <c r="M317" s="359">
        <f t="shared" ca="1" si="132"/>
        <v>1.3355151063392561</v>
      </c>
      <c r="N317" s="357">
        <f t="shared" ca="1" si="133"/>
        <v>76.519379069204703</v>
      </c>
      <c r="O317" s="343"/>
      <c r="P317" s="363">
        <f t="shared" ca="1" si="134"/>
        <v>8</v>
      </c>
      <c r="Q317" s="357">
        <f t="shared" ca="1" si="135"/>
        <v>287.60869565219298</v>
      </c>
      <c r="R317" s="359">
        <f t="shared" ca="1" si="136"/>
        <v>0.14433740416383611</v>
      </c>
      <c r="S317" s="360">
        <f t="shared" ca="1" si="137"/>
        <v>8.4127311025545541</v>
      </c>
      <c r="T317" s="357">
        <f t="shared" ca="1" si="117"/>
        <v>82.528892116060177</v>
      </c>
      <c r="U317" s="364">
        <f t="shared" ca="1" si="118"/>
        <v>0</v>
      </c>
      <c r="V317" s="359">
        <f t="shared" ca="1" si="119"/>
        <v>1.186646814454775</v>
      </c>
      <c r="W317" s="357">
        <f t="shared" ca="1" si="120"/>
        <v>100.40894190622069</v>
      </c>
      <c r="X317" s="343"/>
      <c r="Y317" s="367" t="str">
        <f t="shared" ca="1" si="138"/>
        <v/>
      </c>
      <c r="Z317" s="368" t="str">
        <f t="shared" ca="1" si="139"/>
        <v/>
      </c>
      <c r="AA317" s="369" t="str">
        <f t="shared" ca="1" si="140"/>
        <v/>
      </c>
      <c r="AB317" s="344"/>
      <c r="AC317" s="363" t="e">
        <f t="shared" ca="1" si="141"/>
        <v>#N/A</v>
      </c>
      <c r="AD317" s="376" t="e">
        <f t="shared" ca="1" si="142"/>
        <v>#N/A</v>
      </c>
      <c r="AE317" s="377">
        <f t="shared" ca="1" si="121"/>
        <v>318.06635461997382</v>
      </c>
      <c r="AF317" s="344"/>
      <c r="AG317" s="359">
        <f t="shared" ca="1" si="143"/>
        <v>12.726890808291</v>
      </c>
      <c r="AH317" s="357">
        <f t="shared" ca="1" si="144"/>
        <v>22.266906537922665</v>
      </c>
    </row>
    <row r="318" spans="1:34" x14ac:dyDescent="0.2">
      <c r="A318" s="402">
        <f t="shared" ca="1" si="122"/>
        <v>0.01</v>
      </c>
      <c r="B318" s="357">
        <f t="shared" ca="1" si="123"/>
        <v>3.139999999999977</v>
      </c>
      <c r="C318" s="342"/>
      <c r="D318" s="359">
        <f t="shared" ca="1" si="124"/>
        <v>4.956806046680958</v>
      </c>
      <c r="E318" s="360">
        <f t="shared" ca="1" si="125"/>
        <v>10.867390411785182</v>
      </c>
      <c r="F318" s="357">
        <f t="shared" ca="1" si="126"/>
        <v>11.94445898927923</v>
      </c>
      <c r="G318" s="359">
        <f t="shared" ca="1" si="127"/>
        <v>41.656766446418814</v>
      </c>
      <c r="H318" s="360">
        <f t="shared" ca="1" si="128"/>
        <v>173.67372302339845</v>
      </c>
      <c r="I318" s="357">
        <f t="shared" ca="1" si="129"/>
        <v>178.59968717660064</v>
      </c>
      <c r="J318" s="359">
        <f t="shared" ca="1" si="130"/>
        <v>70.928828956204384</v>
      </c>
      <c r="K318" s="360">
        <f t="shared" ca="1" si="131"/>
        <v>319.80254848068722</v>
      </c>
      <c r="L318" s="357">
        <f t="shared" ca="1" si="116"/>
        <v>327.57376084149473</v>
      </c>
      <c r="M318" s="359">
        <f t="shared" ca="1" si="132"/>
        <v>1.3353870617392958</v>
      </c>
      <c r="N318" s="357">
        <f t="shared" ca="1" si="133"/>
        <v>76.512042654037543</v>
      </c>
      <c r="O318" s="343"/>
      <c r="P318" s="363">
        <f t="shared" ca="1" si="134"/>
        <v>8</v>
      </c>
      <c r="Q318" s="357">
        <f t="shared" ca="1" si="135"/>
        <v>279.26086956523659</v>
      </c>
      <c r="R318" s="359">
        <f t="shared" ca="1" si="136"/>
        <v>0.14014801919037362</v>
      </c>
      <c r="S318" s="360">
        <f t="shared" ca="1" si="137"/>
        <v>8.4113296223626506</v>
      </c>
      <c r="T318" s="357">
        <f t="shared" ca="1" si="117"/>
        <v>82.515143595377609</v>
      </c>
      <c r="U318" s="364">
        <f t="shared" ca="1" si="118"/>
        <v>0</v>
      </c>
      <c r="V318" s="359">
        <f t="shared" ca="1" si="119"/>
        <v>1.1864407550512217</v>
      </c>
      <c r="W318" s="357">
        <f t="shared" ca="1" si="120"/>
        <v>100.52343391637015</v>
      </c>
      <c r="X318" s="343"/>
      <c r="Y318" s="367" t="str">
        <f t="shared" ca="1" si="138"/>
        <v/>
      </c>
      <c r="Z318" s="368" t="str">
        <f t="shared" ca="1" si="139"/>
        <v/>
      </c>
      <c r="AA318" s="369" t="str">
        <f t="shared" ca="1" si="140"/>
        <v/>
      </c>
      <c r="AB318" s="344"/>
      <c r="AC318" s="363" t="e">
        <f t="shared" ca="1" si="141"/>
        <v>#N/A</v>
      </c>
      <c r="AD318" s="376" t="e">
        <f t="shared" ca="1" si="142"/>
        <v>#N/A</v>
      </c>
      <c r="AE318" s="377">
        <f t="shared" ca="1" si="121"/>
        <v>319.80254848068722</v>
      </c>
      <c r="AF318" s="344"/>
      <c r="AG318" s="359">
        <f t="shared" ca="1" si="143"/>
        <v>11.723494125743278</v>
      </c>
      <c r="AH318" s="357">
        <f t="shared" ca="1" si="144"/>
        <v>21.263217076110536</v>
      </c>
    </row>
    <row r="319" spans="1:34" x14ac:dyDescent="0.2">
      <c r="A319" s="402">
        <f t="shared" ca="1" si="122"/>
        <v>0.01</v>
      </c>
      <c r="B319" s="357">
        <f t="shared" ca="1" si="123"/>
        <v>3.1499999999999768</v>
      </c>
      <c r="C319" s="342"/>
      <c r="D319" s="359">
        <f t="shared" ca="1" si="124"/>
        <v>4.7255626012852536</v>
      </c>
      <c r="E319" s="360">
        <f t="shared" ca="1" si="125"/>
        <v>9.8916264188671921</v>
      </c>
      <c r="F319" s="357">
        <f t="shared" ca="1" si="126"/>
        <v>10.962445671888061</v>
      </c>
      <c r="G319" s="359">
        <f t="shared" ca="1" si="127"/>
        <v>41.70402207243167</v>
      </c>
      <c r="H319" s="360">
        <f t="shared" ca="1" si="128"/>
        <v>173.77263928758711</v>
      </c>
      <c r="I319" s="357">
        <f t="shared" ca="1" si="129"/>
        <v>178.7068986412996</v>
      </c>
      <c r="J319" s="359">
        <f t="shared" ca="1" si="130"/>
        <v>71.345632898798641</v>
      </c>
      <c r="K319" s="360">
        <f t="shared" ca="1" si="131"/>
        <v>321.53978029224214</v>
      </c>
      <c r="L319" s="357">
        <f t="shared" ca="1" si="116"/>
        <v>329.36003042888109</v>
      </c>
      <c r="M319" s="359">
        <f t="shared" ca="1" si="132"/>
        <v>1.3352590256053574</v>
      </c>
      <c r="N319" s="357">
        <f t="shared" ca="1" si="133"/>
        <v>76.504706723937701</v>
      </c>
      <c r="O319" s="343"/>
      <c r="P319" s="363">
        <f t="shared" ca="1" si="134"/>
        <v>8</v>
      </c>
      <c r="Q319" s="357">
        <f t="shared" ca="1" si="135"/>
        <v>270.91304347828031</v>
      </c>
      <c r="R319" s="359">
        <f t="shared" ca="1" si="136"/>
        <v>0.13595863421691121</v>
      </c>
      <c r="S319" s="360">
        <f t="shared" ca="1" si="137"/>
        <v>8.4099700360204821</v>
      </c>
      <c r="T319" s="357">
        <f t="shared" ca="1" si="117"/>
        <v>82.501806053360937</v>
      </c>
      <c r="U319" s="364">
        <f t="shared" ca="1" si="118"/>
        <v>0</v>
      </c>
      <c r="V319" s="359">
        <f t="shared" ca="1" si="119"/>
        <v>1.1862346077003489</v>
      </c>
      <c r="W319" s="357">
        <f t="shared" ca="1" si="120"/>
        <v>100.62666920515196</v>
      </c>
      <c r="X319" s="343"/>
      <c r="Y319" s="367" t="str">
        <f t="shared" ca="1" si="138"/>
        <v/>
      </c>
      <c r="Z319" s="368" t="str">
        <f t="shared" ca="1" si="139"/>
        <v/>
      </c>
      <c r="AA319" s="369" t="str">
        <f t="shared" ca="1" si="140"/>
        <v/>
      </c>
      <c r="AB319" s="344"/>
      <c r="AC319" s="363" t="e">
        <f t="shared" ca="1" si="141"/>
        <v>#N/A</v>
      </c>
      <c r="AD319" s="376" t="e">
        <f t="shared" ca="1" si="142"/>
        <v>#N/A</v>
      </c>
      <c r="AE319" s="377">
        <f t="shared" ca="1" si="121"/>
        <v>321.53978029224214</v>
      </c>
      <c r="AF319" s="344"/>
      <c r="AG319" s="359">
        <f t="shared" ca="1" si="143"/>
        <v>10.720999990540896</v>
      </c>
      <c r="AH319" s="357">
        <f t="shared" ca="1" si="144"/>
        <v>20.260430041025081</v>
      </c>
    </row>
    <row r="320" spans="1:34" x14ac:dyDescent="0.2">
      <c r="A320" s="402">
        <f t="shared" ca="1" si="122"/>
        <v>0.01</v>
      </c>
      <c r="B320" s="357">
        <f t="shared" ca="1" si="123"/>
        <v>3.1599999999999766</v>
      </c>
      <c r="C320" s="342"/>
      <c r="D320" s="359">
        <f t="shared" ca="1" si="124"/>
        <v>4.4942835417711597</v>
      </c>
      <c r="E320" s="360">
        <f t="shared" ca="1" si="125"/>
        <v>8.916815159552824</v>
      </c>
      <c r="F320" s="357">
        <f t="shared" ca="1" si="126"/>
        <v>9.9853981965400944</v>
      </c>
      <c r="G320" s="359">
        <f t="shared" ca="1" si="127"/>
        <v>41.748964907849384</v>
      </c>
      <c r="H320" s="360">
        <f t="shared" ca="1" si="128"/>
        <v>173.86180743918263</v>
      </c>
      <c r="I320" s="357">
        <f t="shared" ca="1" si="129"/>
        <v>178.80409435160107</v>
      </c>
      <c r="J320" s="359">
        <f t="shared" ca="1" si="130"/>
        <v>71.762897833700052</v>
      </c>
      <c r="K320" s="360">
        <f t="shared" ca="1" si="131"/>
        <v>323.277952525876</v>
      </c>
      <c r="L320" s="357">
        <f t="shared" ca="1" si="116"/>
        <v>331.14732083290755</v>
      </c>
      <c r="M320" s="359">
        <f t="shared" ca="1" si="132"/>
        <v>1.3351309907624023</v>
      </c>
      <c r="N320" s="357">
        <f t="shared" ca="1" si="133"/>
        <v>76.497370867805756</v>
      </c>
      <c r="O320" s="343"/>
      <c r="P320" s="363">
        <f t="shared" ca="1" si="134"/>
        <v>8</v>
      </c>
      <c r="Q320" s="357">
        <f t="shared" ca="1" si="135"/>
        <v>262.56521739132393</v>
      </c>
      <c r="R320" s="359">
        <f t="shared" ca="1" si="136"/>
        <v>0.13176924924344874</v>
      </c>
      <c r="S320" s="360">
        <f t="shared" ca="1" si="137"/>
        <v>8.4086523435280469</v>
      </c>
      <c r="T320" s="357">
        <f t="shared" ca="1" si="117"/>
        <v>82.488879490010149</v>
      </c>
      <c r="U320" s="364">
        <f t="shared" ca="1" si="118"/>
        <v>0</v>
      </c>
      <c r="V320" s="359">
        <f t="shared" ca="1" si="119"/>
        <v>1.1860283840265069</v>
      </c>
      <c r="W320" s="357">
        <f t="shared" ca="1" si="120"/>
        <v>100.71864460726307</v>
      </c>
      <c r="X320" s="343"/>
      <c r="Y320" s="367" t="str">
        <f t="shared" ca="1" si="138"/>
        <v/>
      </c>
      <c r="Z320" s="368" t="str">
        <f t="shared" ca="1" si="139"/>
        <v/>
      </c>
      <c r="AA320" s="369" t="str">
        <f t="shared" ca="1" si="140"/>
        <v/>
      </c>
      <c r="AB320" s="344"/>
      <c r="AC320" s="363" t="e">
        <f t="shared" ca="1" si="141"/>
        <v>#N/A</v>
      </c>
      <c r="AD320" s="376" t="e">
        <f t="shared" ca="1" si="142"/>
        <v>#N/A</v>
      </c>
      <c r="AE320" s="377">
        <f t="shared" ca="1" si="121"/>
        <v>323.277952525876</v>
      </c>
      <c r="AF320" s="344"/>
      <c r="AG320" s="359">
        <f t="shared" ca="1" si="143"/>
        <v>9.7194244740781599</v>
      </c>
      <c r="AH320" s="357">
        <f t="shared" ca="1" si="144"/>
        <v>19.258561487657708</v>
      </c>
    </row>
    <row r="321" spans="1:34" x14ac:dyDescent="0.2">
      <c r="A321" s="402">
        <f t="shared" ca="1" si="122"/>
        <v>0.01</v>
      </c>
      <c r="B321" s="357">
        <f t="shared" ca="1" si="123"/>
        <v>3.1699999999999764</v>
      </c>
      <c r="C321" s="342"/>
      <c r="D321" s="359">
        <f t="shared" ca="1" si="124"/>
        <v>4.2629730604881333</v>
      </c>
      <c r="E321" s="360">
        <f t="shared" ca="1" si="125"/>
        <v>7.9429719119254347</v>
      </c>
      <c r="F321" s="357">
        <f t="shared" ca="1" si="126"/>
        <v>9.0146404314361845</v>
      </c>
      <c r="G321" s="359">
        <f t="shared" ca="1" si="127"/>
        <v>41.791594638454264</v>
      </c>
      <c r="H321" s="360">
        <f t="shared" ca="1" si="128"/>
        <v>173.94123715830187</v>
      </c>
      <c r="I321" s="357">
        <f t="shared" ca="1" si="129"/>
        <v>178.89128365179084</v>
      </c>
      <c r="J321" s="359">
        <f t="shared" ca="1" si="130"/>
        <v>72.180600631431574</v>
      </c>
      <c r="K321" s="360">
        <f t="shared" ca="1" si="131"/>
        <v>325.01696774886341</v>
      </c>
      <c r="L321" s="357">
        <f t="shared" ca="1" si="116"/>
        <v>332.93553194602094</v>
      </c>
      <c r="M321" s="359">
        <f t="shared" ca="1" si="132"/>
        <v>1.3350029500501668</v>
      </c>
      <c r="N321" s="357">
        <f t="shared" ca="1" si="133"/>
        <v>76.490034675388813</v>
      </c>
      <c r="O321" s="343"/>
      <c r="P321" s="363">
        <f t="shared" ca="1" si="134"/>
        <v>8</v>
      </c>
      <c r="Q321" s="357">
        <f t="shared" ca="1" si="135"/>
        <v>254.2173913043676</v>
      </c>
      <c r="R321" s="359">
        <f t="shared" ca="1" si="136"/>
        <v>0.1275798642699863</v>
      </c>
      <c r="S321" s="360">
        <f t="shared" ca="1" si="137"/>
        <v>8.4073765448853468</v>
      </c>
      <c r="T321" s="357">
        <f t="shared" ca="1" si="117"/>
        <v>82.476363905325258</v>
      </c>
      <c r="U321" s="364">
        <f t="shared" ca="1" si="118"/>
        <v>0</v>
      </c>
      <c r="V321" s="359">
        <f t="shared" ca="1" si="119"/>
        <v>1.1858220956347421</v>
      </c>
      <c r="W321" s="357">
        <f t="shared" ca="1" si="120"/>
        <v>100.79935906908659</v>
      </c>
      <c r="X321" s="343"/>
      <c r="Y321" s="367" t="str">
        <f t="shared" ca="1" si="138"/>
        <v/>
      </c>
      <c r="Z321" s="368" t="str">
        <f t="shared" ca="1" si="139"/>
        <v/>
      </c>
      <c r="AA321" s="369" t="str">
        <f t="shared" ca="1" si="140"/>
        <v/>
      </c>
      <c r="AB321" s="344"/>
      <c r="AC321" s="363" t="e">
        <f t="shared" ca="1" si="141"/>
        <v>#N/A</v>
      </c>
      <c r="AD321" s="376" t="e">
        <f t="shared" ca="1" si="142"/>
        <v>#N/A</v>
      </c>
      <c r="AE321" s="377">
        <f t="shared" ca="1" si="121"/>
        <v>325.01696774886341</v>
      </c>
      <c r="AF321" s="344"/>
      <c r="AG321" s="359">
        <f t="shared" ca="1" si="143"/>
        <v>8.7187833780020103</v>
      </c>
      <c r="AH321" s="357">
        <f t="shared" ca="1" si="144"/>
        <v>18.257627201256494</v>
      </c>
    </row>
    <row r="322" spans="1:34" x14ac:dyDescent="0.2">
      <c r="A322" s="402">
        <f t="shared" ca="1" si="122"/>
        <v>0.01</v>
      </c>
      <c r="B322" s="357">
        <f t="shared" ca="1" si="123"/>
        <v>3.1799999999999762</v>
      </c>
      <c r="C322" s="342"/>
      <c r="D322" s="359">
        <f t="shared" ca="1" si="124"/>
        <v>4.0316352664782036</v>
      </c>
      <c r="E322" s="360">
        <f t="shared" ca="1" si="125"/>
        <v>6.9701116968384849</v>
      </c>
      <c r="F322" s="357">
        <f t="shared" ca="1" si="126"/>
        <v>8.0521140074091999</v>
      </c>
      <c r="G322" s="359">
        <f t="shared" ca="1" si="127"/>
        <v>41.831910991119045</v>
      </c>
      <c r="H322" s="360">
        <f t="shared" ca="1" si="128"/>
        <v>174.01093827527026</v>
      </c>
      <c r="I322" s="357">
        <f t="shared" ca="1" si="129"/>
        <v>178.96847604147726</v>
      </c>
      <c r="J322" s="359">
        <f t="shared" ca="1" si="130"/>
        <v>72.598718159579434</v>
      </c>
      <c r="K322" s="360">
        <f t="shared" ca="1" si="131"/>
        <v>326.75672862603125</v>
      </c>
      <c r="L322" s="357">
        <f t="shared" ca="1" si="116"/>
        <v>334.72456375473831</v>
      </c>
      <c r="M322" s="359">
        <f t="shared" ca="1" si="132"/>
        <v>1.3348748963208497</v>
      </c>
      <c r="N322" s="357">
        <f t="shared" ca="1" si="133"/>
        <v>76.48269773714803</v>
      </c>
      <c r="O322" s="343"/>
      <c r="P322" s="363">
        <f t="shared" ca="1" si="134"/>
        <v>8</v>
      </c>
      <c r="Q322" s="357">
        <f t="shared" ca="1" si="135"/>
        <v>245.86956521741126</v>
      </c>
      <c r="R322" s="359">
        <f t="shared" ca="1" si="136"/>
        <v>0.12339047929652386</v>
      </c>
      <c r="S322" s="360">
        <f t="shared" ca="1" si="137"/>
        <v>8.4061426400923818</v>
      </c>
      <c r="T322" s="357">
        <f t="shared" ca="1" si="117"/>
        <v>82.464259299306264</v>
      </c>
      <c r="U322" s="364">
        <f t="shared" ca="1" si="118"/>
        <v>0</v>
      </c>
      <c r="V322" s="359">
        <f t="shared" ca="1" si="119"/>
        <v>1.185615754110622</v>
      </c>
      <c r="W322" s="357">
        <f t="shared" ca="1" si="120"/>
        <v>100.86881363730642</v>
      </c>
      <c r="X322" s="343"/>
      <c r="Y322" s="367" t="str">
        <f t="shared" ca="1" si="138"/>
        <v/>
      </c>
      <c r="Z322" s="368" t="str">
        <f t="shared" ca="1" si="139"/>
        <v/>
      </c>
      <c r="AA322" s="369" t="str">
        <f t="shared" ca="1" si="140"/>
        <v/>
      </c>
      <c r="AB322" s="344"/>
      <c r="AC322" s="363" t="e">
        <f t="shared" ca="1" si="141"/>
        <v>#N/A</v>
      </c>
      <c r="AD322" s="376" t="e">
        <f t="shared" ca="1" si="142"/>
        <v>#N/A</v>
      </c>
      <c r="AE322" s="377">
        <f t="shared" ca="1" si="121"/>
        <v>326.75672862603125</v>
      </c>
      <c r="AF322" s="344"/>
      <c r="AG322" s="359">
        <f t="shared" ca="1" si="143"/>
        <v>7.7190922345565411</v>
      </c>
      <c r="AH322" s="357">
        <f t="shared" ca="1" si="144"/>
        <v>17.257642697665474</v>
      </c>
    </row>
    <row r="323" spans="1:34" x14ac:dyDescent="0.2">
      <c r="A323" s="402">
        <f t="shared" ca="1" si="122"/>
        <v>0.01</v>
      </c>
      <c r="B323" s="357">
        <f t="shared" ca="1" si="123"/>
        <v>3.189999999999976</v>
      </c>
      <c r="C323" s="342"/>
      <c r="D323" s="359">
        <f t="shared" ca="1" si="124"/>
        <v>3.8002741855744184</v>
      </c>
      <c r="E323" s="360">
        <f t="shared" ca="1" si="125"/>
        <v>5.9982492782958303</v>
      </c>
      <c r="F323" s="357">
        <f t="shared" ca="1" si="126"/>
        <v>7.1007801184179584</v>
      </c>
      <c r="G323" s="359">
        <f t="shared" ca="1" si="127"/>
        <v>41.869913732974787</v>
      </c>
      <c r="H323" s="360">
        <f t="shared" ca="1" si="128"/>
        <v>174.07092076805321</v>
      </c>
      <c r="I323" s="357">
        <f t="shared" ca="1" si="129"/>
        <v>179.03568117290087</v>
      </c>
      <c r="J323" s="359">
        <f t="shared" ca="1" si="130"/>
        <v>73.017227283199901</v>
      </c>
      <c r="K323" s="360">
        <f t="shared" ca="1" si="131"/>
        <v>328.49713792124788</v>
      </c>
      <c r="L323" s="357">
        <f t="shared" ca="1" si="116"/>
        <v>336.51431634118899</v>
      </c>
      <c r="M323" s="359">
        <f t="shared" ca="1" si="132"/>
        <v>1.3347468224368126</v>
      </c>
      <c r="N323" s="357">
        <f t="shared" ca="1" si="133"/>
        <v>76.475359644126854</v>
      </c>
      <c r="O323" s="343"/>
      <c r="P323" s="363">
        <f t="shared" ca="1" si="134"/>
        <v>8</v>
      </c>
      <c r="Q323" s="357">
        <f t="shared" ca="1" si="135"/>
        <v>237.5217391304549</v>
      </c>
      <c r="R323" s="359">
        <f t="shared" ca="1" si="136"/>
        <v>0.1192010943230614</v>
      </c>
      <c r="S323" s="360">
        <f t="shared" ca="1" si="137"/>
        <v>8.4049506291491518</v>
      </c>
      <c r="T323" s="357">
        <f t="shared" ca="1" si="117"/>
        <v>82.452565671953181</v>
      </c>
      <c r="U323" s="364">
        <f t="shared" ca="1" si="118"/>
        <v>0</v>
      </c>
      <c r="V323" s="359">
        <f t="shared" ca="1" si="119"/>
        <v>1.1854093710200677</v>
      </c>
      <c r="W323" s="357">
        <f t="shared" ca="1" si="120"/>
        <v>100.92701144738469</v>
      </c>
      <c r="X323" s="343"/>
      <c r="Y323" s="367" t="str">
        <f t="shared" ca="1" si="138"/>
        <v/>
      </c>
      <c r="Z323" s="368" t="str">
        <f t="shared" ca="1" si="139"/>
        <v/>
      </c>
      <c r="AA323" s="369" t="str">
        <f t="shared" ca="1" si="140"/>
        <v/>
      </c>
      <c r="AB323" s="344"/>
      <c r="AC323" s="363" t="e">
        <f t="shared" ca="1" si="141"/>
        <v>#N/A</v>
      </c>
      <c r="AD323" s="376" t="e">
        <f t="shared" ca="1" si="142"/>
        <v>#N/A</v>
      </c>
      <c r="AE323" s="377">
        <f t="shared" ca="1" si="121"/>
        <v>328.49713792124788</v>
      </c>
      <c r="AF323" s="344"/>
      <c r="AG323" s="359">
        <f t="shared" ca="1" si="143"/>
        <v>6.7203663069649995</v>
      </c>
      <c r="AH323" s="357">
        <f t="shared" ca="1" si="144"/>
        <v>16.258623223701445</v>
      </c>
    </row>
    <row r="324" spans="1:34" x14ac:dyDescent="0.2">
      <c r="A324" s="402">
        <f t="shared" ca="1" si="122"/>
        <v>0.01</v>
      </c>
      <c r="B324" s="357">
        <f t="shared" ca="1" si="123"/>
        <v>3.1999999999999758</v>
      </c>
      <c r="C324" s="342"/>
      <c r="D324" s="359">
        <f t="shared" ca="1" si="124"/>
        <v>3.5688937604963908</v>
      </c>
      <c r="E324" s="360">
        <f t="shared" ca="1" si="125"/>
        <v>5.0273991638704221</v>
      </c>
      <c r="F324" s="357">
        <f t="shared" ca="1" si="126"/>
        <v>6.1653665768221027</v>
      </c>
      <c r="G324" s="359">
        <f t="shared" ca="1" si="127"/>
        <v>41.905602670579754</v>
      </c>
      <c r="H324" s="360">
        <f t="shared" ca="1" si="128"/>
        <v>174.12119475969192</v>
      </c>
      <c r="I324" s="357">
        <f t="shared" ca="1" si="129"/>
        <v>179.09290884824856</v>
      </c>
      <c r="J324" s="359">
        <f t="shared" ca="1" si="130"/>
        <v>73.436104865217672</v>
      </c>
      <c r="K324" s="360">
        <f t="shared" ca="1" si="131"/>
        <v>330.23809849888659</v>
      </c>
      <c r="L324" s="357">
        <f t="shared" ref="L324:L387" ca="1" si="145">SQRT(pos_x^2+pos_z^2)</f>
        <v>338.30468988462985</v>
      </c>
      <c r="M324" s="359">
        <f t="shared" ca="1" si="132"/>
        <v>1.3346187212682925</v>
      </c>
      <c r="N324" s="357">
        <f t="shared" ca="1" si="133"/>
        <v>76.468019987819957</v>
      </c>
      <c r="O324" s="343"/>
      <c r="P324" s="363">
        <f t="shared" ca="1" si="134"/>
        <v>8</v>
      </c>
      <c r="Q324" s="357">
        <f t="shared" ca="1" si="135"/>
        <v>229.17391304349857</v>
      </c>
      <c r="R324" s="359">
        <f t="shared" ca="1" si="136"/>
        <v>0.11501170934959895</v>
      </c>
      <c r="S324" s="360">
        <f t="shared" ca="1" si="137"/>
        <v>8.4038005120556551</v>
      </c>
      <c r="T324" s="357">
        <f t="shared" ref="T324:T387" ca="1" si="146">m*g</f>
        <v>82.441283023265981</v>
      </c>
      <c r="U324" s="364">
        <f t="shared" ref="U324:U387" ca="1" si="147">IF(pos_xz&lt;L_rampe,Poids*COS(Beta),0)</f>
        <v>0</v>
      </c>
      <c r="V324" s="359">
        <f t="shared" ref="V324:V387" ca="1" si="148">Rho_moyen*(20000-Alt_rampe-pos_z)/(20000+Alt_rampe+pos_z)</f>
        <v>1.1852029579091843</v>
      </c>
      <c r="W324" s="357">
        <f t="shared" ref="W324:W387" ca="1" si="149">1/2*Rho*Sref*Cx*vit_xz^2</f>
        <v>100.97395771190645</v>
      </c>
      <c r="X324" s="343"/>
      <c r="Y324" s="367" t="str">
        <f t="shared" ca="1" si="138"/>
        <v/>
      </c>
      <c r="Z324" s="368" t="str">
        <f t="shared" ca="1" si="139"/>
        <v/>
      </c>
      <c r="AA324" s="369" t="str">
        <f t="shared" ca="1" si="140"/>
        <v/>
      </c>
      <c r="AB324" s="344"/>
      <c r="AC324" s="363" t="e">
        <f t="shared" ca="1" si="141"/>
        <v>#N/A</v>
      </c>
      <c r="AD324" s="376" t="e">
        <f t="shared" ca="1" si="142"/>
        <v>#N/A</v>
      </c>
      <c r="AE324" s="377">
        <f t="shared" ref="AE324:AE387" ca="1" si="150">IF(t&lt;T_para, pos_z, NA())</f>
        <v>330.23809849888659</v>
      </c>
      <c r="AF324" s="344"/>
      <c r="AG324" s="359">
        <f t="shared" ca="1" si="143"/>
        <v>5.7226205898485389</v>
      </c>
      <c r="AH324" s="357">
        <f t="shared" ca="1" si="144"/>
        <v>15.260583757567492</v>
      </c>
    </row>
    <row r="325" spans="1:34" x14ac:dyDescent="0.2">
      <c r="A325" s="402">
        <f t="shared" ref="A325:A388" ca="1" si="151">IF(B324+0.01&lt;=T_ini+ROUNDUP(Temps_fin_propu,0), 0.01, IF(K324&gt;0, 0.1, 0.0001))</f>
        <v>0.01</v>
      </c>
      <c r="B325" s="357">
        <f t="shared" ref="B325:B388" ca="1" si="152">B324+pas</f>
        <v>3.2099999999999755</v>
      </c>
      <c r="C325" s="342"/>
      <c r="D325" s="359">
        <f t="shared" ref="D325:D388" ca="1" si="153">IF(AND(L324&lt;L_rampe,Poussee&lt;Poids*SIN(M324)),0,(-W324+Poussee)/m*COS(M324)-U324/m*SIN(M324))</f>
        <v>3.372252807773211</v>
      </c>
      <c r="E325" s="360">
        <f t="shared" ref="E325:E388" ca="1" si="154">IF(AND(L324&lt;L_rampe,Poussee&lt;Poids*SIN(M324)),0,(-W324+Poussee)/m*SIN(M324)+U324/m*COS(M324)-Poids/m)</f>
        <v>4.2019852836153788</v>
      </c>
      <c r="F325" s="357">
        <f t="shared" ref="F325:F388" ca="1" si="155">SQRT(acc_x^2+acc_z^2)</f>
        <v>5.3878353095890485</v>
      </c>
      <c r="G325" s="359">
        <f t="shared" ref="G325:G388" ca="1" si="156">G324+acc_x*pas</f>
        <v>41.939325198657485</v>
      </c>
      <c r="H325" s="360">
        <f t="shared" ref="H325:H388" ca="1" si="157">H324+acc_z*pas</f>
        <v>174.16321461252807</v>
      </c>
      <c r="I325" s="357">
        <f t="shared" ref="I325:I388" ca="1" si="158">SQRT(vit_x^2+vit_z^2)</f>
        <v>179.14165434730208</v>
      </c>
      <c r="J325" s="359">
        <f t="shared" ref="J325:J388" ca="1" si="159">J324+0.5*(vit_x+G324)*pas*(K324&gt;=0)</f>
        <v>73.855329504563855</v>
      </c>
      <c r="K325" s="360">
        <f t="shared" ref="K325:K388" ca="1" si="160">K324+0.5*(vit_z+H324)*pas</f>
        <v>331.97952054574768</v>
      </c>
      <c r="L325" s="357">
        <f t="shared" ca="1" si="145"/>
        <v>340.0955920884777</v>
      </c>
      <c r="M325" s="359">
        <f t="shared" ref="M325:M388" ca="1" si="161">IF(AND(L324&gt;L_rampe,G325&gt;0),ATAN2(G325,H325),$M$4)</f>
        <v>1.3344905867535435</v>
      </c>
      <c r="N325" s="357">
        <f t="shared" ref="N325:N388" ca="1" si="162">DEGREES(Beta)</f>
        <v>76.460678420914888</v>
      </c>
      <c r="O325" s="343"/>
      <c r="P325" s="363">
        <f t="shared" ref="P325:P388" ca="1" si="163">MATCH(t-pas/2-T_ini,CdP_t)</f>
        <v>9</v>
      </c>
      <c r="Q325" s="357">
        <f t="shared" ref="Q325:Q388" ca="1" si="164">(INDEX(CdP,2,i_P+1)-INDEX(CdP,2,i_P+0))/(INDEX(CdP,1,i_P+1)-INDEX(CdP,1,i_P+0))*(t-pas/2-T_ini-INDEX(CdP,1,i_P+0))+INDEX(CdP,2,i_P+0)</f>
        <v>222.07407407408843</v>
      </c>
      <c r="R325" s="359">
        <f t="shared" ref="R325:R388" ca="1" si="165">Poussee/(g*ISP)</f>
        <v>0.11144863096456581</v>
      </c>
      <c r="S325" s="360">
        <f t="shared" ref="S325:S388" ca="1" si="166">S324-Débit*pas</f>
        <v>8.402686025746009</v>
      </c>
      <c r="T325" s="357">
        <f t="shared" ca="1" si="146"/>
        <v>82.430349912568346</v>
      </c>
      <c r="U325" s="364">
        <f t="shared" ca="1" si="147"/>
        <v>0</v>
      </c>
      <c r="V325" s="359">
        <f t="shared" ca="1" si="148"/>
        <v>1.1849965254482389</v>
      </c>
      <c r="W325" s="357">
        <f t="shared" ca="1" si="149"/>
        <v>101.01133467426651</v>
      </c>
      <c r="X325" s="343"/>
      <c r="Y325" s="367" t="str">
        <f t="shared" ref="Y325:Y388" ca="1" si="167">IF(AND(pos_z&lt;=0,K324&gt;0),"Impact balistique","") &amp; IF(AND(H326&lt;0,vit_z&gt;=0),"Apogée","") &amp; IF(AND(Poussee=0,Q324&gt;0),"Fin de propulsion","") &amp; IF(AND(L326&gt;L_rampe,pos_xz&lt;=L_rampe),"Sortie de rampe","")</f>
        <v/>
      </c>
      <c r="Z325" s="368" t="str">
        <f t="shared" ref="Z325:Z388" ca="1" si="168">IF(ABS(t-T_para)&lt;pas/2,"Para","")</f>
        <v/>
      </c>
      <c r="AA325" s="369" t="str">
        <f t="shared" ref="AA325:AA388" ca="1" si="169">IF(ABS(t-T_satellite)&lt;pas/2,"Satellite","")</f>
        <v/>
      </c>
      <c r="AB325" s="344"/>
      <c r="AC325" s="363" t="e">
        <f t="shared" ref="AC325:AC388" ca="1" si="170">IF(ABS(t-ROUND(t,0))&lt;0.001,t,NA())</f>
        <v>#N/A</v>
      </c>
      <c r="AD325" s="376" t="e">
        <f t="shared" ref="AD325:AD388" ca="1" si="171">IF(ABS(t-ROUND(t,0))&lt;0.001,pos_x,NA())</f>
        <v>#N/A</v>
      </c>
      <c r="AE325" s="377">
        <f t="shared" ca="1" si="150"/>
        <v>331.97952054574768</v>
      </c>
      <c r="AF325" s="344"/>
      <c r="AG325" s="359">
        <f t="shared" ref="AG325:AG388" ca="1" si="172">IF(AND(L324&lt;L_rampe,Poussee&lt;Poids*SIN(M324)),0,(-W324+Poussee)/m-Poids*SIN(M324)/m)</f>
        <v>4.8744028439045675</v>
      </c>
      <c r="AH325" s="357">
        <f t="shared" ref="AH325:AH388" ca="1" si="173">IF(AND(L324&lt;L_rampe,Poussee&lt;Poids*SIN(M324)), g*SIN(M324), (-W324+Poussee)/m)</f>
        <v>14.412072043526159</v>
      </c>
    </row>
    <row r="326" spans="1:34" x14ac:dyDescent="0.2">
      <c r="A326" s="402">
        <f t="shared" ca="1" si="151"/>
        <v>0.01</v>
      </c>
      <c r="B326" s="357">
        <f t="shared" ca="1" si="152"/>
        <v>3.2199999999999753</v>
      </c>
      <c r="C326" s="342"/>
      <c r="D326" s="359">
        <f t="shared" ca="1" si="153"/>
        <v>3.2103791954881977</v>
      </c>
      <c r="E326" s="360">
        <f t="shared" ca="1" si="154"/>
        <v>3.5218778536118318</v>
      </c>
      <c r="F326" s="357">
        <f t="shared" ca="1" si="155"/>
        <v>4.7655176208450776</v>
      </c>
      <c r="G326" s="359">
        <f t="shared" ca="1" si="156"/>
        <v>41.971428990612367</v>
      </c>
      <c r="H326" s="360">
        <f t="shared" ca="1" si="157"/>
        <v>174.19843339106419</v>
      </c>
      <c r="I326" s="357">
        <f t="shared" ca="1" si="158"/>
        <v>179.18341175291602</v>
      </c>
      <c r="J326" s="359">
        <f t="shared" ca="1" si="159"/>
        <v>74.274883275510206</v>
      </c>
      <c r="K326" s="360">
        <f t="shared" ca="1" si="160"/>
        <v>333.72132878576565</v>
      </c>
      <c r="L326" s="357">
        <f t="shared" ca="1" si="145"/>
        <v>341.88694560062947</v>
      </c>
      <c r="M326" s="359">
        <f t="shared" ca="1" si="161"/>
        <v>1.3343624138965571</v>
      </c>
      <c r="N326" s="357">
        <f t="shared" ca="1" si="162"/>
        <v>76.453334657161435</v>
      </c>
      <c r="O326" s="343"/>
      <c r="P326" s="363">
        <f t="shared" ca="1" si="163"/>
        <v>9</v>
      </c>
      <c r="Q326" s="357">
        <f t="shared" ca="1" si="164"/>
        <v>216.2222222222367</v>
      </c>
      <c r="R326" s="359">
        <f t="shared" ca="1" si="165"/>
        <v>0.1085118591679681</v>
      </c>
      <c r="S326" s="360">
        <f t="shared" ca="1" si="166"/>
        <v>8.4016009071543287</v>
      </c>
      <c r="T326" s="357">
        <f t="shared" ca="1" si="146"/>
        <v>82.419704899183969</v>
      </c>
      <c r="U326" s="364">
        <f t="shared" ca="1" si="147"/>
        <v>0</v>
      </c>
      <c r="V326" s="359">
        <f t="shared" ca="1" si="148"/>
        <v>1.1847900825773758</v>
      </c>
      <c r="W326" s="357">
        <f t="shared" ca="1" si="149"/>
        <v>101.04082528339862</v>
      </c>
      <c r="X326" s="343"/>
      <c r="Y326" s="367" t="str">
        <f t="shared" ca="1" si="167"/>
        <v/>
      </c>
      <c r="Z326" s="368" t="str">
        <f t="shared" ca="1" si="168"/>
        <v/>
      </c>
      <c r="AA326" s="369" t="str">
        <f t="shared" ca="1" si="169"/>
        <v/>
      </c>
      <c r="AB326" s="344"/>
      <c r="AC326" s="363" t="e">
        <f t="shared" ca="1" si="170"/>
        <v>#N/A</v>
      </c>
      <c r="AD326" s="376" t="e">
        <f t="shared" ca="1" si="171"/>
        <v>#N/A</v>
      </c>
      <c r="AE326" s="377">
        <f t="shared" ca="1" si="150"/>
        <v>333.72132878576565</v>
      </c>
      <c r="AF326" s="344"/>
      <c r="AG326" s="359">
        <f t="shared" ca="1" si="172"/>
        <v>4.1755933776189131</v>
      </c>
      <c r="AH326" s="357">
        <f t="shared" ca="1" si="173"/>
        <v>13.712968376046415</v>
      </c>
    </row>
    <row r="327" spans="1:34" x14ac:dyDescent="0.2">
      <c r="A327" s="402">
        <f t="shared" ca="1" si="151"/>
        <v>0.01</v>
      </c>
      <c r="B327" s="357">
        <f t="shared" ca="1" si="152"/>
        <v>3.2299999999999751</v>
      </c>
      <c r="C327" s="342"/>
      <c r="D327" s="359">
        <f t="shared" ca="1" si="153"/>
        <v>3.0484987733253033</v>
      </c>
      <c r="E327" s="360">
        <f t="shared" ca="1" si="154"/>
        <v>2.8425048891384073</v>
      </c>
      <c r="F327" s="357">
        <f t="shared" ca="1" si="155"/>
        <v>4.1681145396619836</v>
      </c>
      <c r="G327" s="359">
        <f t="shared" ca="1" si="156"/>
        <v>42.00191397834562</v>
      </c>
      <c r="H327" s="360">
        <f t="shared" ca="1" si="157"/>
        <v>174.22685843995558</v>
      </c>
      <c r="I327" s="357">
        <f t="shared" ca="1" si="158"/>
        <v>179.21818819444823</v>
      </c>
      <c r="J327" s="359">
        <f t="shared" ca="1" si="159"/>
        <v>74.694749990354993</v>
      </c>
      <c r="K327" s="360">
        <f t="shared" ca="1" si="160"/>
        <v>335.46345524492074</v>
      </c>
      <c r="L327" s="357">
        <f t="shared" ca="1" si="145"/>
        <v>343.67868057385022</v>
      </c>
      <c r="M327" s="359">
        <f t="shared" ca="1" si="161"/>
        <v>1.3342341977027778</v>
      </c>
      <c r="N327" s="357">
        <f t="shared" ca="1" si="162"/>
        <v>76.445988410392644</v>
      </c>
      <c r="O327" s="343"/>
      <c r="P327" s="363">
        <f t="shared" ca="1" si="163"/>
        <v>9</v>
      </c>
      <c r="Q327" s="357">
        <f t="shared" ca="1" si="164"/>
        <v>210.37037037038499</v>
      </c>
      <c r="R327" s="359">
        <f t="shared" ca="1" si="165"/>
        <v>0.10557508737137039</v>
      </c>
      <c r="S327" s="360">
        <f t="shared" ca="1" si="166"/>
        <v>8.4005451562806144</v>
      </c>
      <c r="T327" s="357">
        <f t="shared" ca="1" si="146"/>
        <v>82.409347983112838</v>
      </c>
      <c r="U327" s="364">
        <f t="shared" ca="1" si="147"/>
        <v>0</v>
      </c>
      <c r="V327" s="359">
        <f t="shared" ca="1" si="148"/>
        <v>1.1845836373653893</v>
      </c>
      <c r="W327" s="357">
        <f t="shared" ca="1" si="149"/>
        <v>101.06243687006965</v>
      </c>
      <c r="X327" s="343"/>
      <c r="Y327" s="367" t="str">
        <f t="shared" ca="1" si="167"/>
        <v/>
      </c>
      <c r="Z327" s="368" t="str">
        <f t="shared" ca="1" si="168"/>
        <v/>
      </c>
      <c r="AA327" s="369" t="str">
        <f t="shared" ca="1" si="169"/>
        <v/>
      </c>
      <c r="AB327" s="344"/>
      <c r="AC327" s="363" t="e">
        <f t="shared" ca="1" si="170"/>
        <v>#N/A</v>
      </c>
      <c r="AD327" s="376" t="e">
        <f t="shared" ca="1" si="171"/>
        <v>#N/A</v>
      </c>
      <c r="AE327" s="377">
        <f t="shared" ca="1" si="150"/>
        <v>335.46345524492074</v>
      </c>
      <c r="AF327" s="344"/>
      <c r="AG327" s="359">
        <f t="shared" ca="1" si="172"/>
        <v>3.4774968413157392</v>
      </c>
      <c r="AH327" s="357">
        <f t="shared" ca="1" si="173"/>
        <v>13.014577393854831</v>
      </c>
    </row>
    <row r="328" spans="1:34" x14ac:dyDescent="0.2">
      <c r="A328" s="402">
        <f t="shared" ca="1" si="151"/>
        <v>0.01</v>
      </c>
      <c r="B328" s="357">
        <f t="shared" ca="1" si="152"/>
        <v>3.2399999999999749</v>
      </c>
      <c r="C328" s="342"/>
      <c r="D328" s="359">
        <f t="shared" ca="1" si="153"/>
        <v>2.8866133726479486</v>
      </c>
      <c r="E328" s="360">
        <f t="shared" ca="1" si="154"/>
        <v>2.1638728979470727</v>
      </c>
      <c r="F328" s="357">
        <f t="shared" ca="1" si="155"/>
        <v>3.6076145417186449</v>
      </c>
      <c r="G328" s="359">
        <f t="shared" ca="1" si="156"/>
        <v>42.030780112072101</v>
      </c>
      <c r="H328" s="360">
        <f t="shared" ca="1" si="157"/>
        <v>174.24849716893505</v>
      </c>
      <c r="I328" s="357">
        <f t="shared" ca="1" si="158"/>
        <v>179.2459908685874</v>
      </c>
      <c r="J328" s="359">
        <f t="shared" ca="1" si="159"/>
        <v>75.114913460807088</v>
      </c>
      <c r="K328" s="360">
        <f t="shared" ca="1" si="160"/>
        <v>337.20583202296518</v>
      </c>
      <c r="L328" s="357">
        <f t="shared" ca="1" si="145"/>
        <v>345.47072723245998</v>
      </c>
      <c r="M328" s="359">
        <f t="shared" ca="1" si="161"/>
        <v>1.3341059331779883</v>
      </c>
      <c r="N328" s="357">
        <f t="shared" ca="1" si="162"/>
        <v>76.438639394460964</v>
      </c>
      <c r="O328" s="343"/>
      <c r="P328" s="363">
        <f t="shared" ca="1" si="163"/>
        <v>9</v>
      </c>
      <c r="Q328" s="357">
        <f t="shared" ca="1" si="164"/>
        <v>204.51851851853326</v>
      </c>
      <c r="R328" s="359">
        <f t="shared" ca="1" si="165"/>
        <v>0.10263831557477268</v>
      </c>
      <c r="S328" s="360">
        <f t="shared" ca="1" si="166"/>
        <v>8.3995187731248659</v>
      </c>
      <c r="T328" s="357">
        <f t="shared" ca="1" si="146"/>
        <v>82.399279164354937</v>
      </c>
      <c r="U328" s="364">
        <f t="shared" ca="1" si="147"/>
        <v>0</v>
      </c>
      <c r="V328" s="359">
        <f t="shared" ca="1" si="148"/>
        <v>1.1843771978668081</v>
      </c>
      <c r="W328" s="357">
        <f t="shared" ca="1" si="149"/>
        <v>101.07617776601649</v>
      </c>
      <c r="X328" s="343"/>
      <c r="Y328" s="367" t="str">
        <f t="shared" ca="1" si="167"/>
        <v/>
      </c>
      <c r="Z328" s="368" t="str">
        <f t="shared" ca="1" si="168"/>
        <v/>
      </c>
      <c r="AA328" s="369" t="str">
        <f t="shared" ca="1" si="169"/>
        <v/>
      </c>
      <c r="AB328" s="344"/>
      <c r="AC328" s="363" t="e">
        <f t="shared" ca="1" si="170"/>
        <v>#N/A</v>
      </c>
      <c r="AD328" s="376" t="e">
        <f t="shared" ca="1" si="171"/>
        <v>#N/A</v>
      </c>
      <c r="AE328" s="377">
        <f t="shared" ca="1" si="150"/>
        <v>337.20583202296518</v>
      </c>
      <c r="AF328" s="344"/>
      <c r="AG328" s="359">
        <f t="shared" ca="1" si="172"/>
        <v>2.7801199680625768</v>
      </c>
      <c r="AH328" s="357">
        <f t="shared" ca="1" si="173"/>
        <v>12.316905818400228</v>
      </c>
    </row>
    <row r="329" spans="1:34" x14ac:dyDescent="0.2">
      <c r="A329" s="402">
        <f t="shared" ca="1" si="151"/>
        <v>0.01</v>
      </c>
      <c r="B329" s="357">
        <f t="shared" ca="1" si="152"/>
        <v>3.2499999999999747</v>
      </c>
      <c r="C329" s="342"/>
      <c r="D329" s="359">
        <f t="shared" ca="1" si="153"/>
        <v>2.7247247840782216</v>
      </c>
      <c r="E329" s="360">
        <f t="shared" ca="1" si="154"/>
        <v>1.4859882628544145</v>
      </c>
      <c r="F329" s="357">
        <f t="shared" ca="1" si="155"/>
        <v>3.1035924774865644</v>
      </c>
      <c r="G329" s="359">
        <f t="shared" ca="1" si="156"/>
        <v>42.058027359912884</v>
      </c>
      <c r="H329" s="360">
        <f t="shared" ca="1" si="157"/>
        <v>174.26335705156359</v>
      </c>
      <c r="I329" s="357">
        <f t="shared" ca="1" si="158"/>
        <v>179.26682703804383</v>
      </c>
      <c r="J329" s="359">
        <f t="shared" ca="1" si="159"/>
        <v>75.535357498167016</v>
      </c>
      <c r="K329" s="360">
        <f t="shared" ca="1" si="160"/>
        <v>338.94839129406768</v>
      </c>
      <c r="L329" s="357">
        <f t="shared" ca="1" si="145"/>
        <v>347.26301587300122</v>
      </c>
      <c r="M329" s="359">
        <f t="shared" ca="1" si="161"/>
        <v>1.3339776153272001</v>
      </c>
      <c r="N329" s="357">
        <f t="shared" ca="1" si="162"/>
        <v>76.431287323174601</v>
      </c>
      <c r="O329" s="343"/>
      <c r="P329" s="363">
        <f t="shared" ca="1" si="163"/>
        <v>9</v>
      </c>
      <c r="Q329" s="357">
        <f t="shared" ca="1" si="164"/>
        <v>198.66666666668152</v>
      </c>
      <c r="R329" s="359">
        <f t="shared" ca="1" si="165"/>
        <v>9.9701543778174959E-2</v>
      </c>
      <c r="S329" s="360">
        <f t="shared" ca="1" si="166"/>
        <v>8.3985217576870834</v>
      </c>
      <c r="T329" s="357">
        <f t="shared" ca="1" si="146"/>
        <v>82.389498442910295</v>
      </c>
      <c r="U329" s="364">
        <f t="shared" ca="1" si="147"/>
        <v>0</v>
      </c>
      <c r="V329" s="359">
        <f t="shared" ca="1" si="148"/>
        <v>1.1841707721218311</v>
      </c>
      <c r="W329" s="357">
        <f t="shared" ca="1" si="149"/>
        <v>101.08205729796832</v>
      </c>
      <c r="X329" s="343"/>
      <c r="Y329" s="367" t="str">
        <f t="shared" ca="1" si="167"/>
        <v/>
      </c>
      <c r="Z329" s="368" t="str">
        <f t="shared" ca="1" si="168"/>
        <v/>
      </c>
      <c r="AA329" s="369" t="str">
        <f t="shared" ca="1" si="169"/>
        <v/>
      </c>
      <c r="AB329" s="344"/>
      <c r="AC329" s="363" t="e">
        <f t="shared" ca="1" si="170"/>
        <v>#N/A</v>
      </c>
      <c r="AD329" s="376" t="e">
        <f t="shared" ca="1" si="171"/>
        <v>#N/A</v>
      </c>
      <c r="AE329" s="377">
        <f t="shared" ca="1" si="150"/>
        <v>338.94839129406768</v>
      </c>
      <c r="AF329" s="344"/>
      <c r="AG329" s="359">
        <f t="shared" ca="1" si="172"/>
        <v>2.0834693600056955</v>
      </c>
      <c r="AH329" s="357">
        <f t="shared" ca="1" si="173"/>
        <v>11.619960240186487</v>
      </c>
    </row>
    <row r="330" spans="1:34" x14ac:dyDescent="0.2">
      <c r="A330" s="402">
        <f t="shared" ca="1" si="151"/>
        <v>0.01</v>
      </c>
      <c r="B330" s="357">
        <f t="shared" ca="1" si="152"/>
        <v>3.2599999999999745</v>
      </c>
      <c r="C330" s="342"/>
      <c r="D330" s="359">
        <f t="shared" ca="1" si="153"/>
        <v>2.5628347575621637</v>
      </c>
      <c r="E330" s="360">
        <f t="shared" ca="1" si="154"/>
        <v>0.80885724214664734</v>
      </c>
      <c r="F330" s="357">
        <f t="shared" ca="1" si="155"/>
        <v>2.6874471218503619</v>
      </c>
      <c r="G330" s="359">
        <f t="shared" ca="1" si="156"/>
        <v>42.083655707488504</v>
      </c>
      <c r="H330" s="360">
        <f t="shared" ca="1" si="157"/>
        <v>174.27144562398504</v>
      </c>
      <c r="I330" s="357">
        <f t="shared" ca="1" si="158"/>
        <v>179.28070403024415</v>
      </c>
      <c r="J330" s="359">
        <f t="shared" ca="1" si="159"/>
        <v>75.95606591350402</v>
      </c>
      <c r="K330" s="360">
        <f t="shared" ca="1" si="160"/>
        <v>340.6910653074454</v>
      </c>
      <c r="L330" s="357">
        <f t="shared" ca="1" si="145"/>
        <v>349.05547686489405</v>
      </c>
      <c r="M330" s="359">
        <f t="shared" ca="1" si="161"/>
        <v>1.3338492391535428</v>
      </c>
      <c r="N330" s="357">
        <f t="shared" ca="1" si="162"/>
        <v>76.423931910234003</v>
      </c>
      <c r="O330" s="343"/>
      <c r="P330" s="363">
        <f t="shared" ca="1" si="163"/>
        <v>9</v>
      </c>
      <c r="Q330" s="357">
        <f t="shared" ca="1" si="164"/>
        <v>192.81481481482979</v>
      </c>
      <c r="R330" s="359">
        <f t="shared" ca="1" si="165"/>
        <v>9.6764771981577249E-2</v>
      </c>
      <c r="S330" s="360">
        <f t="shared" ca="1" si="166"/>
        <v>8.3975541099672668</v>
      </c>
      <c r="T330" s="357">
        <f t="shared" ca="1" si="146"/>
        <v>82.380005818778898</v>
      </c>
      <c r="U330" s="364">
        <f t="shared" ca="1" si="147"/>
        <v>0</v>
      </c>
      <c r="V330" s="359">
        <f t="shared" ca="1" si="148"/>
        <v>1.1839643681562584</v>
      </c>
      <c r="W330" s="357">
        <f t="shared" ca="1" si="149"/>
        <v>101.08008578163805</v>
      </c>
      <c r="X330" s="343"/>
      <c r="Y330" s="367" t="str">
        <f t="shared" ca="1" si="167"/>
        <v/>
      </c>
      <c r="Z330" s="368" t="str">
        <f t="shared" ca="1" si="168"/>
        <v/>
      </c>
      <c r="AA330" s="369" t="str">
        <f t="shared" ca="1" si="169"/>
        <v/>
      </c>
      <c r="AB330" s="344"/>
      <c r="AC330" s="363" t="e">
        <f t="shared" ca="1" si="170"/>
        <v>#N/A</v>
      </c>
      <c r="AD330" s="376" t="e">
        <f t="shared" ca="1" si="171"/>
        <v>#N/A</v>
      </c>
      <c r="AE330" s="377">
        <f t="shared" ca="1" si="150"/>
        <v>340.6910653074454</v>
      </c>
      <c r="AF330" s="344"/>
      <c r="AG330" s="359">
        <f t="shared" ca="1" si="172"/>
        <v>1.3875514887740028</v>
      </c>
      <c r="AH330" s="357">
        <f t="shared" ca="1" si="173"/>
        <v>10.923747119173852</v>
      </c>
    </row>
    <row r="331" spans="1:34" x14ac:dyDescent="0.2">
      <c r="A331" s="402">
        <f t="shared" ca="1" si="151"/>
        <v>0.01</v>
      </c>
      <c r="B331" s="357">
        <f t="shared" ca="1" si="152"/>
        <v>3.2699999999999743</v>
      </c>
      <c r="C331" s="342"/>
      <c r="D331" s="359">
        <f t="shared" ca="1" si="153"/>
        <v>2.4009450024339598</v>
      </c>
      <c r="E331" s="360">
        <f t="shared" ca="1" si="154"/>
        <v>0.13248596999604523</v>
      </c>
      <c r="F331" s="357">
        <f t="shared" ca="1" si="155"/>
        <v>2.4045975623705518</v>
      </c>
      <c r="G331" s="359">
        <f t="shared" ca="1" si="156"/>
        <v>42.107665157512841</v>
      </c>
      <c r="H331" s="360">
        <f t="shared" ca="1" si="157"/>
        <v>174.27277048368501</v>
      </c>
      <c r="I331" s="357">
        <f t="shared" ca="1" si="158"/>
        <v>179.2876292360306</v>
      </c>
      <c r="J331" s="359">
        <f t="shared" ca="1" si="159"/>
        <v>76.377022517829033</v>
      </c>
      <c r="K331" s="360">
        <f t="shared" ca="1" si="160"/>
        <v>342.43378638798373</v>
      </c>
      <c r="L331" s="357">
        <f t="shared" ca="1" si="145"/>
        <v>350.84804065107761</v>
      </c>
      <c r="M331" s="359">
        <f t="shared" ca="1" si="161"/>
        <v>1.3337207996571561</v>
      </c>
      <c r="N331" s="357">
        <f t="shared" ca="1" si="162"/>
        <v>76.416572869168249</v>
      </c>
      <c r="O331" s="343"/>
      <c r="P331" s="363">
        <f t="shared" ca="1" si="163"/>
        <v>9</v>
      </c>
      <c r="Q331" s="357">
        <f t="shared" ca="1" si="164"/>
        <v>186.96296296297808</v>
      </c>
      <c r="R331" s="359">
        <f t="shared" ca="1" si="165"/>
        <v>9.382800018497954E-2</v>
      </c>
      <c r="S331" s="360">
        <f t="shared" ca="1" si="166"/>
        <v>8.3966158299654179</v>
      </c>
      <c r="T331" s="357">
        <f t="shared" ca="1" si="146"/>
        <v>82.37080129196076</v>
      </c>
      <c r="U331" s="364">
        <f t="shared" ca="1" si="147"/>
        <v>0</v>
      </c>
      <c r="V331" s="359">
        <f t="shared" ca="1" si="148"/>
        <v>1.1837579939814307</v>
      </c>
      <c r="W331" s="357">
        <f t="shared" ca="1" si="149"/>
        <v>101.07027451568618</v>
      </c>
      <c r="X331" s="343"/>
      <c r="Y331" s="367" t="str">
        <f t="shared" ca="1" si="167"/>
        <v/>
      </c>
      <c r="Z331" s="368" t="str">
        <f t="shared" ca="1" si="168"/>
        <v/>
      </c>
      <c r="AA331" s="369" t="str">
        <f t="shared" ca="1" si="169"/>
        <v/>
      </c>
      <c r="AB331" s="344"/>
      <c r="AC331" s="363" t="e">
        <f t="shared" ca="1" si="170"/>
        <v>#N/A</v>
      </c>
      <c r="AD331" s="376" t="e">
        <f t="shared" ca="1" si="171"/>
        <v>#N/A</v>
      </c>
      <c r="AE331" s="377">
        <f t="shared" ca="1" si="150"/>
        <v>342.43378638798373</v>
      </c>
      <c r="AF331" s="344"/>
      <c r="AG331" s="359">
        <f t="shared" ca="1" si="172"/>
        <v>0.69237269589376638</v>
      </c>
      <c r="AH331" s="357">
        <f t="shared" ca="1" si="173"/>
        <v>10.228272785191097</v>
      </c>
    </row>
    <row r="332" spans="1:34" x14ac:dyDescent="0.2">
      <c r="A332" s="402">
        <f t="shared" ca="1" si="151"/>
        <v>0.01</v>
      </c>
      <c r="B332" s="357">
        <f t="shared" ca="1" si="152"/>
        <v>3.279999999999974</v>
      </c>
      <c r="C332" s="342"/>
      <c r="D332" s="359">
        <f t="shared" ca="1" si="153"/>
        <v>2.2390571874788905</v>
      </c>
      <c r="E332" s="360">
        <f t="shared" ca="1" si="154"/>
        <v>-0.543119543111656</v>
      </c>
      <c r="F332" s="357">
        <f t="shared" ca="1" si="155"/>
        <v>2.3039869632683891</v>
      </c>
      <c r="G332" s="359">
        <f t="shared" ca="1" si="156"/>
        <v>42.130055729387628</v>
      </c>
      <c r="H332" s="360">
        <f t="shared" ca="1" si="157"/>
        <v>174.26733928825388</v>
      </c>
      <c r="I332" s="357">
        <f t="shared" ca="1" si="158"/>
        <v>179.28761010836388</v>
      </c>
      <c r="J332" s="359">
        <f t="shared" ca="1" si="159"/>
        <v>76.798211122263538</v>
      </c>
      <c r="K332" s="360">
        <f t="shared" ca="1" si="160"/>
        <v>344.17648693684345</v>
      </c>
      <c r="L332" s="357">
        <f t="shared" ca="1" si="145"/>
        <v>352.64063774863911</v>
      </c>
      <c r="M332" s="359">
        <f t="shared" ca="1" si="161"/>
        <v>1.3335922918340795</v>
      </c>
      <c r="N332" s="357">
        <f t="shared" ca="1" si="162"/>
        <v>76.409209913271553</v>
      </c>
      <c r="O332" s="343"/>
      <c r="P332" s="363">
        <f t="shared" ca="1" si="163"/>
        <v>9</v>
      </c>
      <c r="Q332" s="357">
        <f t="shared" ca="1" si="164"/>
        <v>181.11111111112635</v>
      </c>
      <c r="R332" s="359">
        <f t="shared" ca="1" si="165"/>
        <v>9.0891228388381831E-2</v>
      </c>
      <c r="S332" s="360">
        <f t="shared" ca="1" si="166"/>
        <v>8.3957069176815349</v>
      </c>
      <c r="T332" s="357">
        <f t="shared" ca="1" si="146"/>
        <v>82.361884862455867</v>
      </c>
      <c r="U332" s="364">
        <f t="shared" ca="1" si="147"/>
        <v>0</v>
      </c>
      <c r="V332" s="359">
        <f t="shared" ca="1" si="148"/>
        <v>1.1835516575941667</v>
      </c>
      <c r="W332" s="357">
        <f t="shared" ca="1" si="149"/>
        <v>101.05263577565704</v>
      </c>
      <c r="X332" s="343"/>
      <c r="Y332" s="367" t="str">
        <f t="shared" ca="1" si="167"/>
        <v/>
      </c>
      <c r="Z332" s="368" t="str">
        <f t="shared" ca="1" si="168"/>
        <v/>
      </c>
      <c r="AA332" s="369" t="str">
        <f t="shared" ca="1" si="169"/>
        <v/>
      </c>
      <c r="AB332" s="344"/>
      <c r="AC332" s="363" t="e">
        <f t="shared" ca="1" si="170"/>
        <v>#N/A</v>
      </c>
      <c r="AD332" s="376" t="e">
        <f t="shared" ca="1" si="171"/>
        <v>#N/A</v>
      </c>
      <c r="AE332" s="377">
        <f t="shared" ca="1" si="150"/>
        <v>344.17648693684345</v>
      </c>
      <c r="AF332" s="344"/>
      <c r="AG332" s="359">
        <f t="shared" ca="1" si="172"/>
        <v>-2.0608067862379897E-3</v>
      </c>
      <c r="AH332" s="357">
        <f t="shared" ca="1" si="173"/>
        <v>9.5335434383580591</v>
      </c>
    </row>
    <row r="333" spans="1:34" x14ac:dyDescent="0.2">
      <c r="A333" s="402">
        <f t="shared" ca="1" si="151"/>
        <v>0.01</v>
      </c>
      <c r="B333" s="357">
        <f t="shared" ca="1" si="152"/>
        <v>3.2899999999999738</v>
      </c>
      <c r="C333" s="342"/>
      <c r="D333" s="359">
        <f t="shared" ca="1" si="153"/>
        <v>2.0771729409950903</v>
      </c>
      <c r="E333" s="360">
        <f t="shared" ca="1" si="154"/>
        <v>-1.2179534099388416</v>
      </c>
      <c r="F333" s="357">
        <f t="shared" ca="1" si="155"/>
        <v>2.4079156828227695</v>
      </c>
      <c r="G333" s="359">
        <f t="shared" ca="1" si="156"/>
        <v>42.150827458797579</v>
      </c>
      <c r="H333" s="360">
        <f t="shared" ca="1" si="157"/>
        <v>174.2551597541545</v>
      </c>
      <c r="I333" s="357">
        <f t="shared" ca="1" si="158"/>
        <v>179.28065416103109</v>
      </c>
      <c r="J333" s="359">
        <f t="shared" ca="1" si="159"/>
        <v>77.219615538204465</v>
      </c>
      <c r="K333" s="360">
        <f t="shared" ca="1" si="160"/>
        <v>345.91909943205548</v>
      </c>
      <c r="L333" s="357">
        <f t="shared" ca="1" si="145"/>
        <v>354.43319874942921</v>
      </c>
      <c r="M333" s="359">
        <f t="shared" ca="1" si="161"/>
        <v>1.3334637106751432</v>
      </c>
      <c r="N333" s="357">
        <f t="shared" ca="1" si="162"/>
        <v>76.401842755539604</v>
      </c>
      <c r="O333" s="343"/>
      <c r="P333" s="363">
        <f t="shared" ca="1" si="163"/>
        <v>9</v>
      </c>
      <c r="Q333" s="357">
        <f t="shared" ca="1" si="164"/>
        <v>175.25925925927461</v>
      </c>
      <c r="R333" s="359">
        <f t="shared" ca="1" si="165"/>
        <v>8.7954456591784108E-2</v>
      </c>
      <c r="S333" s="360">
        <f t="shared" ca="1" si="166"/>
        <v>8.3948273731156178</v>
      </c>
      <c r="T333" s="357">
        <f t="shared" ca="1" si="146"/>
        <v>82.353256530264218</v>
      </c>
      <c r="U333" s="364">
        <f t="shared" ca="1" si="147"/>
        <v>0</v>
      </c>
      <c r="V333" s="359">
        <f t="shared" ca="1" si="148"/>
        <v>1.1833453669767027</v>
      </c>
      <c r="W333" s="357">
        <f t="shared" ca="1" si="149"/>
        <v>101.0271828078907</v>
      </c>
      <c r="X333" s="343"/>
      <c r="Y333" s="367" t="str">
        <f t="shared" ca="1" si="167"/>
        <v/>
      </c>
      <c r="Z333" s="368" t="str">
        <f t="shared" ca="1" si="168"/>
        <v/>
      </c>
      <c r="AA333" s="369" t="str">
        <f t="shared" ca="1" si="169"/>
        <v/>
      </c>
      <c r="AB333" s="344"/>
      <c r="AC333" s="363" t="e">
        <f t="shared" ca="1" si="170"/>
        <v>#N/A</v>
      </c>
      <c r="AD333" s="376" t="e">
        <f t="shared" ca="1" si="171"/>
        <v>#N/A</v>
      </c>
      <c r="AE333" s="377">
        <f t="shared" ca="1" si="150"/>
        <v>345.91909943205548</v>
      </c>
      <c r="AF333" s="344"/>
      <c r="AG333" s="359">
        <f t="shared" ca="1" si="172"/>
        <v>-0.69574293665917786</v>
      </c>
      <c r="AH333" s="357">
        <f t="shared" ca="1" si="173"/>
        <v>8.8395651495185987</v>
      </c>
    </row>
    <row r="334" spans="1:34" x14ac:dyDescent="0.2">
      <c r="A334" s="402">
        <f t="shared" ca="1" si="151"/>
        <v>0.01</v>
      </c>
      <c r="B334" s="357">
        <f t="shared" ca="1" si="152"/>
        <v>3.2999999999999736</v>
      </c>
      <c r="C334" s="342"/>
      <c r="D334" s="359">
        <f t="shared" ca="1" si="153"/>
        <v>1.9152938508539923</v>
      </c>
      <c r="E334" s="360">
        <f t="shared" ca="1" si="154"/>
        <v>-1.8920098660470508</v>
      </c>
      <c r="F334" s="357">
        <f t="shared" ca="1" si="155"/>
        <v>2.6922206202944241</v>
      </c>
      <c r="G334" s="359">
        <f t="shared" ca="1" si="156"/>
        <v>42.169980397306119</v>
      </c>
      <c r="H334" s="360">
        <f t="shared" ca="1" si="157"/>
        <v>174.23623965549405</v>
      </c>
      <c r="I334" s="357">
        <f t="shared" ca="1" si="158"/>
        <v>179.26676896735751</v>
      </c>
      <c r="J334" s="359">
        <f t="shared" ca="1" si="159"/>
        <v>77.641219577484989</v>
      </c>
      <c r="K334" s="360">
        <f t="shared" ca="1" si="160"/>
        <v>347.66155642910371</v>
      </c>
      <c r="L334" s="357">
        <f t="shared" ca="1" si="145"/>
        <v>356.22565432066529</v>
      </c>
      <c r="M334" s="359">
        <f t="shared" ca="1" si="161"/>
        <v>1.3333350511648563</v>
      </c>
      <c r="N334" s="357">
        <f t="shared" ca="1" si="162"/>
        <v>76.394471108605941</v>
      </c>
      <c r="O334" s="343"/>
      <c r="P334" s="363">
        <f t="shared" ca="1" si="163"/>
        <v>9</v>
      </c>
      <c r="Q334" s="357">
        <f t="shared" ca="1" si="164"/>
        <v>169.40740740742291</v>
      </c>
      <c r="R334" s="359">
        <f t="shared" ca="1" si="165"/>
        <v>8.5017684795186413E-2</v>
      </c>
      <c r="S334" s="360">
        <f t="shared" ca="1" si="166"/>
        <v>8.3939771962676666</v>
      </c>
      <c r="T334" s="357">
        <f t="shared" ca="1" si="146"/>
        <v>82.344916295385815</v>
      </c>
      <c r="U334" s="364">
        <f t="shared" ca="1" si="147"/>
        <v>0</v>
      </c>
      <c r="V334" s="359">
        <f t="shared" ca="1" si="148"/>
        <v>1.183139130096639</v>
      </c>
      <c r="W334" s="357">
        <f t="shared" ca="1" si="149"/>
        <v>100.99392982341116</v>
      </c>
      <c r="X334" s="343"/>
      <c r="Y334" s="367" t="str">
        <f t="shared" ca="1" si="167"/>
        <v/>
      </c>
      <c r="Z334" s="368" t="str">
        <f t="shared" ca="1" si="168"/>
        <v/>
      </c>
      <c r="AA334" s="369" t="str">
        <f t="shared" ca="1" si="169"/>
        <v/>
      </c>
      <c r="AB334" s="344"/>
      <c r="AC334" s="363" t="e">
        <f t="shared" ca="1" si="170"/>
        <v>#N/A</v>
      </c>
      <c r="AD334" s="376" t="e">
        <f t="shared" ca="1" si="171"/>
        <v>#N/A</v>
      </c>
      <c r="AE334" s="377">
        <f t="shared" ca="1" si="150"/>
        <v>347.66155642910371</v>
      </c>
      <c r="AF334" s="344"/>
      <c r="AG334" s="359">
        <f t="shared" ca="1" si="172"/>
        <v>-1.3886677399146699</v>
      </c>
      <c r="AH334" s="357">
        <f t="shared" ca="1" si="173"/>
        <v>8.1463438606834764</v>
      </c>
    </row>
    <row r="335" spans="1:34" x14ac:dyDescent="0.2">
      <c r="A335" s="402">
        <f t="shared" ca="1" si="151"/>
        <v>0.01</v>
      </c>
      <c r="B335" s="357">
        <f t="shared" ca="1" si="152"/>
        <v>3.3099999999999734</v>
      </c>
      <c r="C335" s="342"/>
      <c r="D335" s="359">
        <f t="shared" ca="1" si="153"/>
        <v>1.753421464559483</v>
      </c>
      <c r="E335" s="360">
        <f t="shared" ca="1" si="154"/>
        <v>-2.5652832693374981</v>
      </c>
      <c r="F335" s="357">
        <f t="shared" ca="1" si="155"/>
        <v>3.1072761519248342</v>
      </c>
      <c r="G335" s="359">
        <f t="shared" ca="1" si="156"/>
        <v>42.187514611951713</v>
      </c>
      <c r="H335" s="360">
        <f t="shared" ca="1" si="157"/>
        <v>174.21058682280068</v>
      </c>
      <c r="I335" s="357">
        <f t="shared" ca="1" si="158"/>
        <v>179.24596215892342</v>
      </c>
      <c r="J335" s="359">
        <f t="shared" ca="1" si="159"/>
        <v>78.063007052531276</v>
      </c>
      <c r="K335" s="360">
        <f t="shared" ca="1" si="160"/>
        <v>349.40379056149516</v>
      </c>
      <c r="L335" s="357">
        <f t="shared" ca="1" si="145"/>
        <v>358.01793520552116</v>
      </c>
      <c r="M335" s="359">
        <f t="shared" ca="1" si="161"/>
        <v>1.3332063082802941</v>
      </c>
      <c r="N335" s="357">
        <f t="shared" ca="1" si="162"/>
        <v>76.387094684678189</v>
      </c>
      <c r="O335" s="343"/>
      <c r="P335" s="363">
        <f t="shared" ca="1" si="163"/>
        <v>9</v>
      </c>
      <c r="Q335" s="357">
        <f t="shared" ca="1" si="164"/>
        <v>163.55555555557117</v>
      </c>
      <c r="R335" s="359">
        <f t="shared" ca="1" si="165"/>
        <v>8.208091299858869E-2</v>
      </c>
      <c r="S335" s="360">
        <f t="shared" ca="1" si="166"/>
        <v>8.3931563871376813</v>
      </c>
      <c r="T335" s="357">
        <f t="shared" ca="1" si="146"/>
        <v>82.336864157820656</v>
      </c>
      <c r="U335" s="364">
        <f t="shared" ca="1" si="147"/>
        <v>0</v>
      </c>
      <c r="V335" s="359">
        <f t="shared" ca="1" si="148"/>
        <v>1.1829329549068797</v>
      </c>
      <c r="W335" s="357">
        <f t="shared" ca="1" si="149"/>
        <v>100.9528919917928</v>
      </c>
      <c r="X335" s="343"/>
      <c r="Y335" s="367" t="str">
        <f t="shared" ca="1" si="167"/>
        <v/>
      </c>
      <c r="Z335" s="368" t="str">
        <f t="shared" ca="1" si="168"/>
        <v/>
      </c>
      <c r="AA335" s="369" t="str">
        <f t="shared" ca="1" si="169"/>
        <v/>
      </c>
      <c r="AB335" s="344"/>
      <c r="AC335" s="363" t="e">
        <f t="shared" ca="1" si="170"/>
        <v>#N/A</v>
      </c>
      <c r="AD335" s="376" t="e">
        <f t="shared" ca="1" si="171"/>
        <v>#N/A</v>
      </c>
      <c r="AE335" s="377">
        <f t="shared" ca="1" si="150"/>
        <v>349.40379056149516</v>
      </c>
      <c r="AF335" s="344"/>
      <c r="AG335" s="359">
        <f t="shared" ca="1" si="172"/>
        <v>-2.0808293910833635</v>
      </c>
      <c r="AH335" s="357">
        <f t="shared" ca="1" si="173"/>
        <v>7.4538853854831375</v>
      </c>
    </row>
    <row r="336" spans="1:34" x14ac:dyDescent="0.2">
      <c r="A336" s="402">
        <f t="shared" ca="1" si="151"/>
        <v>0.01</v>
      </c>
      <c r="B336" s="357">
        <f t="shared" ca="1" si="152"/>
        <v>3.3199999999999732</v>
      </c>
      <c r="C336" s="342"/>
      <c r="D336" s="359">
        <f t="shared" ca="1" si="153"/>
        <v>1.5915572893056691</v>
      </c>
      <c r="E336" s="360">
        <f t="shared" ca="1" si="154"/>
        <v>-3.2377680995813609</v>
      </c>
      <c r="F336" s="357">
        <f t="shared" ca="1" si="155"/>
        <v>3.6077966782800699</v>
      </c>
      <c r="G336" s="359">
        <f t="shared" ca="1" si="156"/>
        <v>42.20343018484477</v>
      </c>
      <c r="H336" s="360">
        <f t="shared" ca="1" si="157"/>
        <v>174.17820914180487</v>
      </c>
      <c r="I336" s="357">
        <f t="shared" ca="1" si="158"/>
        <v>179.21824142428522</v>
      </c>
      <c r="J336" s="359">
        <f t="shared" ca="1" si="159"/>
        <v>78.484961776515263</v>
      </c>
      <c r="K336" s="360">
        <f t="shared" ca="1" si="160"/>
        <v>351.14573454131818</v>
      </c>
      <c r="L336" s="357">
        <f t="shared" ca="1" si="145"/>
        <v>359.80997222370445</v>
      </c>
      <c r="M336" s="359">
        <f t="shared" ca="1" si="161"/>
        <v>1.333077476989982</v>
      </c>
      <c r="N336" s="357">
        <f t="shared" ca="1" si="162"/>
        <v>76.379713195474082</v>
      </c>
      <c r="O336" s="343"/>
      <c r="P336" s="363">
        <f t="shared" ca="1" si="163"/>
        <v>9</v>
      </c>
      <c r="Q336" s="357">
        <f t="shared" ca="1" si="164"/>
        <v>157.70370370371944</v>
      </c>
      <c r="R336" s="359">
        <f t="shared" ca="1" si="165"/>
        <v>7.9144141201990981E-2</v>
      </c>
      <c r="S336" s="360">
        <f t="shared" ca="1" si="166"/>
        <v>8.3923649457256619</v>
      </c>
      <c r="T336" s="357">
        <f t="shared" ca="1" si="146"/>
        <v>82.329100117568743</v>
      </c>
      <c r="U336" s="364">
        <f t="shared" ca="1" si="147"/>
        <v>0</v>
      </c>
      <c r="V336" s="359">
        <f t="shared" ca="1" si="148"/>
        <v>1.1827268493455847</v>
      </c>
      <c r="W336" s="357">
        <f t="shared" ca="1" si="149"/>
        <v>100.90408543500706</v>
      </c>
      <c r="X336" s="343"/>
      <c r="Y336" s="367" t="str">
        <f t="shared" ca="1" si="167"/>
        <v/>
      </c>
      <c r="Z336" s="368" t="str">
        <f t="shared" ca="1" si="168"/>
        <v/>
      </c>
      <c r="AA336" s="369" t="str">
        <f t="shared" ca="1" si="169"/>
        <v/>
      </c>
      <c r="AB336" s="344"/>
      <c r="AC336" s="363" t="e">
        <f t="shared" ca="1" si="170"/>
        <v>#N/A</v>
      </c>
      <c r="AD336" s="376" t="e">
        <f t="shared" ca="1" si="171"/>
        <v>#N/A</v>
      </c>
      <c r="AE336" s="377">
        <f t="shared" ca="1" si="150"/>
        <v>351.14573454131818</v>
      </c>
      <c r="AF336" s="344"/>
      <c r="AG336" s="359">
        <f t="shared" ca="1" si="172"/>
        <v>-2.7722221925719071</v>
      </c>
      <c r="AH336" s="357">
        <f t="shared" ca="1" si="173"/>
        <v>6.7621954096301016</v>
      </c>
    </row>
    <row r="337" spans="1:34" x14ac:dyDescent="0.2">
      <c r="A337" s="402">
        <f t="shared" ca="1" si="151"/>
        <v>0.01</v>
      </c>
      <c r="B337" s="357">
        <f t="shared" ca="1" si="152"/>
        <v>3.329999999999973</v>
      </c>
      <c r="C337" s="342"/>
      <c r="D337" s="359">
        <f t="shared" ca="1" si="153"/>
        <v>1.4297027920332324</v>
      </c>
      <c r="E337" s="360">
        <f t="shared" ca="1" si="154"/>
        <v>-3.9094589579400889</v>
      </c>
      <c r="F337" s="357">
        <f t="shared" ca="1" si="155"/>
        <v>4.1626817578774418</v>
      </c>
      <c r="G337" s="359">
        <f t="shared" ca="1" si="156"/>
        <v>42.217727212765105</v>
      </c>
      <c r="H337" s="360">
        <f t="shared" ca="1" si="157"/>
        <v>174.13911455222546</v>
      </c>
      <c r="I337" s="357">
        <f t="shared" ca="1" si="158"/>
        <v>179.18361450770144</v>
      </c>
      <c r="J337" s="359">
        <f t="shared" ca="1" si="159"/>
        <v>78.907067563503318</v>
      </c>
      <c r="K337" s="360">
        <f t="shared" ca="1" si="160"/>
        <v>352.88732115978831</v>
      </c>
      <c r="L337" s="357">
        <f t="shared" ca="1" si="145"/>
        <v>361.60169627202089</v>
      </c>
      <c r="M337" s="359">
        <f t="shared" ca="1" si="161"/>
        <v>1.3329485522527771</v>
      </c>
      <c r="N337" s="357">
        <f t="shared" ca="1" si="162"/>
        <v>76.372326352157401</v>
      </c>
      <c r="O337" s="343"/>
      <c r="P337" s="363">
        <f t="shared" ca="1" si="163"/>
        <v>9</v>
      </c>
      <c r="Q337" s="357">
        <f t="shared" ca="1" si="164"/>
        <v>151.85185185186771</v>
      </c>
      <c r="R337" s="359">
        <f t="shared" ca="1" si="165"/>
        <v>7.6207369405393258E-2</v>
      </c>
      <c r="S337" s="360">
        <f t="shared" ca="1" si="166"/>
        <v>8.3916028720316085</v>
      </c>
      <c r="T337" s="357">
        <f t="shared" ca="1" si="146"/>
        <v>82.321624174630088</v>
      </c>
      <c r="U337" s="364">
        <f t="shared" ca="1" si="147"/>
        <v>0</v>
      </c>
      <c r="V337" s="359">
        <f t="shared" ca="1" si="148"/>
        <v>1.1825208213361142</v>
      </c>
      <c r="W337" s="357">
        <f t="shared" ca="1" si="149"/>
        <v>100.84752722125016</v>
      </c>
      <c r="X337" s="343"/>
      <c r="Y337" s="367" t="str">
        <f t="shared" ca="1" si="167"/>
        <v/>
      </c>
      <c r="Z337" s="368" t="str">
        <f t="shared" ca="1" si="168"/>
        <v/>
      </c>
      <c r="AA337" s="369" t="str">
        <f t="shared" ca="1" si="169"/>
        <v/>
      </c>
      <c r="AB337" s="344"/>
      <c r="AC337" s="363" t="e">
        <f t="shared" ca="1" si="170"/>
        <v>#N/A</v>
      </c>
      <c r="AD337" s="376" t="e">
        <f t="shared" ca="1" si="171"/>
        <v>#N/A</v>
      </c>
      <c r="AE337" s="377">
        <f t="shared" ca="1" si="150"/>
        <v>352.88732115978831</v>
      </c>
      <c r="AF337" s="344"/>
      <c r="AG337" s="359">
        <f t="shared" ca="1" si="172"/>
        <v>-3.4628405741885793</v>
      </c>
      <c r="AH337" s="357">
        <f t="shared" ca="1" si="173"/>
        <v>6.0712794913906816</v>
      </c>
    </row>
    <row r="338" spans="1:34" x14ac:dyDescent="0.2">
      <c r="A338" s="402">
        <f t="shared" ca="1" si="151"/>
        <v>0.01</v>
      </c>
      <c r="B338" s="357">
        <f t="shared" ca="1" si="152"/>
        <v>3.3399999999999728</v>
      </c>
      <c r="C338" s="342"/>
      <c r="D338" s="359">
        <f t="shared" ca="1" si="153"/>
        <v>1.2678593994843166</v>
      </c>
      <c r="E338" s="360">
        <f t="shared" ca="1" si="154"/>
        <v>-4.5803505664758228</v>
      </c>
      <c r="F338" s="357">
        <f t="shared" ca="1" si="155"/>
        <v>4.7525865345805247</v>
      </c>
      <c r="G338" s="359">
        <f t="shared" ca="1" si="156"/>
        <v>42.230405806759947</v>
      </c>
      <c r="H338" s="360">
        <f t="shared" ca="1" si="157"/>
        <v>174.0933110465607</v>
      </c>
      <c r="I338" s="357">
        <f t="shared" ca="1" si="158"/>
        <v>179.14208920786359</v>
      </c>
      <c r="J338" s="359">
        <f t="shared" ca="1" si="159"/>
        <v>79.329308228600937</v>
      </c>
      <c r="K338" s="360">
        <f t="shared" ca="1" si="160"/>
        <v>354.62848328778222</v>
      </c>
      <c r="L338" s="357">
        <f t="shared" ca="1" si="145"/>
        <v>363.39303832492607</v>
      </c>
      <c r="M338" s="359">
        <f t="shared" ca="1" si="161"/>
        <v>1.3328195290167446</v>
      </c>
      <c r="N338" s="357">
        <f t="shared" ca="1" si="162"/>
        <v>76.364933865273628</v>
      </c>
      <c r="O338" s="343"/>
      <c r="P338" s="363">
        <f t="shared" ca="1" si="163"/>
        <v>9</v>
      </c>
      <c r="Q338" s="357">
        <f t="shared" ca="1" si="164"/>
        <v>146.00000000001597</v>
      </c>
      <c r="R338" s="359">
        <f t="shared" ca="1" si="165"/>
        <v>7.3270597608795549E-2</v>
      </c>
      <c r="S338" s="360">
        <f t="shared" ca="1" si="166"/>
        <v>8.3908701660555209</v>
      </c>
      <c r="T338" s="357">
        <f t="shared" ca="1" si="146"/>
        <v>82.314436329004664</v>
      </c>
      <c r="U338" s="364">
        <f t="shared" ca="1" si="147"/>
        <v>0</v>
      </c>
      <c r="V338" s="359">
        <f t="shared" ca="1" si="148"/>
        <v>1.1823148787869833</v>
      </c>
      <c r="W338" s="357">
        <f t="shared" ca="1" si="149"/>
        <v>100.78323535875464</v>
      </c>
      <c r="X338" s="343"/>
      <c r="Y338" s="367" t="str">
        <f t="shared" ca="1" si="167"/>
        <v/>
      </c>
      <c r="Z338" s="368" t="str">
        <f t="shared" ca="1" si="168"/>
        <v/>
      </c>
      <c r="AA338" s="369" t="str">
        <f t="shared" ca="1" si="169"/>
        <v/>
      </c>
      <c r="AB338" s="344"/>
      <c r="AC338" s="363" t="e">
        <f t="shared" ca="1" si="170"/>
        <v>#N/A</v>
      </c>
      <c r="AD338" s="376" t="e">
        <f t="shared" ca="1" si="171"/>
        <v>#N/A</v>
      </c>
      <c r="AE338" s="377">
        <f t="shared" ca="1" si="150"/>
        <v>354.62848328778222</v>
      </c>
      <c r="AF338" s="344"/>
      <c r="AG338" s="359">
        <f t="shared" ca="1" si="172"/>
        <v>-4.1526790926596329</v>
      </c>
      <c r="AH338" s="357">
        <f t="shared" ca="1" si="173"/>
        <v>5.3811430620659477</v>
      </c>
    </row>
    <row r="339" spans="1:34" x14ac:dyDescent="0.2">
      <c r="A339" s="402">
        <f t="shared" ca="1" si="151"/>
        <v>0.01</v>
      </c>
      <c r="B339" s="357">
        <f t="shared" ca="1" si="152"/>
        <v>3.3499999999999726</v>
      </c>
      <c r="C339" s="342"/>
      <c r="D339" s="359">
        <f t="shared" ca="1" si="153"/>
        <v>1.1060284982558695</v>
      </c>
      <c r="E339" s="360">
        <f t="shared" ca="1" si="154"/>
        <v>-5.2504377676523033</v>
      </c>
      <c r="F339" s="357">
        <f t="shared" ca="1" si="155"/>
        <v>5.365668252039427</v>
      </c>
      <c r="G339" s="359">
        <f t="shared" ca="1" si="156"/>
        <v>42.241466091742502</v>
      </c>
      <c r="H339" s="360">
        <f t="shared" ca="1" si="157"/>
        <v>174.04080666888419</v>
      </c>
      <c r="I339" s="357">
        <f t="shared" ca="1" si="158"/>
        <v>179.09367337663201</v>
      </c>
      <c r="J339" s="359">
        <f t="shared" ca="1" si="159"/>
        <v>79.751667588093454</v>
      </c>
      <c r="K339" s="360">
        <f t="shared" ca="1" si="160"/>
        <v>356.36915387635946</v>
      </c>
      <c r="L339" s="357">
        <f t="shared" ca="1" si="145"/>
        <v>365.18392943506444</v>
      </c>
      <c r="M339" s="359">
        <f t="shared" ca="1" si="161"/>
        <v>1.3326904022180321</v>
      </c>
      <c r="N339" s="357">
        <f t="shared" ca="1" si="162"/>
        <v>76.357535444685368</v>
      </c>
      <c r="O339" s="343"/>
      <c r="P339" s="363">
        <f t="shared" ca="1" si="163"/>
        <v>9</v>
      </c>
      <c r="Q339" s="357">
        <f t="shared" ca="1" si="164"/>
        <v>140.14814814816427</v>
      </c>
      <c r="R339" s="359">
        <f t="shared" ca="1" si="165"/>
        <v>7.0333825812197839E-2</v>
      </c>
      <c r="S339" s="360">
        <f t="shared" ca="1" si="166"/>
        <v>8.3901668277973993</v>
      </c>
      <c r="T339" s="357">
        <f t="shared" ca="1" si="146"/>
        <v>82.307536580692485</v>
      </c>
      <c r="U339" s="364">
        <f t="shared" ca="1" si="147"/>
        <v>0</v>
      </c>
      <c r="V339" s="359">
        <f t="shared" ca="1" si="148"/>
        <v>1.1821090295918111</v>
      </c>
      <c r="W339" s="357">
        <f t="shared" ca="1" si="149"/>
        <v>100.71122878958516</v>
      </c>
      <c r="X339" s="343"/>
      <c r="Y339" s="367" t="str">
        <f t="shared" ca="1" si="167"/>
        <v/>
      </c>
      <c r="Z339" s="368" t="str">
        <f t="shared" ca="1" si="168"/>
        <v/>
      </c>
      <c r="AA339" s="369" t="str">
        <f t="shared" ca="1" si="169"/>
        <v/>
      </c>
      <c r="AB339" s="344"/>
      <c r="AC339" s="363" t="e">
        <f t="shared" ca="1" si="170"/>
        <v>#N/A</v>
      </c>
      <c r="AD339" s="376" t="e">
        <f t="shared" ca="1" si="171"/>
        <v>#N/A</v>
      </c>
      <c r="AE339" s="377">
        <f t="shared" ca="1" si="150"/>
        <v>356.36915387635946</v>
      </c>
      <c r="AF339" s="344"/>
      <c r="AG339" s="359">
        <f t="shared" ca="1" si="172"/>
        <v>-4.8417324311368031</v>
      </c>
      <c r="AH339" s="357">
        <f t="shared" ca="1" si="173"/>
        <v>4.6917914264815366</v>
      </c>
    </row>
    <row r="340" spans="1:34" x14ac:dyDescent="0.2">
      <c r="A340" s="402">
        <f t="shared" ca="1" si="151"/>
        <v>0.01</v>
      </c>
      <c r="B340" s="357">
        <f t="shared" ca="1" si="152"/>
        <v>3.3599999999999723</v>
      </c>
      <c r="C340" s="342"/>
      <c r="D340" s="359">
        <f t="shared" ca="1" si="153"/>
        <v>0.94421143485140224</v>
      </c>
      <c r="E340" s="360">
        <f t="shared" ca="1" si="154"/>
        <v>-5.9197155238263228</v>
      </c>
      <c r="F340" s="357">
        <f t="shared" ca="1" si="155"/>
        <v>5.9945447797755671</v>
      </c>
      <c r="G340" s="359">
        <f t="shared" ca="1" si="156"/>
        <v>42.250908206091019</v>
      </c>
      <c r="H340" s="360">
        <f t="shared" ca="1" si="157"/>
        <v>173.98160951364594</v>
      </c>
      <c r="I340" s="357">
        <f t="shared" ca="1" si="158"/>
        <v>179.03837491777651</v>
      </c>
      <c r="J340" s="359">
        <f t="shared" ca="1" si="159"/>
        <v>80.174129459582616</v>
      </c>
      <c r="K340" s="360">
        <f t="shared" ca="1" si="160"/>
        <v>358.1092659572721</v>
      </c>
      <c r="L340" s="357">
        <f t="shared" ca="1" si="145"/>
        <v>366.97430073379547</v>
      </c>
      <c r="M340" s="359">
        <f t="shared" ca="1" si="161"/>
        <v>1.3325611667797364</v>
      </c>
      <c r="N340" s="357">
        <f t="shared" ca="1" si="162"/>
        <v>76.350130799507497</v>
      </c>
      <c r="O340" s="343"/>
      <c r="P340" s="363">
        <f t="shared" ca="1" si="163"/>
        <v>9</v>
      </c>
      <c r="Q340" s="357">
        <f t="shared" ca="1" si="164"/>
        <v>134.29629629631253</v>
      </c>
      <c r="R340" s="359">
        <f t="shared" ca="1" si="165"/>
        <v>6.739705401560013E-2</v>
      </c>
      <c r="S340" s="360">
        <f t="shared" ca="1" si="166"/>
        <v>8.3894928572572436</v>
      </c>
      <c r="T340" s="357">
        <f t="shared" ca="1" si="146"/>
        <v>82.300924929693565</v>
      </c>
      <c r="U340" s="364">
        <f t="shared" ca="1" si="147"/>
        <v>0</v>
      </c>
      <c r="V340" s="359">
        <f t="shared" ca="1" si="148"/>
        <v>1.1819032816292796</v>
      </c>
      <c r="W340" s="357">
        <f t="shared" ca="1" si="149"/>
        <v>100.63152738342092</v>
      </c>
      <c r="X340" s="343"/>
      <c r="Y340" s="367" t="str">
        <f t="shared" ca="1" si="167"/>
        <v/>
      </c>
      <c r="Z340" s="368" t="str">
        <f t="shared" ca="1" si="168"/>
        <v/>
      </c>
      <c r="AA340" s="369" t="str">
        <f t="shared" ca="1" si="169"/>
        <v/>
      </c>
      <c r="AB340" s="344"/>
      <c r="AC340" s="363" t="e">
        <f t="shared" ca="1" si="170"/>
        <v>#N/A</v>
      </c>
      <c r="AD340" s="376" t="e">
        <f t="shared" ca="1" si="171"/>
        <v>#N/A</v>
      </c>
      <c r="AE340" s="377">
        <f t="shared" ca="1" si="150"/>
        <v>358.1092659572721</v>
      </c>
      <c r="AF340" s="344"/>
      <c r="AG340" s="359">
        <f t="shared" ca="1" si="172"/>
        <v>-5.5299953986959958</v>
      </c>
      <c r="AH340" s="357">
        <f t="shared" ca="1" si="173"/>
        <v>4.0032297634862344</v>
      </c>
    </row>
    <row r="341" spans="1:34" x14ac:dyDescent="0.2">
      <c r="A341" s="402">
        <f t="shared" ca="1" si="151"/>
        <v>0.01</v>
      </c>
      <c r="B341" s="357">
        <f t="shared" ca="1" si="152"/>
        <v>3.3699999999999721</v>
      </c>
      <c r="C341" s="342"/>
      <c r="D341" s="359">
        <f t="shared" ca="1" si="153"/>
        <v>0.78240951573110484</v>
      </c>
      <c r="E341" s="360">
        <f t="shared" ca="1" si="154"/>
        <v>-6.5881789167299916</v>
      </c>
      <c r="F341" s="357">
        <f t="shared" ca="1" si="155"/>
        <v>6.6344755700169813</v>
      </c>
      <c r="G341" s="359">
        <f t="shared" ca="1" si="156"/>
        <v>42.25873230124833</v>
      </c>
      <c r="H341" s="360">
        <f t="shared" ca="1" si="157"/>
        <v>173.91572772447864</v>
      </c>
      <c r="I341" s="357">
        <f t="shared" ca="1" si="158"/>
        <v>178.97620178572222</v>
      </c>
      <c r="J341" s="359">
        <f t="shared" ca="1" si="159"/>
        <v>80.596677662119319</v>
      </c>
      <c r="K341" s="360">
        <f t="shared" ca="1" si="160"/>
        <v>359.84875264346272</v>
      </c>
      <c r="L341" s="357">
        <f t="shared" ca="1" si="145"/>
        <v>368.76408343170783</v>
      </c>
      <c r="M341" s="359">
        <f t="shared" ca="1" si="161"/>
        <v>1.3324318176107659</v>
      </c>
      <c r="N341" s="357">
        <f t="shared" ca="1" si="162"/>
        <v>76.34271963804197</v>
      </c>
      <c r="O341" s="343"/>
      <c r="P341" s="363">
        <f t="shared" ca="1" si="163"/>
        <v>9</v>
      </c>
      <c r="Q341" s="357">
        <f t="shared" ca="1" si="164"/>
        <v>128.44444444446083</v>
      </c>
      <c r="R341" s="359">
        <f t="shared" ca="1" si="165"/>
        <v>6.4460282219002421E-2</v>
      </c>
      <c r="S341" s="360">
        <f t="shared" ca="1" si="166"/>
        <v>8.3888482544350538</v>
      </c>
      <c r="T341" s="357">
        <f t="shared" ca="1" si="146"/>
        <v>82.294601376007876</v>
      </c>
      <c r="U341" s="364">
        <f t="shared" ca="1" si="147"/>
        <v>0</v>
      </c>
      <c r="V341" s="359">
        <f t="shared" ca="1" si="148"/>
        <v>1.1816976427630874</v>
      </c>
      <c r="W341" s="357">
        <f t="shared" ca="1" si="149"/>
        <v>100.54415193132566</v>
      </c>
      <c r="X341" s="343"/>
      <c r="Y341" s="367" t="str">
        <f t="shared" ca="1" si="167"/>
        <v/>
      </c>
      <c r="Z341" s="368" t="str">
        <f t="shared" ca="1" si="168"/>
        <v/>
      </c>
      <c r="AA341" s="369" t="str">
        <f t="shared" ca="1" si="169"/>
        <v/>
      </c>
      <c r="AB341" s="344"/>
      <c r="AC341" s="363" t="e">
        <f t="shared" ca="1" si="170"/>
        <v>#N/A</v>
      </c>
      <c r="AD341" s="376" t="e">
        <f t="shared" ca="1" si="171"/>
        <v>#N/A</v>
      </c>
      <c r="AE341" s="377">
        <f t="shared" ca="1" si="150"/>
        <v>359.84875264346272</v>
      </c>
      <c r="AF341" s="344"/>
      <c r="AG341" s="359">
        <f t="shared" ca="1" si="172"/>
        <v>-6.2174629298274535</v>
      </c>
      <c r="AH341" s="357">
        <f t="shared" ca="1" si="173"/>
        <v>3.3154631264590648</v>
      </c>
    </row>
    <row r="342" spans="1:34" x14ac:dyDescent="0.2">
      <c r="A342" s="402">
        <f t="shared" ca="1" si="151"/>
        <v>0.01</v>
      </c>
      <c r="B342" s="357">
        <f t="shared" ca="1" si="152"/>
        <v>3.3799999999999719</v>
      </c>
      <c r="C342" s="342"/>
      <c r="D342" s="359">
        <f t="shared" ca="1" si="153"/>
        <v>0.62062400736023116</v>
      </c>
      <c r="E342" s="360">
        <f t="shared" ca="1" si="154"/>
        <v>-7.2558231469440395</v>
      </c>
      <c r="F342" s="357">
        <f t="shared" ca="1" si="155"/>
        <v>7.2823171929160555</v>
      </c>
      <c r="G342" s="359">
        <f t="shared" ca="1" si="156"/>
        <v>42.264938541321932</v>
      </c>
      <c r="H342" s="360">
        <f t="shared" ca="1" si="157"/>
        <v>173.84316949300921</v>
      </c>
      <c r="I342" s="357">
        <f t="shared" ca="1" si="158"/>
        <v>178.90716198430081</v>
      </c>
      <c r="J342" s="359">
        <f t="shared" ca="1" si="159"/>
        <v>81.019296016332177</v>
      </c>
      <c r="K342" s="360">
        <f t="shared" ca="1" si="160"/>
        <v>361.58754712955016</v>
      </c>
      <c r="L342" s="357">
        <f t="shared" ca="1" si="145"/>
        <v>370.55320881912047</v>
      </c>
      <c r="M342" s="359">
        <f t="shared" ca="1" si="161"/>
        <v>1.3323023496046971</v>
      </c>
      <c r="N342" s="357">
        <f t="shared" ca="1" si="162"/>
        <v>76.335301667712244</v>
      </c>
      <c r="O342" s="343"/>
      <c r="P342" s="363">
        <f t="shared" ca="1" si="163"/>
        <v>9</v>
      </c>
      <c r="Q342" s="357">
        <f t="shared" ca="1" si="164"/>
        <v>122.59259259260908</v>
      </c>
      <c r="R342" s="359">
        <f t="shared" ca="1" si="165"/>
        <v>6.1523510422404705E-2</v>
      </c>
      <c r="S342" s="360">
        <f t="shared" ca="1" si="166"/>
        <v>8.3882330193308299</v>
      </c>
      <c r="T342" s="357">
        <f t="shared" ca="1" si="146"/>
        <v>82.288565919635445</v>
      </c>
      <c r="U342" s="364">
        <f t="shared" ca="1" si="147"/>
        <v>0</v>
      </c>
      <c r="V342" s="359">
        <f t="shared" ca="1" si="148"/>
        <v>1.1814921208419094</v>
      </c>
      <c r="W342" s="357">
        <f t="shared" ca="1" si="149"/>
        <v>100.44912413950756</v>
      </c>
      <c r="X342" s="343"/>
      <c r="Y342" s="367" t="str">
        <f t="shared" ca="1" si="167"/>
        <v/>
      </c>
      <c r="Z342" s="368" t="str">
        <f t="shared" ca="1" si="168"/>
        <v/>
      </c>
      <c r="AA342" s="369" t="str">
        <f t="shared" ca="1" si="169"/>
        <v/>
      </c>
      <c r="AB342" s="344"/>
      <c r="AC342" s="363" t="e">
        <f t="shared" ca="1" si="170"/>
        <v>#N/A</v>
      </c>
      <c r="AD342" s="376" t="e">
        <f t="shared" ca="1" si="171"/>
        <v>#N/A</v>
      </c>
      <c r="AE342" s="377">
        <f t="shared" ca="1" si="150"/>
        <v>361.58754712955016</v>
      </c>
      <c r="AF342" s="344"/>
      <c r="AG342" s="359">
        <f t="shared" ca="1" si="172"/>
        <v>-6.9041300839176776</v>
      </c>
      <c r="AH342" s="357">
        <f t="shared" ca="1" si="173"/>
        <v>2.6284964438246297</v>
      </c>
    </row>
    <row r="343" spans="1:34" x14ac:dyDescent="0.2">
      <c r="A343" s="402">
        <f t="shared" ca="1" si="151"/>
        <v>0.01</v>
      </c>
      <c r="B343" s="357">
        <f t="shared" ca="1" si="152"/>
        <v>3.3899999999999717</v>
      </c>
      <c r="C343" s="342"/>
      <c r="D343" s="359">
        <f t="shared" ca="1" si="153"/>
        <v>0.45885613625570915</v>
      </c>
      <c r="E343" s="360">
        <f t="shared" ca="1" si="154"/>
        <v>-7.922643533362308</v>
      </c>
      <c r="F343" s="357">
        <f t="shared" ca="1" si="155"/>
        <v>7.9359202056539804</v>
      </c>
      <c r="G343" s="359">
        <f t="shared" ca="1" si="156"/>
        <v>42.269527102684492</v>
      </c>
      <c r="H343" s="360">
        <f t="shared" ca="1" si="157"/>
        <v>173.76394305767559</v>
      </c>
      <c r="I343" s="357">
        <f t="shared" ca="1" si="158"/>
        <v>178.83126356550665</v>
      </c>
      <c r="J343" s="359">
        <f t="shared" ca="1" si="159"/>
        <v>81.441968344552208</v>
      </c>
      <c r="K343" s="360">
        <f t="shared" ca="1" si="160"/>
        <v>363.32558269230356</v>
      </c>
      <c r="L343" s="357">
        <f t="shared" ca="1" si="145"/>
        <v>372.34160826657148</v>
      </c>
      <c r="M343" s="359">
        <f t="shared" ca="1" si="161"/>
        <v>1.3321727576386226</v>
      </c>
      <c r="N343" s="357">
        <f t="shared" ca="1" si="162"/>
        <v>76.327876594997377</v>
      </c>
      <c r="O343" s="343"/>
      <c r="P343" s="363">
        <f t="shared" ca="1" si="163"/>
        <v>9</v>
      </c>
      <c r="Q343" s="357">
        <f t="shared" ca="1" si="164"/>
        <v>116.74074074075736</v>
      </c>
      <c r="R343" s="359">
        <f t="shared" ca="1" si="165"/>
        <v>5.8586738625806996E-2</v>
      </c>
      <c r="S343" s="360">
        <f t="shared" ca="1" si="166"/>
        <v>8.3876471519445719</v>
      </c>
      <c r="T343" s="357">
        <f t="shared" ca="1" si="146"/>
        <v>82.28281856057626</v>
      </c>
      <c r="U343" s="364">
        <f t="shared" ca="1" si="147"/>
        <v>0</v>
      </c>
      <c r="V343" s="359">
        <f t="shared" ca="1" si="148"/>
        <v>1.1812867236993587</v>
      </c>
      <c r="W343" s="357">
        <f t="shared" ca="1" si="149"/>
        <v>100.34646662306992</v>
      </c>
      <c r="X343" s="343"/>
      <c r="Y343" s="367" t="str">
        <f t="shared" ca="1" si="167"/>
        <v/>
      </c>
      <c r="Z343" s="368" t="str">
        <f t="shared" ca="1" si="168"/>
        <v/>
      </c>
      <c r="AA343" s="369" t="str">
        <f t="shared" ca="1" si="169"/>
        <v/>
      </c>
      <c r="AB343" s="344"/>
      <c r="AC343" s="363" t="e">
        <f t="shared" ca="1" si="170"/>
        <v>#N/A</v>
      </c>
      <c r="AD343" s="376" t="e">
        <f t="shared" ca="1" si="171"/>
        <v>#N/A</v>
      </c>
      <c r="AE343" s="377">
        <f t="shared" ca="1" si="150"/>
        <v>363.32558269230356</v>
      </c>
      <c r="AF343" s="344"/>
      <c r="AG343" s="359">
        <f t="shared" ca="1" si="172"/>
        <v>-7.5899920447231626</v>
      </c>
      <c r="AH343" s="357">
        <f t="shared" ca="1" si="173"/>
        <v>1.9423345195765407</v>
      </c>
    </row>
    <row r="344" spans="1:34" x14ac:dyDescent="0.2">
      <c r="A344" s="402">
        <f t="shared" ca="1" si="151"/>
        <v>0.01</v>
      </c>
      <c r="B344" s="357">
        <f t="shared" ca="1" si="152"/>
        <v>3.3999999999999715</v>
      </c>
      <c r="C344" s="342"/>
      <c r="D344" s="359">
        <f t="shared" ca="1" si="153"/>
        <v>0.29710708903088129</v>
      </c>
      <c r="E344" s="360">
        <f t="shared" ca="1" si="154"/>
        <v>-8.5886355126477145</v>
      </c>
      <c r="F344" s="357">
        <f t="shared" ca="1" si="155"/>
        <v>8.5937728962002407</v>
      </c>
      <c r="G344" s="359">
        <f t="shared" ca="1" si="156"/>
        <v>42.272498173574803</v>
      </c>
      <c r="H344" s="360">
        <f t="shared" ca="1" si="157"/>
        <v>173.6780567025491</v>
      </c>
      <c r="I344" s="357">
        <f t="shared" ca="1" si="158"/>
        <v>178.7485146282585</v>
      </c>
      <c r="J344" s="359">
        <f t="shared" ca="1" si="159"/>
        <v>81.864678470933498</v>
      </c>
      <c r="K344" s="360">
        <f t="shared" ca="1" si="160"/>
        <v>365.06279269110468</v>
      </c>
      <c r="L344" s="357">
        <f t="shared" ca="1" si="145"/>
        <v>374.12921322529439</v>
      </c>
      <c r="M344" s="359">
        <f t="shared" ca="1" si="161"/>
        <v>1.3320430365719933</v>
      </c>
      <c r="N344" s="357">
        <f t="shared" ca="1" si="162"/>
        <v>76.320444125365583</v>
      </c>
      <c r="O344" s="343"/>
      <c r="P344" s="363">
        <f t="shared" ca="1" si="163"/>
        <v>9</v>
      </c>
      <c r="Q344" s="357">
        <f t="shared" ca="1" si="164"/>
        <v>110.88888888890563</v>
      </c>
      <c r="R344" s="359">
        <f t="shared" ca="1" si="165"/>
        <v>5.564996682920928E-2</v>
      </c>
      <c r="S344" s="360">
        <f t="shared" ca="1" si="166"/>
        <v>8.3870906522762798</v>
      </c>
      <c r="T344" s="357">
        <f t="shared" ca="1" si="146"/>
        <v>82.277359298830305</v>
      </c>
      <c r="U344" s="364">
        <f t="shared" ca="1" si="147"/>
        <v>0</v>
      </c>
      <c r="V344" s="359">
        <f t="shared" ca="1" si="148"/>
        <v>1.1810814591539489</v>
      </c>
      <c r="W344" s="357">
        <f t="shared" ca="1" si="149"/>
        <v>100.23620289975409</v>
      </c>
      <c r="X344" s="343"/>
      <c r="Y344" s="367" t="str">
        <f t="shared" ca="1" si="167"/>
        <v/>
      </c>
      <c r="Z344" s="368" t="str">
        <f t="shared" ca="1" si="168"/>
        <v/>
      </c>
      <c r="AA344" s="369" t="str">
        <f t="shared" ca="1" si="169"/>
        <v/>
      </c>
      <c r="AB344" s="344"/>
      <c r="AC344" s="363" t="e">
        <f t="shared" ca="1" si="170"/>
        <v>#N/A</v>
      </c>
      <c r="AD344" s="376" t="e">
        <f t="shared" ca="1" si="171"/>
        <v>#N/A</v>
      </c>
      <c r="AE344" s="377">
        <f t="shared" ca="1" si="150"/>
        <v>365.06279269110468</v>
      </c>
      <c r="AF344" s="344"/>
      <c r="AG344" s="359">
        <f t="shared" ca="1" si="172"/>
        <v>-8.2750441198363873</v>
      </c>
      <c r="AH344" s="357">
        <f t="shared" ca="1" si="173"/>
        <v>1.2569820338086448</v>
      </c>
    </row>
    <row r="345" spans="1:34" x14ac:dyDescent="0.2">
      <c r="A345" s="402">
        <f t="shared" ca="1" si="151"/>
        <v>0.01</v>
      </c>
      <c r="B345" s="357">
        <f t="shared" ca="1" si="152"/>
        <v>3.4099999999999713</v>
      </c>
      <c r="C345" s="342"/>
      <c r="D345" s="359">
        <f t="shared" ca="1" si="153"/>
        <v>0.13537801243833242</v>
      </c>
      <c r="E345" s="360">
        <f t="shared" ca="1" si="154"/>
        <v>-9.2537946386797429</v>
      </c>
      <c r="F345" s="357">
        <f t="shared" ca="1" si="155"/>
        <v>9.2547848392661027</v>
      </c>
      <c r="G345" s="359">
        <f t="shared" ca="1" si="156"/>
        <v>42.273851953699186</v>
      </c>
      <c r="H345" s="360">
        <f t="shared" ca="1" si="157"/>
        <v>173.58551875616232</v>
      </c>
      <c r="I345" s="357">
        <f t="shared" ca="1" si="158"/>
        <v>178.65892331716671</v>
      </c>
      <c r="J345" s="359">
        <f t="shared" ca="1" si="159"/>
        <v>82.287410221569871</v>
      </c>
      <c r="K345" s="360">
        <f t="shared" ca="1" si="160"/>
        <v>366.79911056839825</v>
      </c>
      <c r="L345" s="357">
        <f t="shared" ca="1" si="145"/>
        <v>375.9159552276825</v>
      </c>
      <c r="M345" s="359">
        <f t="shared" ca="1" si="161"/>
        <v>1.3319131812454512</v>
      </c>
      <c r="N345" s="357">
        <f t="shared" ca="1" si="162"/>
        <v>76.313003963207422</v>
      </c>
      <c r="O345" s="343"/>
      <c r="P345" s="363">
        <f t="shared" ca="1" si="163"/>
        <v>9</v>
      </c>
      <c r="Q345" s="357">
        <f t="shared" ca="1" si="164"/>
        <v>105.03703703705391</v>
      </c>
      <c r="R345" s="359">
        <f t="shared" ca="1" si="165"/>
        <v>5.2713195032611571E-2</v>
      </c>
      <c r="S345" s="360">
        <f t="shared" ca="1" si="166"/>
        <v>8.3865635203259536</v>
      </c>
      <c r="T345" s="357">
        <f t="shared" ca="1" si="146"/>
        <v>82.272188134397609</v>
      </c>
      <c r="U345" s="364">
        <f t="shared" ca="1" si="147"/>
        <v>0</v>
      </c>
      <c r="V345" s="359">
        <f t="shared" ca="1" si="148"/>
        <v>1.1808763350090561</v>
      </c>
      <c r="W345" s="357">
        <f t="shared" ca="1" si="149"/>
        <v>100.11835738367678</v>
      </c>
      <c r="X345" s="343"/>
      <c r="Y345" s="367" t="str">
        <f t="shared" ca="1" si="167"/>
        <v/>
      </c>
      <c r="Z345" s="368" t="str">
        <f t="shared" ca="1" si="168"/>
        <v/>
      </c>
      <c r="AA345" s="369" t="str">
        <f t="shared" ca="1" si="169"/>
        <v/>
      </c>
      <c r="AB345" s="344"/>
      <c r="AC345" s="363" t="e">
        <f t="shared" ca="1" si="170"/>
        <v>#N/A</v>
      </c>
      <c r="AD345" s="376" t="e">
        <f t="shared" ca="1" si="171"/>
        <v>#N/A</v>
      </c>
      <c r="AE345" s="377">
        <f t="shared" ca="1" si="150"/>
        <v>366.79911056839825</v>
      </c>
      <c r="AF345" s="344"/>
      <c r="AG345" s="359">
        <f t="shared" ca="1" si="172"/>
        <v>-8.959281740144025</v>
      </c>
      <c r="AH345" s="357">
        <f t="shared" ca="1" si="173"/>
        <v>0.57244354325396274</v>
      </c>
    </row>
    <row r="346" spans="1:34" x14ac:dyDescent="0.2">
      <c r="A346" s="402">
        <f t="shared" ca="1" si="151"/>
        <v>0.01</v>
      </c>
      <c r="B346" s="357">
        <f t="shared" ca="1" si="152"/>
        <v>3.4199999999999711</v>
      </c>
      <c r="C346" s="342"/>
      <c r="D346" s="359">
        <f t="shared" ca="1" si="153"/>
        <v>-2.6329986589304532E-2</v>
      </c>
      <c r="E346" s="360">
        <f t="shared" ca="1" si="154"/>
        <v>-9.9181165819938322</v>
      </c>
      <c r="F346" s="357">
        <f t="shared" ca="1" si="155"/>
        <v>9.9181515315211239</v>
      </c>
      <c r="G346" s="359">
        <f t="shared" ca="1" si="156"/>
        <v>42.273588653833293</v>
      </c>
      <c r="H346" s="360">
        <f t="shared" ca="1" si="157"/>
        <v>173.48633759034237</v>
      </c>
      <c r="I346" s="357">
        <f t="shared" ca="1" si="158"/>
        <v>178.56249782130553</v>
      </c>
      <c r="J346" s="359">
        <f t="shared" ca="1" si="159"/>
        <v>82.710147424607527</v>
      </c>
      <c r="K346" s="360">
        <f t="shared" ca="1" si="160"/>
        <v>368.53446985013079</v>
      </c>
      <c r="L346" s="357">
        <f t="shared" ca="1" si="145"/>
        <v>377.70176588774012</v>
      </c>
      <c r="M346" s="359">
        <f t="shared" ca="1" si="161"/>
        <v>1.3317831864796534</v>
      </c>
      <c r="N346" s="357">
        <f t="shared" ca="1" si="162"/>
        <v>76.305555811768428</v>
      </c>
      <c r="O346" s="343"/>
      <c r="P346" s="363">
        <f t="shared" ca="1" si="163"/>
        <v>9</v>
      </c>
      <c r="Q346" s="357">
        <f t="shared" ca="1" si="164"/>
        <v>99.185185185202172</v>
      </c>
      <c r="R346" s="359">
        <f t="shared" ca="1" si="165"/>
        <v>4.9776423236013854E-2</v>
      </c>
      <c r="S346" s="360">
        <f t="shared" ca="1" si="166"/>
        <v>8.3860657560935934</v>
      </c>
      <c r="T346" s="357">
        <f t="shared" ca="1" si="146"/>
        <v>82.267305067278159</v>
      </c>
      <c r="U346" s="364">
        <f t="shared" ca="1" si="147"/>
        <v>0</v>
      </c>
      <c r="V346" s="359">
        <f t="shared" ca="1" si="148"/>
        <v>1.1806713590528899</v>
      </c>
      <c r="W346" s="357">
        <f t="shared" ca="1" si="149"/>
        <v>99.992955379062593</v>
      </c>
      <c r="X346" s="343"/>
      <c r="Y346" s="367" t="str">
        <f t="shared" ca="1" si="167"/>
        <v/>
      </c>
      <c r="Z346" s="368" t="str">
        <f t="shared" ca="1" si="168"/>
        <v/>
      </c>
      <c r="AA346" s="369" t="str">
        <f t="shared" ca="1" si="169"/>
        <v/>
      </c>
      <c r="AB346" s="344"/>
      <c r="AC346" s="363" t="e">
        <f t="shared" ca="1" si="170"/>
        <v>#N/A</v>
      </c>
      <c r="AD346" s="376" t="e">
        <f t="shared" ca="1" si="171"/>
        <v>#N/A</v>
      </c>
      <c r="AE346" s="377">
        <f t="shared" ca="1" si="150"/>
        <v>368.53446985013079</v>
      </c>
      <c r="AF346" s="344"/>
      <c r="AG346" s="359">
        <f t="shared" ca="1" si="172"/>
        <v>-9.6427004592777639</v>
      </c>
      <c r="AH346" s="357">
        <f t="shared" ca="1" si="173"/>
        <v>-0.11127651816902752</v>
      </c>
    </row>
    <row r="347" spans="1:34" x14ac:dyDescent="0.2">
      <c r="A347" s="402">
        <f t="shared" ca="1" si="151"/>
        <v>0.01</v>
      </c>
      <c r="B347" s="357">
        <f t="shared" ca="1" si="152"/>
        <v>3.4299999999999708</v>
      </c>
      <c r="C347" s="342"/>
      <c r="D347" s="359">
        <f t="shared" ca="1" si="153"/>
        <v>-0.18801584090061962</v>
      </c>
      <c r="E347" s="360">
        <f t="shared" ca="1" si="154"/>
        <v>-10.581597129212716</v>
      </c>
      <c r="F347" s="357">
        <f t="shared" ca="1" si="155"/>
        <v>10.583267348101547</v>
      </c>
      <c r="G347" s="359">
        <f t="shared" ca="1" si="156"/>
        <v>42.271708495424285</v>
      </c>
      <c r="H347" s="360">
        <f t="shared" ca="1" si="157"/>
        <v>173.38052161905026</v>
      </c>
      <c r="I347" s="357">
        <f t="shared" ca="1" si="158"/>
        <v>178.45924637299149</v>
      </c>
      <c r="J347" s="359">
        <f t="shared" ca="1" si="159"/>
        <v>83.132873910353808</v>
      </c>
      <c r="K347" s="360">
        <f t="shared" ca="1" si="160"/>
        <v>370.26880414617773</v>
      </c>
      <c r="L347" s="357">
        <f t="shared" ca="1" si="145"/>
        <v>379.48657690152271</v>
      </c>
      <c r="M347" s="359">
        <f t="shared" ca="1" si="161"/>
        <v>1.331653047074087</v>
      </c>
      <c r="N347" s="357">
        <f t="shared" ca="1" si="162"/>
        <v>76.298099373081129</v>
      </c>
      <c r="O347" s="343"/>
      <c r="P347" s="363">
        <f t="shared" ca="1" si="163"/>
        <v>9</v>
      </c>
      <c r="Q347" s="357">
        <f t="shared" ca="1" si="164"/>
        <v>93.333333333350453</v>
      </c>
      <c r="R347" s="359">
        <f t="shared" ca="1" si="165"/>
        <v>4.6839651439416145E-2</v>
      </c>
      <c r="S347" s="360">
        <f t="shared" ca="1" si="166"/>
        <v>8.3855973595791991</v>
      </c>
      <c r="T347" s="357">
        <f t="shared" ca="1" si="146"/>
        <v>82.262710097471953</v>
      </c>
      <c r="U347" s="364">
        <f t="shared" ca="1" si="147"/>
        <v>0</v>
      </c>
      <c r="V347" s="359">
        <f t="shared" ca="1" si="148"/>
        <v>1.1804665390584592</v>
      </c>
      <c r="W347" s="357">
        <f t="shared" ca="1" si="149"/>
        <v>99.860023073973636</v>
      </c>
      <c r="X347" s="343"/>
      <c r="Y347" s="367" t="str">
        <f t="shared" ca="1" si="167"/>
        <v/>
      </c>
      <c r="Z347" s="368" t="str">
        <f t="shared" ca="1" si="168"/>
        <v/>
      </c>
      <c r="AA347" s="369" t="str">
        <f t="shared" ca="1" si="169"/>
        <v/>
      </c>
      <c r="AB347" s="344"/>
      <c r="AC347" s="363" t="e">
        <f t="shared" ca="1" si="170"/>
        <v>#N/A</v>
      </c>
      <c r="AD347" s="376" t="e">
        <f t="shared" ca="1" si="171"/>
        <v>#N/A</v>
      </c>
      <c r="AE347" s="377">
        <f t="shared" ca="1" si="150"/>
        <v>370.26880414617773</v>
      </c>
      <c r="AF347" s="344"/>
      <c r="AG347" s="359">
        <f t="shared" ca="1" si="172"/>
        <v>-10.32529595305788</v>
      </c>
      <c r="AH347" s="357">
        <f t="shared" ca="1" si="173"/>
        <v>-0.79417383880286019</v>
      </c>
    </row>
    <row r="348" spans="1:34" x14ac:dyDescent="0.2">
      <c r="A348" s="402">
        <f t="shared" ca="1" si="151"/>
        <v>0.01</v>
      </c>
      <c r="B348" s="357">
        <f t="shared" ca="1" si="152"/>
        <v>3.4399999999999706</v>
      </c>
      <c r="C348" s="342"/>
      <c r="D348" s="359">
        <f t="shared" ca="1" si="153"/>
        <v>-0.34967852308887459</v>
      </c>
      <c r="E348" s="360">
        <f t="shared" ca="1" si="154"/>
        <v>-11.244232182470004</v>
      </c>
      <c r="F348" s="357">
        <f t="shared" ca="1" si="155"/>
        <v>11.249668103673271</v>
      </c>
      <c r="G348" s="359">
        <f t="shared" ca="1" si="156"/>
        <v>42.268211710193398</v>
      </c>
      <c r="H348" s="360">
        <f t="shared" ca="1" si="157"/>
        <v>173.26807929722557</v>
      </c>
      <c r="I348" s="357">
        <f t="shared" ca="1" si="158"/>
        <v>178.34917724656702</v>
      </c>
      <c r="J348" s="359">
        <f t="shared" ca="1" si="159"/>
        <v>83.555573511381894</v>
      </c>
      <c r="K348" s="360">
        <f t="shared" ca="1" si="160"/>
        <v>372.0020471507591</v>
      </c>
      <c r="L348" s="357">
        <f t="shared" ca="1" si="145"/>
        <v>381.27032004756359</v>
      </c>
      <c r="M348" s="359">
        <f t="shared" ca="1" si="161"/>
        <v>1.3315227578058737</v>
      </c>
      <c r="N348" s="357">
        <f t="shared" ca="1" si="162"/>
        <v>76.290634347896656</v>
      </c>
      <c r="O348" s="343"/>
      <c r="P348" s="363">
        <f t="shared" ca="1" si="163"/>
        <v>9</v>
      </c>
      <c r="Q348" s="357">
        <f t="shared" ca="1" si="164"/>
        <v>87.481481481498719</v>
      </c>
      <c r="R348" s="359">
        <f t="shared" ca="1" si="165"/>
        <v>4.3902879642818429E-2</v>
      </c>
      <c r="S348" s="360">
        <f t="shared" ca="1" si="166"/>
        <v>8.3851583307827706</v>
      </c>
      <c r="T348" s="357">
        <f t="shared" ca="1" si="146"/>
        <v>82.258403224978977</v>
      </c>
      <c r="U348" s="364">
        <f t="shared" ca="1" si="147"/>
        <v>0</v>
      </c>
      <c r="V348" s="359">
        <f t="shared" ca="1" si="148"/>
        <v>1.1802618827835418</v>
      </c>
      <c r="W348" s="357">
        <f t="shared" ca="1" si="149"/>
        <v>99.719587534037188</v>
      </c>
      <c r="X348" s="343"/>
      <c r="Y348" s="367" t="str">
        <f t="shared" ca="1" si="167"/>
        <v/>
      </c>
      <c r="Z348" s="368" t="str">
        <f t="shared" ca="1" si="168"/>
        <v/>
      </c>
      <c r="AA348" s="369" t="str">
        <f t="shared" ca="1" si="169"/>
        <v/>
      </c>
      <c r="AB348" s="344"/>
      <c r="AC348" s="363" t="e">
        <f t="shared" ca="1" si="170"/>
        <v>#N/A</v>
      </c>
      <c r="AD348" s="376" t="e">
        <f t="shared" ca="1" si="171"/>
        <v>#N/A</v>
      </c>
      <c r="AE348" s="377">
        <f t="shared" ca="1" si="150"/>
        <v>372.0020471507591</v>
      </c>
      <c r="AF348" s="344"/>
      <c r="AG348" s="359">
        <f t="shared" ca="1" si="172"/>
        <v>-11.007064018929807</v>
      </c>
      <c r="AH348" s="357">
        <f t="shared" ca="1" si="173"/>
        <v>-1.4762442286905937</v>
      </c>
    </row>
    <row r="349" spans="1:34" x14ac:dyDescent="0.2">
      <c r="A349" s="402">
        <f t="shared" ca="1" si="151"/>
        <v>0.01</v>
      </c>
      <c r="B349" s="357">
        <f t="shared" ca="1" si="152"/>
        <v>3.4499999999999704</v>
      </c>
      <c r="C349" s="342"/>
      <c r="D349" s="359">
        <f t="shared" ca="1" si="153"/>
        <v>-0.51131704545769119</v>
      </c>
      <c r="E349" s="360">
        <f t="shared" ca="1" si="154"/>
        <v>-11.906017758826092</v>
      </c>
      <c r="F349" s="357">
        <f t="shared" ca="1" si="155"/>
        <v>11.916992237744299</v>
      </c>
      <c r="G349" s="359">
        <f t="shared" ca="1" si="156"/>
        <v>42.26309853973882</v>
      </c>
      <c r="H349" s="360">
        <f t="shared" ca="1" si="157"/>
        <v>173.1490191196373</v>
      </c>
      <c r="I349" s="357">
        <f t="shared" ca="1" si="158"/>
        <v>178.23229875718991</v>
      </c>
      <c r="J349" s="359">
        <f t="shared" ca="1" si="159"/>
        <v>83.978230062631553</v>
      </c>
      <c r="K349" s="360">
        <f t="shared" ca="1" si="160"/>
        <v>373.73413264284341</v>
      </c>
      <c r="L349" s="357">
        <f t="shared" ca="1" si="145"/>
        <v>383.0529271872893</v>
      </c>
      <c r="M349" s="359">
        <f t="shared" ca="1" si="161"/>
        <v>1.3313923134285619</v>
      </c>
      <c r="N349" s="357">
        <f t="shared" ca="1" si="162"/>
        <v>76.283160435615471</v>
      </c>
      <c r="O349" s="343"/>
      <c r="P349" s="363">
        <f t="shared" ca="1" si="163"/>
        <v>9</v>
      </c>
      <c r="Q349" s="357">
        <f t="shared" ca="1" si="164"/>
        <v>81.629629629646985</v>
      </c>
      <c r="R349" s="359">
        <f t="shared" ca="1" si="165"/>
        <v>4.0966107846220713E-2</v>
      </c>
      <c r="S349" s="360">
        <f t="shared" ca="1" si="166"/>
        <v>8.3847486697043081</v>
      </c>
      <c r="T349" s="357">
        <f t="shared" ca="1" si="146"/>
        <v>82.254384449799261</v>
      </c>
      <c r="U349" s="364">
        <f t="shared" ca="1" si="147"/>
        <v>0</v>
      </c>
      <c r="V349" s="359">
        <f t="shared" ca="1" si="148"/>
        <v>1.1800573979706592</v>
      </c>
      <c r="W349" s="357">
        <f t="shared" ca="1" si="149"/>
        <v>99.571676696173569</v>
      </c>
      <c r="X349" s="343"/>
      <c r="Y349" s="367" t="str">
        <f t="shared" ca="1" si="167"/>
        <v/>
      </c>
      <c r="Z349" s="368" t="str">
        <f t="shared" ca="1" si="168"/>
        <v/>
      </c>
      <c r="AA349" s="369" t="str">
        <f t="shared" ca="1" si="169"/>
        <v/>
      </c>
      <c r="AB349" s="344"/>
      <c r="AC349" s="363" t="e">
        <f t="shared" ca="1" si="170"/>
        <v>#N/A</v>
      </c>
      <c r="AD349" s="376" t="e">
        <f t="shared" ca="1" si="171"/>
        <v>#N/A</v>
      </c>
      <c r="AE349" s="377">
        <f t="shared" ca="1" si="150"/>
        <v>373.73413264284341</v>
      </c>
      <c r="AF349" s="344"/>
      <c r="AG349" s="359">
        <f t="shared" ca="1" si="172"/>
        <v>-11.688000575393829</v>
      </c>
      <c r="AH349" s="357">
        <f t="shared" ca="1" si="173"/>
        <v>-2.1574836190084818</v>
      </c>
    </row>
    <row r="350" spans="1:34" x14ac:dyDescent="0.2">
      <c r="A350" s="402">
        <f t="shared" ca="1" si="151"/>
        <v>0.01</v>
      </c>
      <c r="B350" s="357">
        <f t="shared" ca="1" si="152"/>
        <v>3.4599999999999702</v>
      </c>
      <c r="C350" s="342"/>
      <c r="D350" s="359">
        <f t="shared" ca="1" si="153"/>
        <v>-0.67293045998909962</v>
      </c>
      <c r="E350" s="360">
        <f t="shared" ca="1" si="154"/>
        <v>-12.566949989676715</v>
      </c>
      <c r="F350" s="357">
        <f t="shared" ca="1" si="155"/>
        <v>12.584954010524502</v>
      </c>
      <c r="G350" s="359">
        <f t="shared" ca="1" si="156"/>
        <v>42.256369235138926</v>
      </c>
      <c r="H350" s="360">
        <f t="shared" ca="1" si="157"/>
        <v>173.02334961974054</v>
      </c>
      <c r="I350" s="357">
        <f t="shared" ca="1" si="158"/>
        <v>178.10861925962865</v>
      </c>
      <c r="J350" s="359">
        <f t="shared" ca="1" si="159"/>
        <v>84.400827401505936</v>
      </c>
      <c r="K350" s="360">
        <f t="shared" ca="1" si="160"/>
        <v>375.46499448654032</v>
      </c>
      <c r="L350" s="357">
        <f t="shared" ca="1" si="145"/>
        <v>384.83433026542286</v>
      </c>
      <c r="M350" s="359">
        <f t="shared" ca="1" si="161"/>
        <v>1.3312617086709102</v>
      </c>
      <c r="N350" s="357">
        <f t="shared" ca="1" si="162"/>
        <v>76.275677334217704</v>
      </c>
      <c r="O350" s="343"/>
      <c r="P350" s="363">
        <f t="shared" ca="1" si="163"/>
        <v>9</v>
      </c>
      <c r="Q350" s="357">
        <f t="shared" ca="1" si="164"/>
        <v>75.777777777795279</v>
      </c>
      <c r="R350" s="359">
        <f t="shared" ca="1" si="165"/>
        <v>3.8029336049623011E-2</v>
      </c>
      <c r="S350" s="360">
        <f t="shared" ca="1" si="166"/>
        <v>8.3843683763438115</v>
      </c>
      <c r="T350" s="357">
        <f t="shared" ca="1" si="146"/>
        <v>82.250653771932789</v>
      </c>
      <c r="U350" s="364">
        <f t="shared" ca="1" si="147"/>
        <v>0</v>
      </c>
      <c r="V350" s="359">
        <f t="shared" ca="1" si="148"/>
        <v>1.1798530923470487</v>
      </c>
      <c r="W350" s="357">
        <f t="shared" ca="1" si="149"/>
        <v>99.416319362325027</v>
      </c>
      <c r="X350" s="343"/>
      <c r="Y350" s="367" t="str">
        <f t="shared" ca="1" si="167"/>
        <v/>
      </c>
      <c r="Z350" s="368" t="str">
        <f t="shared" ca="1" si="168"/>
        <v/>
      </c>
      <c r="AA350" s="369" t="str">
        <f t="shared" ca="1" si="169"/>
        <v/>
      </c>
      <c r="AB350" s="344"/>
      <c r="AC350" s="363" t="e">
        <f t="shared" ca="1" si="170"/>
        <v>#N/A</v>
      </c>
      <c r="AD350" s="376" t="e">
        <f t="shared" ca="1" si="171"/>
        <v>#N/A</v>
      </c>
      <c r="AE350" s="377">
        <f t="shared" ca="1" si="150"/>
        <v>375.46499448654032</v>
      </c>
      <c r="AF350" s="344"/>
      <c r="AG350" s="359">
        <f t="shared" ca="1" si="172"/>
        <v>-12.368101661428213</v>
      </c>
      <c r="AH350" s="357">
        <f t="shared" ca="1" si="173"/>
        <v>-2.837888061492134</v>
      </c>
    </row>
    <row r="351" spans="1:34" x14ac:dyDescent="0.2">
      <c r="A351" s="402">
        <f t="shared" ca="1" si="151"/>
        <v>0.01</v>
      </c>
      <c r="B351" s="357">
        <f t="shared" ca="1" si="152"/>
        <v>3.46999999999997</v>
      </c>
      <c r="C351" s="342"/>
      <c r="D351" s="359">
        <f t="shared" ca="1" si="153"/>
        <v>-0.83451785831401504</v>
      </c>
      <c r="E351" s="360">
        <f t="shared" ca="1" si="154"/>
        <v>-13.227025120154249</v>
      </c>
      <c r="F351" s="357">
        <f t="shared" ca="1" si="155"/>
        <v>13.253324623845767</v>
      </c>
      <c r="G351" s="359">
        <f t="shared" ca="1" si="156"/>
        <v>42.248024056555785</v>
      </c>
      <c r="H351" s="360">
        <f t="shared" ca="1" si="157"/>
        <v>172.89107936853901</v>
      </c>
      <c r="I351" s="357">
        <f t="shared" ca="1" si="158"/>
        <v>177.97814714706345</v>
      </c>
      <c r="J351" s="359">
        <f t="shared" ca="1" si="159"/>
        <v>84.823349367964411</v>
      </c>
      <c r="K351" s="360">
        <f t="shared" ca="1" si="160"/>
        <v>377.19456663148173</v>
      </c>
      <c r="L351" s="357">
        <f t="shared" ca="1" si="145"/>
        <v>386.61446131037451</v>
      </c>
      <c r="M351" s="359">
        <f t="shared" ca="1" si="161"/>
        <v>1.3311309382356555</v>
      </c>
      <c r="N351" s="357">
        <f t="shared" ca="1" si="162"/>
        <v>76.268184740192524</v>
      </c>
      <c r="O351" s="343"/>
      <c r="P351" s="363">
        <f t="shared" ca="1" si="163"/>
        <v>9</v>
      </c>
      <c r="Q351" s="357">
        <f t="shared" ca="1" si="164"/>
        <v>69.925925925943545</v>
      </c>
      <c r="R351" s="359">
        <f t="shared" ca="1" si="165"/>
        <v>3.5092564253025295E-2</v>
      </c>
      <c r="S351" s="360">
        <f t="shared" ca="1" si="166"/>
        <v>8.3840174507012808</v>
      </c>
      <c r="T351" s="357">
        <f t="shared" ca="1" si="146"/>
        <v>82.247211191379563</v>
      </c>
      <c r="U351" s="364">
        <f t="shared" ca="1" si="147"/>
        <v>0</v>
      </c>
      <c r="V351" s="359">
        <f t="shared" ca="1" si="148"/>
        <v>1.1796489736246409</v>
      </c>
      <c r="W351" s="357">
        <f t="shared" ca="1" si="149"/>
        <v>99.253545193187279</v>
      </c>
      <c r="X351" s="343"/>
      <c r="Y351" s="367" t="str">
        <f t="shared" ca="1" si="167"/>
        <v/>
      </c>
      <c r="Z351" s="368" t="str">
        <f t="shared" ca="1" si="168"/>
        <v/>
      </c>
      <c r="AA351" s="369" t="str">
        <f t="shared" ca="1" si="169"/>
        <v/>
      </c>
      <c r="AB351" s="344"/>
      <c r="AC351" s="363" t="e">
        <f t="shared" ca="1" si="170"/>
        <v>#N/A</v>
      </c>
      <c r="AD351" s="376" t="e">
        <f t="shared" ca="1" si="171"/>
        <v>#N/A</v>
      </c>
      <c r="AE351" s="377">
        <f t="shared" ca="1" si="150"/>
        <v>377.19456663148173</v>
      </c>
      <c r="AF351" s="344"/>
      <c r="AG351" s="359">
        <f t="shared" ca="1" si="172"/>
        <v>-13.04736343590595</v>
      </c>
      <c r="AH351" s="357">
        <f t="shared" ca="1" si="173"/>
        <v>-3.5174537278562985</v>
      </c>
    </row>
    <row r="352" spans="1:34" x14ac:dyDescent="0.2">
      <c r="A352" s="402">
        <f t="shared" ca="1" si="151"/>
        <v>0.01</v>
      </c>
      <c r="B352" s="357">
        <f t="shared" ca="1" si="152"/>
        <v>3.4799999999999698</v>
      </c>
      <c r="C352" s="342"/>
      <c r="D352" s="359">
        <f t="shared" ca="1" si="153"/>
        <v>-0.99227700871395541</v>
      </c>
      <c r="E352" s="360">
        <f t="shared" ca="1" si="154"/>
        <v>-13.87068323667601</v>
      </c>
      <c r="F352" s="357">
        <f t="shared" ca="1" si="155"/>
        <v>13.906130558650283</v>
      </c>
      <c r="G352" s="359">
        <f t="shared" ca="1" si="156"/>
        <v>42.238101286468648</v>
      </c>
      <c r="H352" s="360">
        <f t="shared" ca="1" si="157"/>
        <v>172.75237253617226</v>
      </c>
      <c r="I352" s="357">
        <f t="shared" ca="1" si="158"/>
        <v>177.84105098981627</v>
      </c>
      <c r="J352" s="359">
        <f t="shared" ca="1" si="159"/>
        <v>85.245779994679538</v>
      </c>
      <c r="K352" s="360">
        <f t="shared" ca="1" si="160"/>
        <v>378.92278389100528</v>
      </c>
      <c r="L352" s="357">
        <f t="shared" ca="1" si="145"/>
        <v>388.39325323518534</v>
      </c>
      <c r="M352" s="359">
        <f t="shared" ca="1" si="161"/>
        <v>1.3309999969161785</v>
      </c>
      <c r="N352" s="357">
        <f t="shared" ca="1" si="162"/>
        <v>76.260682355222613</v>
      </c>
      <c r="O352" s="343"/>
      <c r="P352" s="363">
        <f t="shared" ca="1" si="163"/>
        <v>10</v>
      </c>
      <c r="Q352" s="357">
        <f t="shared" ca="1" si="164"/>
        <v>64.20833333335024</v>
      </c>
      <c r="R352" s="359">
        <f t="shared" ca="1" si="165"/>
        <v>3.2223170923279483E-2</v>
      </c>
      <c r="S352" s="360">
        <f t="shared" ca="1" si="166"/>
        <v>8.3836952189920488</v>
      </c>
      <c r="T352" s="357">
        <f t="shared" ca="1" si="146"/>
        <v>82.244050098312002</v>
      </c>
      <c r="U352" s="364">
        <f t="shared" ca="1" si="147"/>
        <v>0</v>
      </c>
      <c r="V352" s="359">
        <f t="shared" ca="1" si="148"/>
        <v>1.179445049408264</v>
      </c>
      <c r="W352" s="357">
        <f t="shared" ca="1" si="149"/>
        <v>99.08356313702933</v>
      </c>
      <c r="X352" s="343"/>
      <c r="Y352" s="367" t="str">
        <f t="shared" ca="1" si="167"/>
        <v/>
      </c>
      <c r="Z352" s="368" t="str">
        <f t="shared" ca="1" si="168"/>
        <v/>
      </c>
      <c r="AA352" s="369" t="str">
        <f t="shared" ca="1" si="169"/>
        <v/>
      </c>
      <c r="AB352" s="344"/>
      <c r="AC352" s="363" t="e">
        <f t="shared" ca="1" si="170"/>
        <v>#N/A</v>
      </c>
      <c r="AD352" s="376" t="e">
        <f t="shared" ca="1" si="171"/>
        <v>#N/A</v>
      </c>
      <c r="AE352" s="377">
        <f t="shared" ca="1" si="150"/>
        <v>378.92278389100528</v>
      </c>
      <c r="AF352" s="344"/>
      <c r="AG352" s="359">
        <f t="shared" ca="1" si="172"/>
        <v>-13.709768184555401</v>
      </c>
      <c r="AH352" s="357">
        <f t="shared" ca="1" si="173"/>
        <v>-4.1801629167586123</v>
      </c>
    </row>
    <row r="353" spans="1:34" x14ac:dyDescent="0.2">
      <c r="A353" s="402">
        <f t="shared" ca="1" si="151"/>
        <v>0.01</v>
      </c>
      <c r="B353" s="357">
        <f t="shared" ca="1" si="152"/>
        <v>3.4899999999999696</v>
      </c>
      <c r="C353" s="342"/>
      <c r="D353" s="359">
        <f t="shared" ca="1" si="153"/>
        <v>-1.146205757255198</v>
      </c>
      <c r="E353" s="360">
        <f t="shared" ca="1" si="154"/>
        <v>-14.497941880661422</v>
      </c>
      <c r="F353" s="357">
        <f t="shared" ca="1" si="155"/>
        <v>14.543180752950896</v>
      </c>
      <c r="G353" s="359">
        <f t="shared" ca="1" si="156"/>
        <v>42.226639228896097</v>
      </c>
      <c r="H353" s="360">
        <f t="shared" ca="1" si="157"/>
        <v>172.60739311736563</v>
      </c>
      <c r="I353" s="357">
        <f t="shared" ca="1" si="158"/>
        <v>177.69749919270151</v>
      </c>
      <c r="J353" s="359">
        <f t="shared" ca="1" si="159"/>
        <v>85.668103697256356</v>
      </c>
      <c r="K353" s="360">
        <f t="shared" ca="1" si="160"/>
        <v>380.64958271927298</v>
      </c>
      <c r="L353" s="357">
        <f t="shared" ca="1" si="145"/>
        <v>390.17064063745306</v>
      </c>
      <c r="M353" s="359">
        <f t="shared" ca="1" si="161"/>
        <v>1.3308688795961763</v>
      </c>
      <c r="N353" s="357">
        <f t="shared" ca="1" si="162"/>
        <v>76.253169886165423</v>
      </c>
      <c r="O353" s="343"/>
      <c r="P353" s="363">
        <f t="shared" ca="1" si="163"/>
        <v>10</v>
      </c>
      <c r="Q353" s="357">
        <f t="shared" ca="1" si="164"/>
        <v>58.625000000017017</v>
      </c>
      <c r="R353" s="359">
        <f t="shared" ca="1" si="165"/>
        <v>2.9421156060386408E-2</v>
      </c>
      <c r="S353" s="360">
        <f t="shared" ca="1" si="166"/>
        <v>8.3834010074314449</v>
      </c>
      <c r="T353" s="357">
        <f t="shared" ca="1" si="146"/>
        <v>82.241163882902484</v>
      </c>
      <c r="U353" s="364">
        <f t="shared" ca="1" si="147"/>
        <v>0</v>
      </c>
      <c r="V353" s="359">
        <f t="shared" ca="1" si="148"/>
        <v>1.1792413271040703</v>
      </c>
      <c r="W353" s="357">
        <f t="shared" ca="1" si="149"/>
        <v>98.906582048368321</v>
      </c>
      <c r="X353" s="343"/>
      <c r="Y353" s="367" t="str">
        <f t="shared" ca="1" si="167"/>
        <v/>
      </c>
      <c r="Z353" s="368" t="str">
        <f t="shared" ca="1" si="168"/>
        <v/>
      </c>
      <c r="AA353" s="369" t="str">
        <f t="shared" ca="1" si="169"/>
        <v/>
      </c>
      <c r="AB353" s="344"/>
      <c r="AC353" s="363" t="e">
        <f t="shared" ca="1" si="170"/>
        <v>#N/A</v>
      </c>
      <c r="AD353" s="376" t="e">
        <f t="shared" ca="1" si="171"/>
        <v>#N/A</v>
      </c>
      <c r="AE353" s="377">
        <f t="shared" ca="1" si="150"/>
        <v>380.64958271927298</v>
      </c>
      <c r="AF353" s="344"/>
      <c r="AG353" s="359">
        <f t="shared" ca="1" si="172"/>
        <v>-14.355332458038978</v>
      </c>
      <c r="AH353" s="357">
        <f t="shared" ca="1" si="173"/>
        <v>-4.8260321916067142</v>
      </c>
    </row>
    <row r="354" spans="1:34" x14ac:dyDescent="0.2">
      <c r="A354" s="402">
        <f t="shared" ca="1" si="151"/>
        <v>0.01</v>
      </c>
      <c r="B354" s="357">
        <f t="shared" ca="1" si="152"/>
        <v>3.4999999999999694</v>
      </c>
      <c r="C354" s="342"/>
      <c r="D354" s="359">
        <f t="shared" ca="1" si="153"/>
        <v>-1.3001077527746561</v>
      </c>
      <c r="E354" s="360">
        <f t="shared" ca="1" si="154"/>
        <v>-15.12437533452923</v>
      </c>
      <c r="F354" s="357">
        <f t="shared" ca="1" si="155"/>
        <v>15.180151824950267</v>
      </c>
      <c r="G354" s="359">
        <f t="shared" ca="1" si="156"/>
        <v>42.21363815136835</v>
      </c>
      <c r="H354" s="360">
        <f t="shared" ca="1" si="157"/>
        <v>172.45614936402035</v>
      </c>
      <c r="I354" s="357">
        <f t="shared" ca="1" si="158"/>
        <v>177.54749984001452</v>
      </c>
      <c r="J354" s="359">
        <f t="shared" ca="1" si="159"/>
        <v>86.090305084157677</v>
      </c>
      <c r="K354" s="360">
        <f t="shared" ca="1" si="160"/>
        <v>382.37490043167992</v>
      </c>
      <c r="L354" s="357">
        <f t="shared" ca="1" si="145"/>
        <v>391.94655899704043</v>
      </c>
      <c r="M354" s="359">
        <f t="shared" ca="1" si="161"/>
        <v>1.330737581130981</v>
      </c>
      <c r="N354" s="357">
        <f t="shared" ca="1" si="162"/>
        <v>76.245647038253182</v>
      </c>
      <c r="O354" s="343"/>
      <c r="P354" s="363">
        <f t="shared" ca="1" si="163"/>
        <v>10</v>
      </c>
      <c r="Q354" s="357">
        <f t="shared" ca="1" si="164"/>
        <v>53.041666666683788</v>
      </c>
      <c r="R354" s="359">
        <f t="shared" ca="1" si="165"/>
        <v>2.661914119749333E-2</v>
      </c>
      <c r="S354" s="360">
        <f t="shared" ca="1" si="166"/>
        <v>8.3831348160194707</v>
      </c>
      <c r="T354" s="357">
        <f t="shared" ca="1" si="146"/>
        <v>82.238552545151009</v>
      </c>
      <c r="U354" s="364">
        <f t="shared" ca="1" si="147"/>
        <v>0</v>
      </c>
      <c r="V354" s="359">
        <f t="shared" ca="1" si="148"/>
        <v>1.1790378140116649</v>
      </c>
      <c r="W354" s="357">
        <f t="shared" ca="1" si="149"/>
        <v>98.722632523688347</v>
      </c>
      <c r="X354" s="343"/>
      <c r="Y354" s="367" t="str">
        <f t="shared" ca="1" si="167"/>
        <v/>
      </c>
      <c r="Z354" s="368" t="str">
        <f t="shared" ca="1" si="168"/>
        <v/>
      </c>
      <c r="AA354" s="369" t="str">
        <f t="shared" ca="1" si="169"/>
        <v>Satellite</v>
      </c>
      <c r="AB354" s="344"/>
      <c r="AC354" s="363" t="e">
        <f t="shared" ca="1" si="170"/>
        <v>#N/A</v>
      </c>
      <c r="AD354" s="376" t="e">
        <f t="shared" ca="1" si="171"/>
        <v>#N/A</v>
      </c>
      <c r="AE354" s="377">
        <f t="shared" ca="1" si="150"/>
        <v>382.37490043167992</v>
      </c>
      <c r="AF354" s="344"/>
      <c r="AG354" s="359">
        <f t="shared" ca="1" si="172"/>
        <v>-15.00008830831233</v>
      </c>
      <c r="AH354" s="357">
        <f t="shared" ca="1" si="173"/>
        <v>-5.4710936169176847</v>
      </c>
    </row>
    <row r="355" spans="1:34" x14ac:dyDescent="0.2">
      <c r="A355" s="402">
        <f t="shared" ca="1" si="151"/>
        <v>0.01</v>
      </c>
      <c r="B355" s="357">
        <f t="shared" ca="1" si="152"/>
        <v>3.5099999999999691</v>
      </c>
      <c r="C355" s="342"/>
      <c r="D355" s="359">
        <f t="shared" ca="1" si="153"/>
        <v>-1.4539823515662076</v>
      </c>
      <c r="E355" s="360">
        <f t="shared" ca="1" si="154"/>
        <v>-15.749980740234385</v>
      </c>
      <c r="F355" s="357">
        <f t="shared" ca="1" si="155"/>
        <v>15.816951602518738</v>
      </c>
      <c r="G355" s="359">
        <f t="shared" ca="1" si="156"/>
        <v>42.199098327852688</v>
      </c>
      <c r="H355" s="360">
        <f t="shared" ca="1" si="157"/>
        <v>172.29864955661802</v>
      </c>
      <c r="I355" s="357">
        <f t="shared" ca="1" si="158"/>
        <v>177.39106104513283</v>
      </c>
      <c r="J355" s="359">
        <f t="shared" ca="1" si="159"/>
        <v>86.512368766553777</v>
      </c>
      <c r="K355" s="360">
        <f t="shared" ca="1" si="160"/>
        <v>384.09867442628308</v>
      </c>
      <c r="L355" s="357">
        <f t="shared" ca="1" si="145"/>
        <v>393.72094387475505</v>
      </c>
      <c r="M355" s="359">
        <f t="shared" ca="1" si="161"/>
        <v>1.3306060963463822</v>
      </c>
      <c r="N355" s="357">
        <f t="shared" ca="1" si="162"/>
        <v>76.238113515025489</v>
      </c>
      <c r="O355" s="343"/>
      <c r="P355" s="363">
        <f t="shared" ca="1" si="163"/>
        <v>10</v>
      </c>
      <c r="Q355" s="357">
        <f t="shared" ca="1" si="164"/>
        <v>47.458333333350552</v>
      </c>
      <c r="R355" s="359">
        <f t="shared" ca="1" si="165"/>
        <v>2.3817126334600251E-2</v>
      </c>
      <c r="S355" s="360">
        <f t="shared" ca="1" si="166"/>
        <v>8.3828966447561246</v>
      </c>
      <c r="T355" s="357">
        <f t="shared" ca="1" si="146"/>
        <v>82.236216085057592</v>
      </c>
      <c r="U355" s="364">
        <f t="shared" ca="1" si="147"/>
        <v>0</v>
      </c>
      <c r="V355" s="359">
        <f t="shared" ca="1" si="148"/>
        <v>1.1788345174160182</v>
      </c>
      <c r="W355" s="357">
        <f t="shared" ca="1" si="149"/>
        <v>98.531745912058895</v>
      </c>
      <c r="X355" s="343"/>
      <c r="Y355" s="367" t="str">
        <f t="shared" ca="1" si="167"/>
        <v/>
      </c>
      <c r="Z355" s="368" t="str">
        <f t="shared" ca="1" si="168"/>
        <v/>
      </c>
      <c r="AA355" s="369" t="str">
        <f t="shared" ca="1" si="169"/>
        <v/>
      </c>
      <c r="AB355" s="344"/>
      <c r="AC355" s="363" t="e">
        <f t="shared" ca="1" si="170"/>
        <v>#N/A</v>
      </c>
      <c r="AD355" s="376" t="e">
        <f t="shared" ca="1" si="171"/>
        <v>#N/A</v>
      </c>
      <c r="AE355" s="377">
        <f t="shared" ca="1" si="150"/>
        <v>384.09867442628308</v>
      </c>
      <c r="AF355" s="344"/>
      <c r="AG355" s="359">
        <f t="shared" ca="1" si="172"/>
        <v>-15.644032827207447</v>
      </c>
      <c r="AH355" s="357">
        <f t="shared" ca="1" si="173"/>
        <v>-6.1153442971775034</v>
      </c>
    </row>
    <row r="356" spans="1:34" x14ac:dyDescent="0.2">
      <c r="A356" s="402">
        <f t="shared" ca="1" si="151"/>
        <v>0.01</v>
      </c>
      <c r="B356" s="357">
        <f t="shared" ca="1" si="152"/>
        <v>3.5199999999999689</v>
      </c>
      <c r="C356" s="342"/>
      <c r="D356" s="359">
        <f t="shared" ca="1" si="153"/>
        <v>-1.6078289457809183</v>
      </c>
      <c r="E356" s="360">
        <f t="shared" ca="1" si="154"/>
        <v>-16.374755339647791</v>
      </c>
      <c r="F356" s="357">
        <f t="shared" ca="1" si="155"/>
        <v>16.453501947981007</v>
      </c>
      <c r="G356" s="359">
        <f t="shared" ca="1" si="156"/>
        <v>42.183020038394879</v>
      </c>
      <c r="H356" s="360">
        <f t="shared" ca="1" si="157"/>
        <v>172.13490200322153</v>
      </c>
      <c r="I356" s="357">
        <f t="shared" ca="1" si="158"/>
        <v>177.22819094946013</v>
      </c>
      <c r="J356" s="359">
        <f t="shared" ca="1" si="159"/>
        <v>86.934279358385012</v>
      </c>
      <c r="K356" s="360">
        <f t="shared" ca="1" si="160"/>
        <v>385.82084218408227</v>
      </c>
      <c r="L356" s="357">
        <f t="shared" ca="1" si="145"/>
        <v>395.49373091263561</v>
      </c>
      <c r="M356" s="359">
        <f t="shared" ca="1" si="161"/>
        <v>1.3304744200374359</v>
      </c>
      <c r="N356" s="357">
        <f t="shared" ca="1" si="162"/>
        <v>76.230569018261008</v>
      </c>
      <c r="O356" s="343"/>
      <c r="P356" s="363">
        <f t="shared" ca="1" si="163"/>
        <v>10</v>
      </c>
      <c r="Q356" s="357">
        <f t="shared" ca="1" si="164"/>
        <v>41.875000000017323</v>
      </c>
      <c r="R356" s="359">
        <f t="shared" ca="1" si="165"/>
        <v>2.1015111471707173E-2</v>
      </c>
      <c r="S356" s="360">
        <f t="shared" ca="1" si="166"/>
        <v>8.3826864936414083</v>
      </c>
      <c r="T356" s="357">
        <f t="shared" ca="1" si="146"/>
        <v>82.234154502622218</v>
      </c>
      <c r="U356" s="364">
        <f t="shared" ca="1" si="147"/>
        <v>0</v>
      </c>
      <c r="V356" s="359">
        <f t="shared" ca="1" si="148"/>
        <v>1.1786314445874564</v>
      </c>
      <c r="W356" s="357">
        <f t="shared" ca="1" si="149"/>
        <v>98.333954309501294</v>
      </c>
      <c r="X356" s="343"/>
      <c r="Y356" s="367" t="str">
        <f t="shared" ca="1" si="167"/>
        <v/>
      </c>
      <c r="Z356" s="368" t="str">
        <f t="shared" ca="1" si="168"/>
        <v/>
      </c>
      <c r="AA356" s="369" t="str">
        <f t="shared" ca="1" si="169"/>
        <v/>
      </c>
      <c r="AB356" s="344"/>
      <c r="AC356" s="363" t="e">
        <f t="shared" ca="1" si="170"/>
        <v>#N/A</v>
      </c>
      <c r="AD356" s="376" t="e">
        <f t="shared" ca="1" si="171"/>
        <v>#N/A</v>
      </c>
      <c r="AE356" s="377">
        <f t="shared" ca="1" si="150"/>
        <v>385.82084218408227</v>
      </c>
      <c r="AF356" s="344"/>
      <c r="AG356" s="359">
        <f t="shared" ca="1" si="172"/>
        <v>-16.287163212150951</v>
      </c>
      <c r="AH356" s="357">
        <f t="shared" ca="1" si="173"/>
        <v>-6.7587814425623458</v>
      </c>
    </row>
    <row r="357" spans="1:34" x14ac:dyDescent="0.2">
      <c r="A357" s="402">
        <f t="shared" ca="1" si="151"/>
        <v>0.01</v>
      </c>
      <c r="B357" s="357">
        <f t="shared" ca="1" si="152"/>
        <v>3.5299999999999687</v>
      </c>
      <c r="C357" s="342"/>
      <c r="D357" s="359">
        <f t="shared" ca="1" si="153"/>
        <v>-1.7616469634134604</v>
      </c>
      <c r="E357" s="360">
        <f t="shared" ca="1" si="154"/>
        <v>-16.998696473970803</v>
      </c>
      <c r="F357" s="357">
        <f t="shared" ca="1" si="155"/>
        <v>17.089736154718459</v>
      </c>
      <c r="G357" s="359">
        <f t="shared" ca="1" si="156"/>
        <v>42.165403568760745</v>
      </c>
      <c r="H357" s="360">
        <f t="shared" ca="1" si="157"/>
        <v>171.96491503848182</v>
      </c>
      <c r="I357" s="357">
        <f t="shared" ca="1" si="158"/>
        <v>177.05889772137613</v>
      </c>
      <c r="J357" s="359">
        <f t="shared" ca="1" si="159"/>
        <v>87.356021476420793</v>
      </c>
      <c r="K357" s="360">
        <f t="shared" ca="1" si="160"/>
        <v>387.5413412692908</v>
      </c>
      <c r="L357" s="357">
        <f t="shared" ca="1" si="145"/>
        <v>397.26485583422783</v>
      </c>
      <c r="M357" s="359">
        <f t="shared" ca="1" si="161"/>
        <v>1.3303425469672583</v>
      </c>
      <c r="N357" s="357">
        <f t="shared" ca="1" si="162"/>
        <v>76.223013247908398</v>
      </c>
      <c r="O357" s="343"/>
      <c r="P357" s="363">
        <f t="shared" ca="1" si="163"/>
        <v>10</v>
      </c>
      <c r="Q357" s="357">
        <f t="shared" ca="1" si="164"/>
        <v>36.291666666684094</v>
      </c>
      <c r="R357" s="359">
        <f t="shared" ca="1" si="165"/>
        <v>1.8213096608814094E-2</v>
      </c>
      <c r="S357" s="360">
        <f t="shared" ca="1" si="166"/>
        <v>8.38250436267532</v>
      </c>
      <c r="T357" s="357">
        <f t="shared" ca="1" si="146"/>
        <v>82.232367797844887</v>
      </c>
      <c r="U357" s="364">
        <f t="shared" ca="1" si="147"/>
        <v>0</v>
      </c>
      <c r="V357" s="359">
        <f t="shared" ca="1" si="148"/>
        <v>1.1784286027816513</v>
      </c>
      <c r="W357" s="357">
        <f t="shared" ca="1" si="149"/>
        <v>98.129290553366346</v>
      </c>
      <c r="X357" s="343"/>
      <c r="Y357" s="367" t="str">
        <f t="shared" ca="1" si="167"/>
        <v/>
      </c>
      <c r="Z357" s="368" t="str">
        <f t="shared" ca="1" si="168"/>
        <v/>
      </c>
      <c r="AA357" s="369" t="str">
        <f t="shared" ca="1" si="169"/>
        <v/>
      </c>
      <c r="AB357" s="344"/>
      <c r="AC357" s="363" t="e">
        <f t="shared" ca="1" si="170"/>
        <v>#N/A</v>
      </c>
      <c r="AD357" s="376" t="e">
        <f t="shared" ca="1" si="171"/>
        <v>#N/A</v>
      </c>
      <c r="AE357" s="377">
        <f t="shared" ca="1" si="150"/>
        <v>387.5413412692908</v>
      </c>
      <c r="AF357" s="344"/>
      <c r="AG357" s="359">
        <f t="shared" ca="1" si="172"/>
        <v>-16.929476765597251</v>
      </c>
      <c r="AH357" s="357">
        <f t="shared" ca="1" si="173"/>
        <v>-7.4014023683747991</v>
      </c>
    </row>
    <row r="358" spans="1:34" x14ac:dyDescent="0.2">
      <c r="A358" s="402">
        <f t="shared" ca="1" si="151"/>
        <v>0.01</v>
      </c>
      <c r="B358" s="357">
        <f t="shared" ca="1" si="152"/>
        <v>3.5399999999999685</v>
      </c>
      <c r="C358" s="342"/>
      <c r="D358" s="359">
        <f t="shared" ca="1" si="153"/>
        <v>-1.9154358682913439</v>
      </c>
      <c r="E358" s="360">
        <f t="shared" ca="1" si="154"/>
        <v>-17.62180158314473</v>
      </c>
      <c r="F358" s="357">
        <f t="shared" ca="1" si="155"/>
        <v>17.725596903948233</v>
      </c>
      <c r="G358" s="359">
        <f t="shared" ca="1" si="156"/>
        <v>42.146249210077833</v>
      </c>
      <c r="H358" s="360">
        <f t="shared" ca="1" si="157"/>
        <v>171.78869702265038</v>
      </c>
      <c r="I358" s="357">
        <f t="shared" ca="1" si="158"/>
        <v>176.88318955519193</v>
      </c>
      <c r="J358" s="359">
        <f t="shared" ca="1" si="159"/>
        <v>87.777579740314991</v>
      </c>
      <c r="K358" s="360">
        <f t="shared" ca="1" si="160"/>
        <v>389.26010932959645</v>
      </c>
      <c r="L358" s="357">
        <f t="shared" ca="1" si="145"/>
        <v>399.0342544448493</v>
      </c>
      <c r="M358" s="359">
        <f t="shared" ca="1" si="161"/>
        <v>1.3302104718658034</v>
      </c>
      <c r="N358" s="357">
        <f t="shared" ca="1" si="162"/>
        <v>76.21544590201627</v>
      </c>
      <c r="O358" s="343"/>
      <c r="P358" s="363">
        <f t="shared" ca="1" si="163"/>
        <v>10</v>
      </c>
      <c r="Q358" s="357">
        <f t="shared" ca="1" si="164"/>
        <v>30.708333333350872</v>
      </c>
      <c r="R358" s="359">
        <f t="shared" ca="1" si="165"/>
        <v>1.5411081745921019E-2</v>
      </c>
      <c r="S358" s="360">
        <f t="shared" ca="1" si="166"/>
        <v>8.3823502518578614</v>
      </c>
      <c r="T358" s="357">
        <f t="shared" ca="1" si="146"/>
        <v>82.230855970725628</v>
      </c>
      <c r="U358" s="364">
        <f t="shared" ca="1" si="147"/>
        <v>0</v>
      </c>
      <c r="V358" s="359">
        <f t="shared" ca="1" si="148"/>
        <v>1.1782259992396131</v>
      </c>
      <c r="W358" s="357">
        <f t="shared" ca="1" si="149"/>
        <v>97.917788216724148</v>
      </c>
      <c r="X358" s="343"/>
      <c r="Y358" s="367" t="str">
        <f t="shared" ca="1" si="167"/>
        <v/>
      </c>
      <c r="Z358" s="368" t="str">
        <f t="shared" ca="1" si="168"/>
        <v/>
      </c>
      <c r="AA358" s="369" t="str">
        <f t="shared" ca="1" si="169"/>
        <v/>
      </c>
      <c r="AB358" s="344"/>
      <c r="AC358" s="363" t="e">
        <f t="shared" ca="1" si="170"/>
        <v>#N/A</v>
      </c>
      <c r="AD358" s="376" t="e">
        <f t="shared" ca="1" si="171"/>
        <v>#N/A</v>
      </c>
      <c r="AE358" s="377">
        <f t="shared" ca="1" si="150"/>
        <v>389.26010932959645</v>
      </c>
      <c r="AF358" s="344"/>
      <c r="AG358" s="359">
        <f t="shared" ca="1" si="172"/>
        <v>-17.570970894457638</v>
      </c>
      <c r="AH358" s="357">
        <f t="shared" ca="1" si="173"/>
        <v>-8.0432044944760364</v>
      </c>
    </row>
    <row r="359" spans="1:34" x14ac:dyDescent="0.2">
      <c r="A359" s="402">
        <f t="shared" ca="1" si="151"/>
        <v>0.01</v>
      </c>
      <c r="B359" s="357">
        <f t="shared" ca="1" si="152"/>
        <v>3.5499999999999683</v>
      </c>
      <c r="C359" s="342"/>
      <c r="D359" s="359">
        <f t="shared" ca="1" si="153"/>
        <v>-2.0691951600670593</v>
      </c>
      <c r="E359" s="360">
        <f t="shared" ca="1" si="154"/>
        <v>-18.244068205255562</v>
      </c>
      <c r="F359" s="357">
        <f t="shared" ca="1" si="155"/>
        <v>18.36103464645884</v>
      </c>
      <c r="G359" s="359">
        <f t="shared" ca="1" si="156"/>
        <v>42.125557258477166</v>
      </c>
      <c r="H359" s="360">
        <f t="shared" ca="1" si="157"/>
        <v>171.60625634059784</v>
      </c>
      <c r="I359" s="357">
        <f t="shared" ca="1" si="158"/>
        <v>176.70107467011118</v>
      </c>
      <c r="J359" s="359">
        <f t="shared" ca="1" si="159"/>
        <v>88.198938772657769</v>
      </c>
      <c r="K359" s="360">
        <f t="shared" ca="1" si="160"/>
        <v>390.97708409641268</v>
      </c>
      <c r="L359" s="357">
        <f t="shared" ca="1" si="145"/>
        <v>400.80186263184504</v>
      </c>
      <c r="M359" s="359">
        <f t="shared" ca="1" si="161"/>
        <v>1.3300781894286229</v>
      </c>
      <c r="N359" s="357">
        <f t="shared" ca="1" si="162"/>
        <v>76.207866676662121</v>
      </c>
      <c r="O359" s="343"/>
      <c r="P359" s="363">
        <f t="shared" ca="1" si="163"/>
        <v>10</v>
      </c>
      <c r="Q359" s="357">
        <f t="shared" ca="1" si="164"/>
        <v>25.125000000017643</v>
      </c>
      <c r="R359" s="359">
        <f t="shared" ca="1" si="165"/>
        <v>1.2609066883027941E-2</v>
      </c>
      <c r="S359" s="360">
        <f t="shared" ca="1" si="166"/>
        <v>8.3822241611890309</v>
      </c>
      <c r="T359" s="357">
        <f t="shared" ca="1" si="146"/>
        <v>82.229619021264398</v>
      </c>
      <c r="U359" s="364">
        <f t="shared" ca="1" si="147"/>
        <v>0</v>
      </c>
      <c r="V359" s="359">
        <f t="shared" ca="1" si="148"/>
        <v>1.1780236411876848</v>
      </c>
      <c r="W359" s="357">
        <f t="shared" ca="1" si="149"/>
        <v>97.69948160276752</v>
      </c>
      <c r="X359" s="343"/>
      <c r="Y359" s="367" t="str">
        <f t="shared" ca="1" si="167"/>
        <v/>
      </c>
      <c r="Z359" s="368" t="str">
        <f t="shared" ca="1" si="168"/>
        <v/>
      </c>
      <c r="AA359" s="369" t="str">
        <f t="shared" ca="1" si="169"/>
        <v/>
      </c>
      <c r="AB359" s="344"/>
      <c r="AC359" s="363" t="e">
        <f t="shared" ca="1" si="170"/>
        <v>#N/A</v>
      </c>
      <c r="AD359" s="376" t="e">
        <f t="shared" ca="1" si="171"/>
        <v>#N/A</v>
      </c>
      <c r="AE359" s="377">
        <f t="shared" ca="1" si="150"/>
        <v>390.97708409641268</v>
      </c>
      <c r="AF359" s="344"/>
      <c r="AG359" s="359">
        <f t="shared" ca="1" si="172"/>
        <v>-18.211643109525422</v>
      </c>
      <c r="AH359" s="357">
        <f t="shared" ca="1" si="173"/>
        <v>-8.6841853447141322</v>
      </c>
    </row>
    <row r="360" spans="1:34" x14ac:dyDescent="0.2">
      <c r="A360" s="402">
        <f t="shared" ca="1" si="151"/>
        <v>0.01</v>
      </c>
      <c r="B360" s="357">
        <f t="shared" ca="1" si="152"/>
        <v>3.5599999999999681</v>
      </c>
      <c r="C360" s="342"/>
      <c r="D360" s="359">
        <f t="shared" ca="1" si="153"/>
        <v>-2.2229243742132634</v>
      </c>
      <c r="E360" s="360">
        <f t="shared" ca="1" si="154"/>
        <v>-18.865493975934037</v>
      </c>
      <c r="F360" s="357">
        <f t="shared" ca="1" si="155"/>
        <v>18.996006309997764</v>
      </c>
      <c r="G360" s="359">
        <f t="shared" ca="1" si="156"/>
        <v>42.103328014735034</v>
      </c>
      <c r="H360" s="360">
        <f t="shared" ca="1" si="157"/>
        <v>171.41760140083849</v>
      </c>
      <c r="I360" s="357">
        <f t="shared" ca="1" si="158"/>
        <v>176.51256130919725</v>
      </c>
      <c r="J360" s="359">
        <f t="shared" ca="1" si="159"/>
        <v>88.620083199023824</v>
      </c>
      <c r="K360" s="360">
        <f t="shared" ca="1" si="160"/>
        <v>392.69220338511985</v>
      </c>
      <c r="L360" s="357">
        <f t="shared" ca="1" si="145"/>
        <v>402.56761636483157</v>
      </c>
      <c r="M360" s="359">
        <f t="shared" ca="1" si="161"/>
        <v>1.3299456943156103</v>
      </c>
      <c r="N360" s="357">
        <f t="shared" ca="1" si="162"/>
        <v>76.200275265880393</v>
      </c>
      <c r="O360" s="343"/>
      <c r="P360" s="363">
        <f t="shared" ca="1" si="163"/>
        <v>10</v>
      </c>
      <c r="Q360" s="357">
        <f t="shared" ca="1" si="164"/>
        <v>19.541666666684407</v>
      </c>
      <c r="R360" s="359">
        <f t="shared" ca="1" si="165"/>
        <v>9.8070520201348592E-3</v>
      </c>
      <c r="S360" s="360">
        <f t="shared" ca="1" si="166"/>
        <v>8.3821260906688302</v>
      </c>
      <c r="T360" s="357">
        <f t="shared" ca="1" si="146"/>
        <v>82.228656949461225</v>
      </c>
      <c r="U360" s="364">
        <f t="shared" ca="1" si="147"/>
        <v>0</v>
      </c>
      <c r="V360" s="359">
        <f t="shared" ca="1" si="148"/>
        <v>1.177821535837537</v>
      </c>
      <c r="W360" s="357">
        <f t="shared" ca="1" si="149"/>
        <v>97.474405739230107</v>
      </c>
      <c r="X360" s="343"/>
      <c r="Y360" s="367" t="str">
        <f t="shared" ca="1" si="167"/>
        <v/>
      </c>
      <c r="Z360" s="368" t="str">
        <f t="shared" ca="1" si="168"/>
        <v/>
      </c>
      <c r="AA360" s="369" t="str">
        <f t="shared" ca="1" si="169"/>
        <v/>
      </c>
      <c r="AB360" s="344"/>
      <c r="AC360" s="363" t="e">
        <f t="shared" ca="1" si="170"/>
        <v>#N/A</v>
      </c>
      <c r="AD360" s="376" t="e">
        <f t="shared" ca="1" si="171"/>
        <v>#N/A</v>
      </c>
      <c r="AE360" s="377">
        <f t="shared" ca="1" si="150"/>
        <v>392.69220338511985</v>
      </c>
      <c r="AF360" s="344"/>
      <c r="AG360" s="359">
        <f t="shared" ca="1" si="172"/>
        <v>-18.851491024897399</v>
      </c>
      <c r="AH360" s="357">
        <f t="shared" ca="1" si="173"/>
        <v>-9.3243425463487277</v>
      </c>
    </row>
    <row r="361" spans="1:34" x14ac:dyDescent="0.2">
      <c r="A361" s="402">
        <f t="shared" ca="1" si="151"/>
        <v>0.01</v>
      </c>
      <c r="B361" s="357">
        <f t="shared" ca="1" si="152"/>
        <v>3.5699999999999679</v>
      </c>
      <c r="C361" s="342"/>
      <c r="D361" s="359">
        <f t="shared" ca="1" si="153"/>
        <v>-2.376623082021073</v>
      </c>
      <c r="E361" s="360">
        <f t="shared" ca="1" si="154"/>
        <v>-19.486076627751217</v>
      </c>
      <c r="F361" s="357">
        <f t="shared" ca="1" si="155"/>
        <v>19.630474258575305</v>
      </c>
      <c r="G361" s="359">
        <f t="shared" ca="1" si="156"/>
        <v>42.079561783914826</v>
      </c>
      <c r="H361" s="360">
        <f t="shared" ca="1" si="157"/>
        <v>171.22274063456098</v>
      </c>
      <c r="I361" s="357">
        <f t="shared" ca="1" si="158"/>
        <v>176.31765773834579</v>
      </c>
      <c r="J361" s="359">
        <f t="shared" ca="1" si="159"/>
        <v>89.040997648017068</v>
      </c>
      <c r="K361" s="360">
        <f t="shared" ca="1" si="160"/>
        <v>394.40540509529683</v>
      </c>
      <c r="L361" s="357">
        <f t="shared" ca="1" si="145"/>
        <v>404.33145169593149</v>
      </c>
      <c r="M361" s="359">
        <f t="shared" ca="1" si="161"/>
        <v>1.329812981149725</v>
      </c>
      <c r="N361" s="357">
        <f t="shared" ca="1" si="162"/>
        <v>76.192671361589348</v>
      </c>
      <c r="O361" s="343"/>
      <c r="P361" s="363">
        <f t="shared" ca="1" si="163"/>
        <v>10</v>
      </c>
      <c r="Q361" s="357">
        <f t="shared" ca="1" si="164"/>
        <v>13.958333333351177</v>
      </c>
      <c r="R361" s="359">
        <f t="shared" ca="1" si="165"/>
        <v>7.0050371572417808E-3</v>
      </c>
      <c r="S361" s="360">
        <f t="shared" ca="1" si="166"/>
        <v>8.3820560402972575</v>
      </c>
      <c r="T361" s="357">
        <f t="shared" ca="1" si="146"/>
        <v>82.227969755316096</v>
      </c>
      <c r="U361" s="364">
        <f t="shared" ca="1" si="147"/>
        <v>0</v>
      </c>
      <c r="V361" s="359">
        <f t="shared" ca="1" si="148"/>
        <v>1.1776196903861653</v>
      </c>
      <c r="W361" s="357">
        <f t="shared" ca="1" si="149"/>
        <v>97.242596372819406</v>
      </c>
      <c r="X361" s="343"/>
      <c r="Y361" s="367" t="str">
        <f t="shared" ca="1" si="167"/>
        <v/>
      </c>
      <c r="Z361" s="368" t="str">
        <f t="shared" ca="1" si="168"/>
        <v/>
      </c>
      <c r="AA361" s="369" t="str">
        <f t="shared" ca="1" si="169"/>
        <v/>
      </c>
      <c r="AB361" s="344"/>
      <c r="AC361" s="363" t="e">
        <f t="shared" ca="1" si="170"/>
        <v>#N/A</v>
      </c>
      <c r="AD361" s="376" t="e">
        <f t="shared" ca="1" si="171"/>
        <v>#N/A</v>
      </c>
      <c r="AE361" s="377">
        <f t="shared" ca="1" si="150"/>
        <v>394.40540509529683</v>
      </c>
      <c r="AF361" s="344"/>
      <c r="AG361" s="359">
        <f t="shared" ca="1" si="172"/>
        <v>-19.490512357391744</v>
      </c>
      <c r="AH361" s="357">
        <f t="shared" ca="1" si="173"/>
        <v>-9.9636738294721727</v>
      </c>
    </row>
    <row r="362" spans="1:34" x14ac:dyDescent="0.2">
      <c r="A362" s="402">
        <f t="shared" ca="1" si="151"/>
        <v>0.01</v>
      </c>
      <c r="B362" s="357">
        <f t="shared" ca="1" si="152"/>
        <v>3.5799999999999677</v>
      </c>
      <c r="C362" s="342"/>
      <c r="D362" s="359">
        <f t="shared" ca="1" si="153"/>
        <v>-2.5302908906016119</v>
      </c>
      <c r="E362" s="360">
        <f t="shared" ca="1" si="154"/>
        <v>-20.105813989609604</v>
      </c>
      <c r="F362" s="357">
        <f t="shared" ca="1" si="155"/>
        <v>20.264405448367903</v>
      </c>
      <c r="G362" s="359">
        <f t="shared" ca="1" si="156"/>
        <v>42.054258875008813</v>
      </c>
      <c r="H362" s="360">
        <f t="shared" ca="1" si="157"/>
        <v>171.02168249466487</v>
      </c>
      <c r="I362" s="357">
        <f t="shared" ca="1" si="158"/>
        <v>176.11637224526351</v>
      </c>
      <c r="J362" s="359">
        <f t="shared" ca="1" si="159"/>
        <v>89.461666751311682</v>
      </c>
      <c r="K362" s="360">
        <f t="shared" ca="1" si="160"/>
        <v>396.11662721094297</v>
      </c>
      <c r="L362" s="357">
        <f t="shared" ca="1" si="145"/>
        <v>406.09330475999712</v>
      </c>
      <c r="M362" s="359">
        <f t="shared" ca="1" si="161"/>
        <v>1.3296800445156995</v>
      </c>
      <c r="N362" s="357">
        <f t="shared" ca="1" si="162"/>
        <v>76.185054653517014</v>
      </c>
      <c r="O362" s="343"/>
      <c r="P362" s="363">
        <f t="shared" ca="1" si="163"/>
        <v>10</v>
      </c>
      <c r="Q362" s="357">
        <f t="shared" ca="1" si="164"/>
        <v>8.3750000000179483</v>
      </c>
      <c r="R362" s="359">
        <f t="shared" ca="1" si="165"/>
        <v>4.2030222943487032E-3</v>
      </c>
      <c r="S362" s="360">
        <f t="shared" ca="1" si="166"/>
        <v>8.3820140100743146</v>
      </c>
      <c r="T362" s="357">
        <f t="shared" ca="1" si="146"/>
        <v>82.227557438829024</v>
      </c>
      <c r="U362" s="364">
        <f t="shared" ca="1" si="147"/>
        <v>0</v>
      </c>
      <c r="V362" s="359">
        <f t="shared" ca="1" si="148"/>
        <v>1.1774181120158893</v>
      </c>
      <c r="W362" s="357">
        <f t="shared" ca="1" si="149"/>
        <v>97.004089963666971</v>
      </c>
      <c r="X362" s="343"/>
      <c r="Y362" s="367" t="str">
        <f t="shared" ca="1" si="167"/>
        <v/>
      </c>
      <c r="Z362" s="368" t="str">
        <f t="shared" ca="1" si="168"/>
        <v/>
      </c>
      <c r="AA362" s="369" t="str">
        <f t="shared" ca="1" si="169"/>
        <v/>
      </c>
      <c r="AB362" s="344"/>
      <c r="AC362" s="363" t="e">
        <f t="shared" ca="1" si="170"/>
        <v>#N/A</v>
      </c>
      <c r="AD362" s="376" t="e">
        <f t="shared" ca="1" si="171"/>
        <v>#N/A</v>
      </c>
      <c r="AE362" s="377">
        <f t="shared" ca="1" si="150"/>
        <v>396.11662721094297</v>
      </c>
      <c r="AF362" s="344"/>
      <c r="AG362" s="359">
        <f t="shared" ca="1" si="172"/>
        <v>-20.128704925962438</v>
      </c>
      <c r="AH362" s="357">
        <f t="shared" ca="1" si="173"/>
        <v>-10.602177026427276</v>
      </c>
    </row>
    <row r="363" spans="1:34" x14ac:dyDescent="0.2">
      <c r="A363" s="402">
        <f t="shared" ca="1" si="151"/>
        <v>0.01</v>
      </c>
      <c r="B363" s="357">
        <f t="shared" ca="1" si="152"/>
        <v>3.5899999999999674</v>
      </c>
      <c r="C363" s="342"/>
      <c r="D363" s="359">
        <f t="shared" ca="1" si="153"/>
        <v>-2.6839274428909077</v>
      </c>
      <c r="E363" s="360">
        <f t="shared" ca="1" si="154"/>
        <v>-20.724703986130123</v>
      </c>
      <c r="F363" s="357">
        <f t="shared" ca="1" si="155"/>
        <v>20.897770738320887</v>
      </c>
      <c r="G363" s="359">
        <f t="shared" ca="1" si="156"/>
        <v>42.027419600579904</v>
      </c>
      <c r="H363" s="360">
        <f t="shared" ca="1" si="157"/>
        <v>170.81443545480357</v>
      </c>
      <c r="I363" s="357">
        <f t="shared" ca="1" si="158"/>
        <v>175.90871313845275</v>
      </c>
      <c r="J363" s="359">
        <f t="shared" ca="1" si="159"/>
        <v>89.882075143689633</v>
      </c>
      <c r="K363" s="360">
        <f t="shared" ca="1" si="160"/>
        <v>397.82580780069031</v>
      </c>
      <c r="L363" s="357">
        <f t="shared" ca="1" si="145"/>
        <v>407.8531117748247</v>
      </c>
      <c r="M363" s="359">
        <f t="shared" ca="1" si="161"/>
        <v>1.3295468789587237</v>
      </c>
      <c r="N363" s="357">
        <f t="shared" ca="1" si="162"/>
        <v>76.177424829125783</v>
      </c>
      <c r="O363" s="343"/>
      <c r="P363" s="363">
        <f t="shared" ca="1" si="163"/>
        <v>10</v>
      </c>
      <c r="Q363" s="357">
        <f t="shared" ca="1" si="164"/>
        <v>2.7916666666847192</v>
      </c>
      <c r="R363" s="359">
        <f t="shared" ca="1" si="165"/>
        <v>1.4010074314556248E-3</v>
      </c>
      <c r="S363" s="360">
        <f t="shared" ca="1" si="166"/>
        <v>8.3819999999999997</v>
      </c>
      <c r="T363" s="357">
        <f t="shared" ca="1" si="146"/>
        <v>82.227419999999995</v>
      </c>
      <c r="U363" s="364">
        <f t="shared" ca="1" si="147"/>
        <v>0</v>
      </c>
      <c r="V363" s="359">
        <f t="shared" ca="1" si="148"/>
        <v>1.1772168078943517</v>
      </c>
      <c r="W363" s="357">
        <f t="shared" ca="1" si="149"/>
        <v>96.758923679795927</v>
      </c>
      <c r="X363" s="343"/>
      <c r="Y363" s="367" t="str">
        <f t="shared" ca="1" si="167"/>
        <v/>
      </c>
      <c r="Z363" s="368" t="str">
        <f t="shared" ca="1" si="168"/>
        <v/>
      </c>
      <c r="AA363" s="369" t="str">
        <f t="shared" ca="1" si="169"/>
        <v/>
      </c>
      <c r="AB363" s="344"/>
      <c r="AC363" s="363" t="e">
        <f t="shared" ca="1" si="170"/>
        <v>#N/A</v>
      </c>
      <c r="AD363" s="376" t="e">
        <f t="shared" ca="1" si="171"/>
        <v>#N/A</v>
      </c>
      <c r="AE363" s="377">
        <f t="shared" ca="1" si="150"/>
        <v>397.82580780069031</v>
      </c>
      <c r="AF363" s="344"/>
      <c r="AG363" s="359">
        <f t="shared" ca="1" si="172"/>
        <v>-20.766066651110538</v>
      </c>
      <c r="AH363" s="357">
        <f t="shared" ca="1" si="173"/>
        <v>-11.239850071221934</v>
      </c>
    </row>
    <row r="364" spans="1:34" x14ac:dyDescent="0.2">
      <c r="A364" s="402">
        <f t="shared" ca="1" si="151"/>
        <v>0.01</v>
      </c>
      <c r="B364" s="357">
        <f t="shared" ca="1" si="152"/>
        <v>3.5999999999999672</v>
      </c>
      <c r="C364" s="342"/>
      <c r="D364" s="359">
        <f t="shared" ca="1" si="153"/>
        <v>-2.7579649763062326</v>
      </c>
      <c r="E364" s="360">
        <f t="shared" ca="1" si="154"/>
        <v>-21.019354152815261</v>
      </c>
      <c r="F364" s="357">
        <f t="shared" ca="1" si="155"/>
        <v>21.199519329739626</v>
      </c>
      <c r="G364" s="359">
        <f t="shared" ca="1" si="156"/>
        <v>41.999839950816842</v>
      </c>
      <c r="H364" s="360">
        <f t="shared" ca="1" si="157"/>
        <v>170.60424191327542</v>
      </c>
      <c r="I364" s="357">
        <f t="shared" ca="1" si="158"/>
        <v>175.69801909725001</v>
      </c>
      <c r="J364" s="359">
        <f t="shared" ca="1" si="159"/>
        <v>90.302211441446616</v>
      </c>
      <c r="K364" s="360">
        <f t="shared" ca="1" si="160"/>
        <v>399.53290118753068</v>
      </c>
      <c r="L364" s="357">
        <f t="shared" ca="1" si="145"/>
        <v>409.61082569011876</v>
      </c>
      <c r="M364" s="359">
        <f t="shared" ca="1" si="161"/>
        <v>1.3294134815117045</v>
      </c>
      <c r="N364" s="357">
        <f t="shared" ca="1" si="162"/>
        <v>76.169781718413759</v>
      </c>
      <c r="O364" s="343"/>
      <c r="P364" s="363">
        <f t="shared" ca="1" si="163"/>
        <v>23</v>
      </c>
      <c r="Q364" s="357">
        <f t="shared" ca="1" si="164"/>
        <v>0</v>
      </c>
      <c r="R364" s="359">
        <f t="shared" ca="1" si="165"/>
        <v>0</v>
      </c>
      <c r="S364" s="360">
        <f t="shared" ca="1" si="166"/>
        <v>8.3819999999999997</v>
      </c>
      <c r="T364" s="357">
        <f t="shared" ca="1" si="146"/>
        <v>82.227419999999995</v>
      </c>
      <c r="U364" s="364">
        <f t="shared" ca="1" si="147"/>
        <v>0</v>
      </c>
      <c r="V364" s="359">
        <f t="shared" ca="1" si="148"/>
        <v>1.1770157832705836</v>
      </c>
      <c r="W364" s="357">
        <f t="shared" ca="1" si="149"/>
        <v>96.510793919631666</v>
      </c>
      <c r="X364" s="343"/>
      <c r="Y364" s="367" t="str">
        <f t="shared" ca="1" si="167"/>
        <v>Fin de propulsion</v>
      </c>
      <c r="Z364" s="368" t="str">
        <f t="shared" ca="1" si="168"/>
        <v/>
      </c>
      <c r="AA364" s="369" t="str">
        <f t="shared" ca="1" si="169"/>
        <v/>
      </c>
      <c r="AB364" s="344"/>
      <c r="AC364" s="363" t="e">
        <f t="shared" ca="1" si="170"/>
        <v>#N/A</v>
      </c>
      <c r="AD364" s="376" t="e">
        <f t="shared" ca="1" si="171"/>
        <v>#N/A</v>
      </c>
      <c r="AE364" s="377">
        <f t="shared" ca="1" si="150"/>
        <v>399.53290118753068</v>
      </c>
      <c r="AF364" s="344"/>
      <c r="AG364" s="359">
        <f t="shared" ca="1" si="172"/>
        <v>-21.069560446522658</v>
      </c>
      <c r="AH364" s="357">
        <f t="shared" ca="1" si="173"/>
        <v>-11.543655891171072</v>
      </c>
    </row>
    <row r="365" spans="1:34" x14ac:dyDescent="0.2">
      <c r="A365" s="402">
        <f t="shared" ca="1" si="151"/>
        <v>0.01</v>
      </c>
      <c r="B365" s="357">
        <f t="shared" ca="1" si="152"/>
        <v>3.609999999999967</v>
      </c>
      <c r="C365" s="342"/>
      <c r="D365" s="359">
        <f t="shared" ca="1" si="153"/>
        <v>-2.752383857575821</v>
      </c>
      <c r="E365" s="360">
        <f t="shared" ca="1" si="154"/>
        <v>-20.990241687252595</v>
      </c>
      <c r="F365" s="357">
        <f t="shared" ca="1" si="155"/>
        <v>21.169928270750486</v>
      </c>
      <c r="G365" s="359">
        <f t="shared" ca="1" si="156"/>
        <v>41.972316112241081</v>
      </c>
      <c r="H365" s="360">
        <f t="shared" ca="1" si="157"/>
        <v>170.39433949640289</v>
      </c>
      <c r="I365" s="357">
        <f t="shared" ca="1" si="158"/>
        <v>175.4876242139066</v>
      </c>
      <c r="J365" s="359">
        <f t="shared" ca="1" si="159"/>
        <v>90.722072221761906</v>
      </c>
      <c r="K365" s="360">
        <f t="shared" ca="1" si="160"/>
        <v>401.23789409457908</v>
      </c>
      <c r="L365" s="357">
        <f t="shared" ca="1" si="145"/>
        <v>411.36643281345067</v>
      </c>
      <c r="M365" s="359">
        <f t="shared" ca="1" si="161"/>
        <v>1.329279851722116</v>
      </c>
      <c r="N365" s="357">
        <f t="shared" ca="1" si="162"/>
        <v>76.162125295453123</v>
      </c>
      <c r="O365" s="343"/>
      <c r="P365" s="363">
        <f t="shared" ca="1" si="163"/>
        <v>23</v>
      </c>
      <c r="Q365" s="357">
        <f t="shared" ca="1" si="164"/>
        <v>0</v>
      </c>
      <c r="R365" s="359">
        <f t="shared" ca="1" si="165"/>
        <v>0</v>
      </c>
      <c r="S365" s="360">
        <f t="shared" ca="1" si="166"/>
        <v>8.3819999999999997</v>
      </c>
      <c r="T365" s="357">
        <f t="shared" ca="1" si="146"/>
        <v>82.227419999999995</v>
      </c>
      <c r="U365" s="364">
        <f t="shared" ca="1" si="147"/>
        <v>0</v>
      </c>
      <c r="V365" s="359">
        <f t="shared" ca="1" si="148"/>
        <v>1.1768150395757961</v>
      </c>
      <c r="W365" s="357">
        <f t="shared" ca="1" si="149"/>
        <v>96.263371982286159</v>
      </c>
      <c r="X365" s="343"/>
      <c r="Y365" s="367" t="str">
        <f t="shared" ca="1" si="167"/>
        <v/>
      </c>
      <c r="Z365" s="368" t="str">
        <f t="shared" ca="1" si="168"/>
        <v/>
      </c>
      <c r="AA365" s="369" t="str">
        <f t="shared" ca="1" si="169"/>
        <v/>
      </c>
      <c r="AB365" s="344"/>
      <c r="AC365" s="363" t="e">
        <f t="shared" ca="1" si="170"/>
        <v>#N/A</v>
      </c>
      <c r="AD365" s="376" t="e">
        <f t="shared" ca="1" si="171"/>
        <v>#N/A</v>
      </c>
      <c r="AE365" s="377">
        <f t="shared" ca="1" si="150"/>
        <v>401.23789409457908</v>
      </c>
      <c r="AF365" s="344"/>
      <c r="AG365" s="359">
        <f t="shared" ca="1" si="172"/>
        <v>-21.039645017770237</v>
      </c>
      <c r="AH365" s="357">
        <f t="shared" ca="1" si="173"/>
        <v>-11.514053199669728</v>
      </c>
    </row>
    <row r="366" spans="1:34" x14ac:dyDescent="0.2">
      <c r="A366" s="402">
        <f t="shared" ca="1" si="151"/>
        <v>0.01</v>
      </c>
      <c r="B366" s="357">
        <f t="shared" ca="1" si="152"/>
        <v>3.6199999999999668</v>
      </c>
      <c r="C366" s="342"/>
      <c r="D366" s="359">
        <f t="shared" ca="1" si="153"/>
        <v>-2.7468178091754361</v>
      </c>
      <c r="E366" s="360">
        <f t="shared" ca="1" si="154"/>
        <v>-20.961212267147246</v>
      </c>
      <c r="F366" s="357">
        <f t="shared" ca="1" si="155"/>
        <v>21.140421655804492</v>
      </c>
      <c r="G366" s="359">
        <f t="shared" ca="1" si="156"/>
        <v>41.94484793414933</v>
      </c>
      <c r="H366" s="360">
        <f t="shared" ca="1" si="157"/>
        <v>170.18472737373142</v>
      </c>
      <c r="I366" s="357">
        <f t="shared" ca="1" si="158"/>
        <v>175.27752765112302</v>
      </c>
      <c r="J366" s="359">
        <f t="shared" ca="1" si="159"/>
        <v>91.141658041993864</v>
      </c>
      <c r="K366" s="360">
        <f t="shared" ca="1" si="160"/>
        <v>402.94078942892975</v>
      </c>
      <c r="L366" s="357">
        <f t="shared" ca="1" si="145"/>
        <v>413.11993611571546</v>
      </c>
      <c r="M366" s="359">
        <f t="shared" ca="1" si="161"/>
        <v>1.3291459891361208</v>
      </c>
      <c r="N366" s="357">
        <f t="shared" ca="1" si="162"/>
        <v>76.154455534240896</v>
      </c>
      <c r="O366" s="343"/>
      <c r="P366" s="363">
        <f t="shared" ca="1" si="163"/>
        <v>23</v>
      </c>
      <c r="Q366" s="357">
        <f t="shared" ca="1" si="164"/>
        <v>0</v>
      </c>
      <c r="R366" s="359">
        <f t="shared" ca="1" si="165"/>
        <v>0</v>
      </c>
      <c r="S366" s="360">
        <f t="shared" ca="1" si="166"/>
        <v>8.3819999999999997</v>
      </c>
      <c r="T366" s="357">
        <f t="shared" ca="1" si="146"/>
        <v>82.227419999999995</v>
      </c>
      <c r="U366" s="364">
        <f t="shared" ca="1" si="147"/>
        <v>0</v>
      </c>
      <c r="V366" s="359">
        <f t="shared" ca="1" si="148"/>
        <v>1.1766145763353701</v>
      </c>
      <c r="W366" s="357">
        <f t="shared" ca="1" si="149"/>
        <v>96.016655256032394</v>
      </c>
      <c r="X366" s="343"/>
      <c r="Y366" s="367" t="str">
        <f t="shared" ca="1" si="167"/>
        <v/>
      </c>
      <c r="Z366" s="368" t="str">
        <f t="shared" ca="1" si="168"/>
        <v/>
      </c>
      <c r="AA366" s="369" t="str">
        <f t="shared" ca="1" si="169"/>
        <v/>
      </c>
      <c r="AB366" s="344"/>
      <c r="AC366" s="363" t="e">
        <f t="shared" ca="1" si="170"/>
        <v>#N/A</v>
      </c>
      <c r="AD366" s="376" t="e">
        <f t="shared" ca="1" si="171"/>
        <v>#N/A</v>
      </c>
      <c r="AE366" s="377">
        <f t="shared" ca="1" si="150"/>
        <v>402.94078942892975</v>
      </c>
      <c r="AF366" s="344"/>
      <c r="AG366" s="359">
        <f t="shared" ca="1" si="172"/>
        <v>-21.009813319939642</v>
      </c>
      <c r="AH366" s="357">
        <f t="shared" ca="1" si="173"/>
        <v>-11.484534953744472</v>
      </c>
    </row>
    <row r="367" spans="1:34" x14ac:dyDescent="0.2">
      <c r="A367" s="402">
        <f t="shared" ca="1" si="151"/>
        <v>0.01</v>
      </c>
      <c r="B367" s="357">
        <f t="shared" ca="1" si="152"/>
        <v>3.6299999999999666</v>
      </c>
      <c r="C367" s="342"/>
      <c r="D367" s="359">
        <f t="shared" ca="1" si="153"/>
        <v>-2.7412667745766925</v>
      </c>
      <c r="E367" s="360">
        <f t="shared" ca="1" si="154"/>
        <v>-20.932265586047929</v>
      </c>
      <c r="F367" s="357">
        <f t="shared" ca="1" si="155"/>
        <v>21.110999173280373</v>
      </c>
      <c r="G367" s="359">
        <f t="shared" ca="1" si="156"/>
        <v>41.917435266403565</v>
      </c>
      <c r="H367" s="360">
        <f t="shared" ca="1" si="157"/>
        <v>169.97540471787093</v>
      </c>
      <c r="I367" s="357">
        <f t="shared" ca="1" si="158"/>
        <v>175.06772857473518</v>
      </c>
      <c r="J367" s="359">
        <f t="shared" ca="1" si="159"/>
        <v>91.560969457996634</v>
      </c>
      <c r="K367" s="360">
        <f t="shared" ca="1" si="160"/>
        <v>404.64159008938776</v>
      </c>
      <c r="L367" s="357">
        <f t="shared" ca="1" si="145"/>
        <v>414.87133855950606</v>
      </c>
      <c r="M367" s="359">
        <f t="shared" ca="1" si="161"/>
        <v>1.3290118932985648</v>
      </c>
      <c r="N367" s="357">
        <f t="shared" ca="1" si="162"/>
        <v>76.146772408698666</v>
      </c>
      <c r="O367" s="343"/>
      <c r="P367" s="363">
        <f t="shared" ca="1" si="163"/>
        <v>23</v>
      </c>
      <c r="Q367" s="357">
        <f t="shared" ca="1" si="164"/>
        <v>0</v>
      </c>
      <c r="R367" s="359">
        <f t="shared" ca="1" si="165"/>
        <v>0</v>
      </c>
      <c r="S367" s="360">
        <f t="shared" ca="1" si="166"/>
        <v>8.3819999999999997</v>
      </c>
      <c r="T367" s="357">
        <f t="shared" ca="1" si="146"/>
        <v>82.227419999999995</v>
      </c>
      <c r="U367" s="364">
        <f t="shared" ca="1" si="147"/>
        <v>0</v>
      </c>
      <c r="V367" s="359">
        <f t="shared" ca="1" si="148"/>
        <v>1.1764143930761071</v>
      </c>
      <c r="W367" s="357">
        <f t="shared" ca="1" si="149"/>
        <v>95.770641141424363</v>
      </c>
      <c r="X367" s="343"/>
      <c r="Y367" s="367" t="str">
        <f t="shared" ca="1" si="167"/>
        <v/>
      </c>
      <c r="Z367" s="368" t="str">
        <f t="shared" ca="1" si="168"/>
        <v/>
      </c>
      <c r="AA367" s="369" t="str">
        <f t="shared" ca="1" si="169"/>
        <v/>
      </c>
      <c r="AB367" s="344"/>
      <c r="AC367" s="363" t="e">
        <f t="shared" ca="1" si="170"/>
        <v>#N/A</v>
      </c>
      <c r="AD367" s="376" t="e">
        <f t="shared" ca="1" si="171"/>
        <v>#N/A</v>
      </c>
      <c r="AE367" s="377">
        <f t="shared" ca="1" si="150"/>
        <v>404.64159008938776</v>
      </c>
      <c r="AF367" s="344"/>
      <c r="AG367" s="359">
        <f t="shared" ca="1" si="172"/>
        <v>-20.980065039496246</v>
      </c>
      <c r="AH367" s="357">
        <f t="shared" ca="1" si="173"/>
        <v>-11.455100841807731</v>
      </c>
    </row>
    <row r="368" spans="1:34" x14ac:dyDescent="0.2">
      <c r="A368" s="402">
        <f t="shared" ca="1" si="151"/>
        <v>0.01</v>
      </c>
      <c r="B368" s="357">
        <f t="shared" ca="1" si="152"/>
        <v>3.6399999999999664</v>
      </c>
      <c r="C368" s="342"/>
      <c r="D368" s="359">
        <f t="shared" ca="1" si="153"/>
        <v>-2.7357306975162721</v>
      </c>
      <c r="E368" s="360">
        <f t="shared" ca="1" si="154"/>
        <v>-20.903401338944281</v>
      </c>
      <c r="F368" s="357">
        <f t="shared" ca="1" si="155"/>
        <v>21.081660513021987</v>
      </c>
      <c r="G368" s="359">
        <f t="shared" ca="1" si="156"/>
        <v>41.890077959428403</v>
      </c>
      <c r="H368" s="360">
        <f t="shared" ca="1" si="157"/>
        <v>169.76637070448149</v>
      </c>
      <c r="I368" s="357">
        <f t="shared" ca="1" si="158"/>
        <v>174.85822615369977</v>
      </c>
      <c r="J368" s="359">
        <f t="shared" ca="1" si="159"/>
        <v>91.980007024125797</v>
      </c>
      <c r="K368" s="360">
        <f t="shared" ca="1" si="160"/>
        <v>406.34029896649952</v>
      </c>
      <c r="L368" s="357">
        <f t="shared" ca="1" si="145"/>
        <v>416.62064309914177</v>
      </c>
      <c r="M368" s="359">
        <f t="shared" ca="1" si="161"/>
        <v>1.3288775637529748</v>
      </c>
      <c r="N368" s="357">
        <f t="shared" ca="1" si="162"/>
        <v>76.139075892672437</v>
      </c>
      <c r="O368" s="343"/>
      <c r="P368" s="363">
        <f t="shared" ca="1" si="163"/>
        <v>23</v>
      </c>
      <c r="Q368" s="357">
        <f t="shared" ca="1" si="164"/>
        <v>0</v>
      </c>
      <c r="R368" s="359">
        <f t="shared" ca="1" si="165"/>
        <v>0</v>
      </c>
      <c r="S368" s="360">
        <f t="shared" ca="1" si="166"/>
        <v>8.3819999999999997</v>
      </c>
      <c r="T368" s="357">
        <f t="shared" ca="1" si="146"/>
        <v>82.227419999999995</v>
      </c>
      <c r="U368" s="364">
        <f t="shared" ca="1" si="147"/>
        <v>0</v>
      </c>
      <c r="V368" s="359">
        <f t="shared" ca="1" si="148"/>
        <v>1.1762144893262245</v>
      </c>
      <c r="W368" s="357">
        <f t="shared" ca="1" si="149"/>
        <v>95.525327051227762</v>
      </c>
      <c r="X368" s="343"/>
      <c r="Y368" s="367" t="str">
        <f t="shared" ca="1" si="167"/>
        <v/>
      </c>
      <c r="Z368" s="368" t="str">
        <f t="shared" ca="1" si="168"/>
        <v/>
      </c>
      <c r="AA368" s="369" t="str">
        <f t="shared" ca="1" si="169"/>
        <v/>
      </c>
      <c r="AB368" s="344"/>
      <c r="AC368" s="363" t="e">
        <f t="shared" ca="1" si="170"/>
        <v>#N/A</v>
      </c>
      <c r="AD368" s="376" t="e">
        <f t="shared" ca="1" si="171"/>
        <v>#N/A</v>
      </c>
      <c r="AE368" s="377">
        <f t="shared" ca="1" si="150"/>
        <v>406.34029896649952</v>
      </c>
      <c r="AF368" s="344"/>
      <c r="AG368" s="359">
        <f t="shared" ca="1" si="172"/>
        <v>-20.950399864363686</v>
      </c>
      <c r="AH368" s="357">
        <f t="shared" ca="1" si="173"/>
        <v>-11.4257505537371</v>
      </c>
    </row>
    <row r="369" spans="1:34" x14ac:dyDescent="0.2">
      <c r="A369" s="402">
        <f t="shared" ca="1" si="151"/>
        <v>0.01</v>
      </c>
      <c r="B369" s="357">
        <f t="shared" ca="1" si="152"/>
        <v>3.6499999999999662</v>
      </c>
      <c r="C369" s="342"/>
      <c r="D369" s="359">
        <f t="shared" ca="1" si="153"/>
        <v>-2.730209521994408</v>
      </c>
      <c r="E369" s="360">
        <f t="shared" ca="1" si="154"/>
        <v>-20.874619222258723</v>
      </c>
      <c r="F369" s="357">
        <f t="shared" ca="1" si="155"/>
        <v>21.052405366330049</v>
      </c>
      <c r="G369" s="359">
        <f t="shared" ca="1" si="156"/>
        <v>41.862775864208459</v>
      </c>
      <c r="H369" s="360">
        <f t="shared" ca="1" si="157"/>
        <v>169.55762451225891</v>
      </c>
      <c r="I369" s="357">
        <f t="shared" ca="1" si="158"/>
        <v>174.64901956007981</v>
      </c>
      <c r="J369" s="359">
        <f t="shared" ca="1" si="159"/>
        <v>92.398771293243982</v>
      </c>
      <c r="K369" s="360">
        <f t="shared" ca="1" si="160"/>
        <v>408.03691894258321</v>
      </c>
      <c r="L369" s="357">
        <f t="shared" ca="1" si="145"/>
        <v>418.36785268069707</v>
      </c>
      <c r="M369" s="359">
        <f t="shared" ca="1" si="161"/>
        <v>1.3287430000415519</v>
      </c>
      <c r="N369" s="357">
        <f t="shared" ca="1" si="162"/>
        <v>76.131365959932296</v>
      </c>
      <c r="O369" s="343"/>
      <c r="P369" s="363">
        <f t="shared" ca="1" si="163"/>
        <v>23</v>
      </c>
      <c r="Q369" s="357">
        <f t="shared" ca="1" si="164"/>
        <v>0</v>
      </c>
      <c r="R369" s="359">
        <f t="shared" ca="1" si="165"/>
        <v>0</v>
      </c>
      <c r="S369" s="360">
        <f t="shared" ca="1" si="166"/>
        <v>8.3819999999999997</v>
      </c>
      <c r="T369" s="357">
        <f t="shared" ca="1" si="146"/>
        <v>82.227419999999995</v>
      </c>
      <c r="U369" s="364">
        <f t="shared" ca="1" si="147"/>
        <v>0</v>
      </c>
      <c r="V369" s="359">
        <f t="shared" ca="1" si="148"/>
        <v>1.1760148646153505</v>
      </c>
      <c r="W369" s="357">
        <f t="shared" ca="1" si="149"/>
        <v>95.28071041035119</v>
      </c>
      <c r="X369" s="343"/>
      <c r="Y369" s="367" t="str">
        <f t="shared" ca="1" si="167"/>
        <v/>
      </c>
      <c r="Z369" s="368" t="str">
        <f t="shared" ca="1" si="168"/>
        <v/>
      </c>
      <c r="AA369" s="369" t="str">
        <f t="shared" ca="1" si="169"/>
        <v/>
      </c>
      <c r="AB369" s="344"/>
      <c r="AC369" s="363" t="e">
        <f t="shared" ca="1" si="170"/>
        <v>#N/A</v>
      </c>
      <c r="AD369" s="376" t="e">
        <f t="shared" ca="1" si="171"/>
        <v>#N/A</v>
      </c>
      <c r="AE369" s="377">
        <f t="shared" ca="1" si="150"/>
        <v>408.03691894258321</v>
      </c>
      <c r="AF369" s="344"/>
      <c r="AG369" s="359">
        <f t="shared" ca="1" si="172"/>
        <v>-20.920817483915592</v>
      </c>
      <c r="AH369" s="357">
        <f t="shared" ca="1" si="173"/>
        <v>-11.396483780867069</v>
      </c>
    </row>
    <row r="370" spans="1:34" x14ac:dyDescent="0.2">
      <c r="A370" s="402">
        <f t="shared" ca="1" si="151"/>
        <v>0.01</v>
      </c>
      <c r="B370" s="357">
        <f t="shared" ca="1" si="152"/>
        <v>3.6599999999999659</v>
      </c>
      <c r="C370" s="342"/>
      <c r="D370" s="359">
        <f t="shared" ca="1" si="153"/>
        <v>-2.7247031922734251</v>
      </c>
      <c r="E370" s="360">
        <f t="shared" ca="1" si="154"/>
        <v>-20.845918933838384</v>
      </c>
      <c r="F370" s="357">
        <f t="shared" ca="1" si="155"/>
        <v>21.023233425953929</v>
      </c>
      <c r="G370" s="359">
        <f t="shared" ca="1" si="156"/>
        <v>41.835528832285725</v>
      </c>
      <c r="H370" s="360">
        <f t="shared" ca="1" si="157"/>
        <v>169.34916532292053</v>
      </c>
      <c r="I370" s="357">
        <f t="shared" ca="1" si="158"/>
        <v>174.44010796903009</v>
      </c>
      <c r="J370" s="359">
        <f t="shared" ca="1" si="159"/>
        <v>92.817262816726455</v>
      </c>
      <c r="K370" s="360">
        <f t="shared" ca="1" si="160"/>
        <v>409.73145289175909</v>
      </c>
      <c r="L370" s="357">
        <f t="shared" ca="1" si="145"/>
        <v>420.11297024203031</v>
      </c>
      <c r="M370" s="359">
        <f t="shared" ca="1" si="161"/>
        <v>1.3286082017051684</v>
      </c>
      <c r="N370" s="357">
        <f t="shared" ca="1" si="162"/>
        <v>76.123642584172131</v>
      </c>
      <c r="O370" s="343"/>
      <c r="P370" s="363">
        <f t="shared" ca="1" si="163"/>
        <v>23</v>
      </c>
      <c r="Q370" s="357">
        <f t="shared" ca="1" si="164"/>
        <v>0</v>
      </c>
      <c r="R370" s="359">
        <f t="shared" ca="1" si="165"/>
        <v>0</v>
      </c>
      <c r="S370" s="360">
        <f t="shared" ca="1" si="166"/>
        <v>8.3819999999999997</v>
      </c>
      <c r="T370" s="357">
        <f t="shared" ca="1" si="146"/>
        <v>82.227419999999995</v>
      </c>
      <c r="U370" s="364">
        <f t="shared" ca="1" si="147"/>
        <v>0</v>
      </c>
      <c r="V370" s="359">
        <f t="shared" ca="1" si="148"/>
        <v>1.1758155184745178</v>
      </c>
      <c r="W370" s="357">
        <f t="shared" ca="1" si="149"/>
        <v>95.036788655777443</v>
      </c>
      <c r="X370" s="343"/>
      <c r="Y370" s="367" t="str">
        <f t="shared" ca="1" si="167"/>
        <v/>
      </c>
      <c r="Z370" s="368" t="str">
        <f t="shared" ca="1" si="168"/>
        <v/>
      </c>
      <c r="AA370" s="369" t="str">
        <f t="shared" ca="1" si="169"/>
        <v/>
      </c>
      <c r="AB370" s="344"/>
      <c r="AC370" s="363" t="e">
        <f t="shared" ca="1" si="170"/>
        <v>#N/A</v>
      </c>
      <c r="AD370" s="376" t="e">
        <f t="shared" ca="1" si="171"/>
        <v>#N/A</v>
      </c>
      <c r="AE370" s="377">
        <f t="shared" ca="1" si="150"/>
        <v>409.73145289175909</v>
      </c>
      <c r="AF370" s="344"/>
      <c r="AG370" s="359">
        <f t="shared" ca="1" si="172"/>
        <v>-20.891317588967318</v>
      </c>
      <c r="AH370" s="357">
        <f t="shared" ca="1" si="173"/>
        <v>-11.367300215980816</v>
      </c>
    </row>
    <row r="371" spans="1:34" x14ac:dyDescent="0.2">
      <c r="A371" s="402">
        <f t="shared" ca="1" si="151"/>
        <v>0.01</v>
      </c>
      <c r="B371" s="357">
        <f t="shared" ca="1" si="152"/>
        <v>3.6699999999999657</v>
      </c>
      <c r="C371" s="342"/>
      <c r="D371" s="359">
        <f t="shared" ca="1" si="153"/>
        <v>-2.7192116528762371</v>
      </c>
      <c r="E371" s="360">
        <f t="shared" ca="1" si="154"/>
        <v>-20.817300172947043</v>
      </c>
      <c r="F371" s="357">
        <f t="shared" ca="1" si="155"/>
        <v>20.994144386083441</v>
      </c>
      <c r="G371" s="359">
        <f t="shared" ca="1" si="156"/>
        <v>41.808336715756965</v>
      </c>
      <c r="H371" s="360">
        <f t="shared" ca="1" si="157"/>
        <v>169.14099232119105</v>
      </c>
      <c r="I371" s="357">
        <f t="shared" ca="1" si="158"/>
        <v>174.23149055878309</v>
      </c>
      <c r="J371" s="359">
        <f t="shared" ca="1" si="159"/>
        <v>93.235482144466673</v>
      </c>
      <c r="K371" s="360">
        <f t="shared" ca="1" si="160"/>
        <v>411.42390367997967</v>
      </c>
      <c r="L371" s="357">
        <f t="shared" ca="1" si="145"/>
        <v>421.85599871281238</v>
      </c>
      <c r="M371" s="359">
        <f t="shared" ca="1" si="161"/>
        <v>1.3284731682833633</v>
      </c>
      <c r="N371" s="357">
        <f t="shared" ca="1" si="162"/>
        <v>76.115905739009492</v>
      </c>
      <c r="O371" s="343"/>
      <c r="P371" s="363">
        <f t="shared" ca="1" si="163"/>
        <v>23</v>
      </c>
      <c r="Q371" s="357">
        <f t="shared" ca="1" si="164"/>
        <v>0</v>
      </c>
      <c r="R371" s="359">
        <f t="shared" ca="1" si="165"/>
        <v>0</v>
      </c>
      <c r="S371" s="360">
        <f t="shared" ca="1" si="166"/>
        <v>8.3819999999999997</v>
      </c>
      <c r="T371" s="357">
        <f t="shared" ca="1" si="146"/>
        <v>82.227419999999995</v>
      </c>
      <c r="U371" s="364">
        <f t="shared" ca="1" si="147"/>
        <v>0</v>
      </c>
      <c r="V371" s="359">
        <f t="shared" ca="1" si="148"/>
        <v>1.175616450436159</v>
      </c>
      <c r="W371" s="357">
        <f t="shared" ca="1" si="149"/>
        <v>94.793559236495796</v>
      </c>
      <c r="X371" s="343"/>
      <c r="Y371" s="367" t="str">
        <f t="shared" ca="1" si="167"/>
        <v/>
      </c>
      <c r="Z371" s="368" t="str">
        <f t="shared" ca="1" si="168"/>
        <v/>
      </c>
      <c r="AA371" s="369" t="str">
        <f t="shared" ca="1" si="169"/>
        <v/>
      </c>
      <c r="AB371" s="344"/>
      <c r="AC371" s="363" t="e">
        <f t="shared" ca="1" si="170"/>
        <v>#N/A</v>
      </c>
      <c r="AD371" s="376" t="e">
        <f t="shared" ca="1" si="171"/>
        <v>#N/A</v>
      </c>
      <c r="AE371" s="377">
        <f t="shared" ca="1" si="150"/>
        <v>411.42390367997967</v>
      </c>
      <c r="AF371" s="344"/>
      <c r="AG371" s="359">
        <f t="shared" ca="1" si="172"/>
        <v>-20.861899871767751</v>
      </c>
      <c r="AH371" s="357">
        <f t="shared" ca="1" si="173"/>
        <v>-11.33819955330201</v>
      </c>
    </row>
    <row r="372" spans="1:34" x14ac:dyDescent="0.2">
      <c r="A372" s="402">
        <f t="shared" ca="1" si="151"/>
        <v>0.01</v>
      </c>
      <c r="B372" s="357">
        <f t="shared" ca="1" si="152"/>
        <v>3.6799999999999655</v>
      </c>
      <c r="C372" s="342"/>
      <c r="D372" s="359">
        <f t="shared" ca="1" si="153"/>
        <v>-2.71373484858489</v>
      </c>
      <c r="E372" s="360">
        <f t="shared" ca="1" si="154"/>
        <v>-20.788762640257186</v>
      </c>
      <c r="F372" s="357">
        <f t="shared" ca="1" si="155"/>
        <v>20.965137942340782</v>
      </c>
      <c r="G372" s="359">
        <f t="shared" ca="1" si="156"/>
        <v>41.781199367271114</v>
      </c>
      <c r="H372" s="360">
        <f t="shared" ca="1" si="157"/>
        <v>168.93310469478848</v>
      </c>
      <c r="I372" s="357">
        <f t="shared" ca="1" si="158"/>
        <v>174.0231665106345</v>
      </c>
      <c r="J372" s="359">
        <f t="shared" ca="1" si="159"/>
        <v>93.653429824881812</v>
      </c>
      <c r="K372" s="360">
        <f t="shared" ca="1" si="160"/>
        <v>413.11427416505956</v>
      </c>
      <c r="L372" s="357">
        <f t="shared" ca="1" si="145"/>
        <v>423.5969410145546</v>
      </c>
      <c r="M372" s="359">
        <f t="shared" ca="1" si="161"/>
        <v>1.3283378993143373</v>
      </c>
      <c r="N372" s="357">
        <f t="shared" ca="1" si="162"/>
        <v>76.108155397985215</v>
      </c>
      <c r="O372" s="343"/>
      <c r="P372" s="363">
        <f t="shared" ca="1" si="163"/>
        <v>23</v>
      </c>
      <c r="Q372" s="357">
        <f t="shared" ca="1" si="164"/>
        <v>0</v>
      </c>
      <c r="R372" s="359">
        <f t="shared" ca="1" si="165"/>
        <v>0</v>
      </c>
      <c r="S372" s="360">
        <f t="shared" ca="1" si="166"/>
        <v>8.3819999999999997</v>
      </c>
      <c r="T372" s="357">
        <f t="shared" ca="1" si="146"/>
        <v>82.227419999999995</v>
      </c>
      <c r="U372" s="364">
        <f t="shared" ca="1" si="147"/>
        <v>0</v>
      </c>
      <c r="V372" s="359">
        <f t="shared" ca="1" si="148"/>
        <v>1.1754176600341013</v>
      </c>
      <c r="W372" s="357">
        <f t="shared" ca="1" si="149"/>
        <v>94.55101961343432</v>
      </c>
      <c r="X372" s="343"/>
      <c r="Y372" s="367" t="str">
        <f t="shared" ca="1" si="167"/>
        <v/>
      </c>
      <c r="Z372" s="368" t="str">
        <f t="shared" ca="1" si="168"/>
        <v/>
      </c>
      <c r="AA372" s="369" t="str">
        <f t="shared" ca="1" si="169"/>
        <v/>
      </c>
      <c r="AB372" s="344"/>
      <c r="AC372" s="363" t="e">
        <f t="shared" ca="1" si="170"/>
        <v>#N/A</v>
      </c>
      <c r="AD372" s="376" t="e">
        <f t="shared" ca="1" si="171"/>
        <v>#N/A</v>
      </c>
      <c r="AE372" s="377">
        <f t="shared" ca="1" si="150"/>
        <v>413.11427416505956</v>
      </c>
      <c r="AF372" s="344"/>
      <c r="AG372" s="359">
        <f t="shared" ca="1" si="172"/>
        <v>-20.832564025991172</v>
      </c>
      <c r="AH372" s="357">
        <f t="shared" ca="1" si="173"/>
        <v>-11.309181488486733</v>
      </c>
    </row>
    <row r="373" spans="1:34" x14ac:dyDescent="0.2">
      <c r="A373" s="402">
        <f t="shared" ca="1" si="151"/>
        <v>0.01</v>
      </c>
      <c r="B373" s="357">
        <f t="shared" ca="1" si="152"/>
        <v>3.6899999999999653</v>
      </c>
      <c r="C373" s="342"/>
      <c r="D373" s="359">
        <f t="shared" ca="1" si="153"/>
        <v>-2.7082727244391074</v>
      </c>
      <c r="E373" s="360">
        <f t="shared" ca="1" si="154"/>
        <v>-20.760306037842064</v>
      </c>
      <c r="F373" s="357">
        <f t="shared" ca="1" si="155"/>
        <v>20.936213791772438</v>
      </c>
      <c r="G373" s="359">
        <f t="shared" ca="1" si="156"/>
        <v>41.754116640026723</v>
      </c>
      <c r="H373" s="360">
        <f t="shared" ca="1" si="157"/>
        <v>168.72550163441005</v>
      </c>
      <c r="I373" s="357">
        <f t="shared" ca="1" si="158"/>
        <v>173.81513500892913</v>
      </c>
      <c r="J373" s="359">
        <f t="shared" ca="1" si="159"/>
        <v>94.071106404918297</v>
      </c>
      <c r="K373" s="360">
        <f t="shared" ca="1" si="160"/>
        <v>414.80256719670552</v>
      </c>
      <c r="L373" s="357">
        <f t="shared" ca="1" si="145"/>
        <v>425.33580006063778</v>
      </c>
      <c r="M373" s="359">
        <f t="shared" ca="1" si="161"/>
        <v>1.3282023943349488</v>
      </c>
      <c r="N373" s="357">
        <f t="shared" ca="1" si="162"/>
        <v>76.100391534563244</v>
      </c>
      <c r="O373" s="343"/>
      <c r="P373" s="363">
        <f t="shared" ca="1" si="163"/>
        <v>23</v>
      </c>
      <c r="Q373" s="357">
        <f t="shared" ca="1" si="164"/>
        <v>0</v>
      </c>
      <c r="R373" s="359">
        <f t="shared" ca="1" si="165"/>
        <v>0</v>
      </c>
      <c r="S373" s="360">
        <f t="shared" ca="1" si="166"/>
        <v>8.3819999999999997</v>
      </c>
      <c r="T373" s="357">
        <f t="shared" ca="1" si="146"/>
        <v>82.227419999999995</v>
      </c>
      <c r="U373" s="364">
        <f t="shared" ca="1" si="147"/>
        <v>0</v>
      </c>
      <c r="V373" s="359">
        <f t="shared" ca="1" si="148"/>
        <v>1.17521914680356</v>
      </c>
      <c r="W373" s="357">
        <f t="shared" ca="1" si="149"/>
        <v>94.309167259392737</v>
      </c>
      <c r="X373" s="343"/>
      <c r="Y373" s="367" t="str">
        <f t="shared" ca="1" si="167"/>
        <v/>
      </c>
      <c r="Z373" s="368" t="str">
        <f t="shared" ca="1" si="168"/>
        <v/>
      </c>
      <c r="AA373" s="369" t="str">
        <f t="shared" ca="1" si="169"/>
        <v/>
      </c>
      <c r="AB373" s="344"/>
      <c r="AC373" s="363" t="e">
        <f t="shared" ca="1" si="170"/>
        <v>#N/A</v>
      </c>
      <c r="AD373" s="376" t="e">
        <f t="shared" ca="1" si="171"/>
        <v>#N/A</v>
      </c>
      <c r="AE373" s="377">
        <f t="shared" ca="1" si="150"/>
        <v>414.80256719670552</v>
      </c>
      <c r="AF373" s="344"/>
      <c r="AG373" s="359">
        <f t="shared" ca="1" si="172"/>
        <v>-20.803309746729166</v>
      </c>
      <c r="AH373" s="357">
        <f t="shared" ca="1" si="173"/>
        <v>-11.280245718615404</v>
      </c>
    </row>
    <row r="374" spans="1:34" x14ac:dyDescent="0.2">
      <c r="A374" s="402">
        <f t="shared" ca="1" si="151"/>
        <v>0.01</v>
      </c>
      <c r="B374" s="357">
        <f t="shared" ca="1" si="152"/>
        <v>3.6999999999999651</v>
      </c>
      <c r="C374" s="342"/>
      <c r="D374" s="359">
        <f t="shared" ca="1" si="153"/>
        <v>-2.7028252257348337</v>
      </c>
      <c r="E374" s="360">
        <f t="shared" ca="1" si="154"/>
        <v>-20.731930069167802</v>
      </c>
      <c r="F374" s="357">
        <f t="shared" ca="1" si="155"/>
        <v>20.907371632841194</v>
      </c>
      <c r="G374" s="359">
        <f t="shared" ca="1" si="156"/>
        <v>41.727088387769378</v>
      </c>
      <c r="H374" s="360">
        <f t="shared" ca="1" si="157"/>
        <v>168.51818233371839</v>
      </c>
      <c r="I374" s="357">
        <f t="shared" ca="1" si="158"/>
        <v>173.6073952410469</v>
      </c>
      <c r="J374" s="359">
        <f t="shared" ca="1" si="159"/>
        <v>94.488512430057284</v>
      </c>
      <c r="K374" s="360">
        <f t="shared" ca="1" si="160"/>
        <v>416.48878561654618</v>
      </c>
      <c r="L374" s="357">
        <f t="shared" ca="1" si="145"/>
        <v>427.07257875634025</v>
      </c>
      <c r="M374" s="359">
        <f t="shared" ca="1" si="161"/>
        <v>1.328066652880709</v>
      </c>
      <c r="N374" s="357">
        <f t="shared" ca="1" si="162"/>
        <v>76.092614122130342</v>
      </c>
      <c r="O374" s="343"/>
      <c r="P374" s="363">
        <f t="shared" ca="1" si="163"/>
        <v>23</v>
      </c>
      <c r="Q374" s="357">
        <f t="shared" ca="1" si="164"/>
        <v>0</v>
      </c>
      <c r="R374" s="359">
        <f t="shared" ca="1" si="165"/>
        <v>0</v>
      </c>
      <c r="S374" s="360">
        <f t="shared" ca="1" si="166"/>
        <v>8.3819999999999997</v>
      </c>
      <c r="T374" s="357">
        <f t="shared" ca="1" si="146"/>
        <v>82.227419999999995</v>
      </c>
      <c r="U374" s="364">
        <f t="shared" ca="1" si="147"/>
        <v>0</v>
      </c>
      <c r="V374" s="359">
        <f t="shared" ca="1" si="148"/>
        <v>1.1750209102811344</v>
      </c>
      <c r="W374" s="357">
        <f t="shared" ca="1" si="149"/>
        <v>94.067999658975864</v>
      </c>
      <c r="X374" s="343"/>
      <c r="Y374" s="367" t="str">
        <f t="shared" ca="1" si="167"/>
        <v/>
      </c>
      <c r="Z374" s="368" t="str">
        <f t="shared" ca="1" si="168"/>
        <v/>
      </c>
      <c r="AA374" s="369" t="str">
        <f t="shared" ca="1" si="169"/>
        <v/>
      </c>
      <c r="AB374" s="344"/>
      <c r="AC374" s="363" t="e">
        <f t="shared" ca="1" si="170"/>
        <v>#N/A</v>
      </c>
      <c r="AD374" s="376" t="e">
        <f t="shared" ca="1" si="171"/>
        <v>#N/A</v>
      </c>
      <c r="AE374" s="377">
        <f t="shared" ca="1" si="150"/>
        <v>416.48878561654618</v>
      </c>
      <c r="AF374" s="344"/>
      <c r="AG374" s="359">
        <f t="shared" ca="1" si="172"/>
        <v>-20.774136730482596</v>
      </c>
      <c r="AH374" s="357">
        <f t="shared" ca="1" si="173"/>
        <v>-11.251391942184769</v>
      </c>
    </row>
    <row r="375" spans="1:34" x14ac:dyDescent="0.2">
      <c r="A375" s="402">
        <f t="shared" ca="1" si="151"/>
        <v>0.01</v>
      </c>
      <c r="B375" s="357">
        <f t="shared" ca="1" si="152"/>
        <v>3.7099999999999649</v>
      </c>
      <c r="C375" s="342"/>
      <c r="D375" s="359">
        <f t="shared" ca="1" si="153"/>
        <v>-2.6973922980228009</v>
      </c>
      <c r="E375" s="360">
        <f t="shared" ca="1" si="154"/>
        <v>-20.703634439085612</v>
      </c>
      <c r="F375" s="357">
        <f t="shared" ca="1" si="155"/>
        <v>20.878611165418175</v>
      </c>
      <c r="G375" s="359">
        <f t="shared" ca="1" si="156"/>
        <v>41.700114464789152</v>
      </c>
      <c r="H375" s="360">
        <f t="shared" ca="1" si="157"/>
        <v>168.31114598932754</v>
      </c>
      <c r="I375" s="357">
        <f t="shared" ca="1" si="158"/>
        <v>173.39994639738862</v>
      </c>
      <c r="J375" s="359">
        <f t="shared" ca="1" si="159"/>
        <v>94.905648444320079</v>
      </c>
      <c r="K375" s="360">
        <f t="shared" ca="1" si="160"/>
        <v>418.17293225816144</v>
      </c>
      <c r="L375" s="357">
        <f t="shared" ca="1" si="145"/>
        <v>428.80727999886585</v>
      </c>
      <c r="M375" s="359">
        <f t="shared" ca="1" si="161"/>
        <v>1.3279306744857786</v>
      </c>
      <c r="N375" s="357">
        <f t="shared" ca="1" si="162"/>
        <v>76.084823133995869</v>
      </c>
      <c r="O375" s="343"/>
      <c r="P375" s="363">
        <f t="shared" ca="1" si="163"/>
        <v>23</v>
      </c>
      <c r="Q375" s="357">
        <f t="shared" ca="1" si="164"/>
        <v>0</v>
      </c>
      <c r="R375" s="359">
        <f t="shared" ca="1" si="165"/>
        <v>0</v>
      </c>
      <c r="S375" s="360">
        <f t="shared" ca="1" si="166"/>
        <v>8.3819999999999997</v>
      </c>
      <c r="T375" s="357">
        <f t="shared" ca="1" si="146"/>
        <v>82.227419999999995</v>
      </c>
      <c r="U375" s="364">
        <f t="shared" ca="1" si="147"/>
        <v>0</v>
      </c>
      <c r="V375" s="359">
        <f t="shared" ca="1" si="148"/>
        <v>1.1748229500048029</v>
      </c>
      <c r="W375" s="357">
        <f t="shared" ca="1" si="149"/>
        <v>93.827514308527284</v>
      </c>
      <c r="X375" s="343"/>
      <c r="Y375" s="367" t="str">
        <f t="shared" ca="1" si="167"/>
        <v/>
      </c>
      <c r="Z375" s="368" t="str">
        <f t="shared" ca="1" si="168"/>
        <v/>
      </c>
      <c r="AA375" s="369" t="str">
        <f t="shared" ca="1" si="169"/>
        <v/>
      </c>
      <c r="AB375" s="344"/>
      <c r="AC375" s="363" t="e">
        <f t="shared" ca="1" si="170"/>
        <v>#N/A</v>
      </c>
      <c r="AD375" s="376" t="e">
        <f t="shared" ca="1" si="171"/>
        <v>#N/A</v>
      </c>
      <c r="AE375" s="377">
        <f t="shared" ca="1" si="150"/>
        <v>418.17293225816144</v>
      </c>
      <c r="AF375" s="344"/>
      <c r="AG375" s="359">
        <f t="shared" ca="1" si="172"/>
        <v>-20.745044675153601</v>
      </c>
      <c r="AH375" s="357">
        <f t="shared" ca="1" si="173"/>
        <v>-11.222619859099961</v>
      </c>
    </row>
    <row r="376" spans="1:34" x14ac:dyDescent="0.2">
      <c r="A376" s="402">
        <f t="shared" ca="1" si="151"/>
        <v>0.01</v>
      </c>
      <c r="B376" s="357">
        <f t="shared" ca="1" si="152"/>
        <v>3.7199999999999647</v>
      </c>
      <c r="C376" s="342"/>
      <c r="D376" s="359">
        <f t="shared" ca="1" si="153"/>
        <v>-2.6919738871070855</v>
      </c>
      <c r="E376" s="360">
        <f t="shared" ca="1" si="154"/>
        <v>-20.675418853823992</v>
      </c>
      <c r="F376" s="357">
        <f t="shared" ca="1" si="155"/>
        <v>20.849932090774949</v>
      </c>
      <c r="G376" s="359">
        <f t="shared" ca="1" si="156"/>
        <v>41.67319472591808</v>
      </c>
      <c r="H376" s="360">
        <f t="shared" ca="1" si="157"/>
        <v>168.1043918007893</v>
      </c>
      <c r="I376" s="357">
        <f t="shared" ca="1" si="158"/>
        <v>173.19278767136223</v>
      </c>
      <c r="J376" s="359">
        <f t="shared" ca="1" si="159"/>
        <v>95.322514990273618</v>
      </c>
      <c r="K376" s="360">
        <f t="shared" ca="1" si="160"/>
        <v>419.85500994711202</v>
      </c>
      <c r="L376" s="357">
        <f t="shared" ca="1" si="145"/>
        <v>430.53990667737236</v>
      </c>
      <c r="M376" s="359">
        <f t="shared" ca="1" si="161"/>
        <v>1.3277944586829609</v>
      </c>
      <c r="N376" s="357">
        <f t="shared" ca="1" si="162"/>
        <v>76.077018543391418</v>
      </c>
      <c r="O376" s="343"/>
      <c r="P376" s="363">
        <f t="shared" ca="1" si="163"/>
        <v>23</v>
      </c>
      <c r="Q376" s="357">
        <f t="shared" ca="1" si="164"/>
        <v>0</v>
      </c>
      <c r="R376" s="359">
        <f t="shared" ca="1" si="165"/>
        <v>0</v>
      </c>
      <c r="S376" s="360">
        <f t="shared" ca="1" si="166"/>
        <v>8.3819999999999997</v>
      </c>
      <c r="T376" s="357">
        <f t="shared" ca="1" si="146"/>
        <v>82.227419999999995</v>
      </c>
      <c r="U376" s="364">
        <f t="shared" ca="1" si="147"/>
        <v>0</v>
      </c>
      <c r="V376" s="359">
        <f t="shared" ca="1" si="148"/>
        <v>1.174625265513916</v>
      </c>
      <c r="W376" s="357">
        <f t="shared" ca="1" si="149"/>
        <v>93.58770871606356</v>
      </c>
      <c r="X376" s="343"/>
      <c r="Y376" s="367" t="str">
        <f t="shared" ca="1" si="167"/>
        <v/>
      </c>
      <c r="Z376" s="368" t="str">
        <f t="shared" ca="1" si="168"/>
        <v/>
      </c>
      <c r="AA376" s="369" t="str">
        <f t="shared" ca="1" si="169"/>
        <v/>
      </c>
      <c r="AB376" s="344"/>
      <c r="AC376" s="363" t="e">
        <f t="shared" ca="1" si="170"/>
        <v>#N/A</v>
      </c>
      <c r="AD376" s="376" t="e">
        <f t="shared" ca="1" si="171"/>
        <v>#N/A</v>
      </c>
      <c r="AE376" s="377">
        <f t="shared" ca="1" si="150"/>
        <v>419.85500994711202</v>
      </c>
      <c r="AF376" s="344"/>
      <c r="AG376" s="359">
        <f t="shared" ca="1" si="172"/>
        <v>-20.716033280037685</v>
      </c>
      <c r="AH376" s="357">
        <f t="shared" ca="1" si="173"/>
        <v>-11.193929170666582</v>
      </c>
    </row>
    <row r="377" spans="1:34" x14ac:dyDescent="0.2">
      <c r="A377" s="402">
        <f t="shared" ca="1" si="151"/>
        <v>0.01</v>
      </c>
      <c r="B377" s="357">
        <f t="shared" ca="1" si="152"/>
        <v>3.7299999999999645</v>
      </c>
      <c r="C377" s="342"/>
      <c r="D377" s="359">
        <f t="shared" ca="1" si="153"/>
        <v>-2.6865699390437143</v>
      </c>
      <c r="E377" s="360">
        <f t="shared" ca="1" si="154"/>
        <v>-20.647283020981</v>
      </c>
      <c r="F377" s="357">
        <f t="shared" ca="1" si="155"/>
        <v>20.821334111575645</v>
      </c>
      <c r="G377" s="359">
        <f t="shared" ca="1" si="156"/>
        <v>41.646329026527646</v>
      </c>
      <c r="H377" s="360">
        <f t="shared" ca="1" si="157"/>
        <v>167.8979189705795</v>
      </c>
      <c r="I377" s="357">
        <f t="shared" ca="1" si="158"/>
        <v>172.98591825936896</v>
      </c>
      <c r="J377" s="359">
        <f t="shared" ca="1" si="159"/>
        <v>95.739112609035843</v>
      </c>
      <c r="K377" s="360">
        <f t="shared" ca="1" si="160"/>
        <v>421.53502150096887</v>
      </c>
      <c r="L377" s="357">
        <f t="shared" ca="1" si="145"/>
        <v>432.27046167299926</v>
      </c>
      <c r="M377" s="359">
        <f t="shared" ca="1" si="161"/>
        <v>1.3276580050037001</v>
      </c>
      <c r="N377" s="357">
        <f t="shared" ca="1" si="162"/>
        <v>76.069200323470753</v>
      </c>
      <c r="O377" s="343"/>
      <c r="P377" s="363">
        <f t="shared" ca="1" si="163"/>
        <v>23</v>
      </c>
      <c r="Q377" s="357">
        <f t="shared" ca="1" si="164"/>
        <v>0</v>
      </c>
      <c r="R377" s="359">
        <f t="shared" ca="1" si="165"/>
        <v>0</v>
      </c>
      <c r="S377" s="360">
        <f t="shared" ca="1" si="166"/>
        <v>8.3819999999999997</v>
      </c>
      <c r="T377" s="357">
        <f t="shared" ca="1" si="146"/>
        <v>82.227419999999995</v>
      </c>
      <c r="U377" s="364">
        <f t="shared" ca="1" si="147"/>
        <v>0</v>
      </c>
      <c r="V377" s="359">
        <f t="shared" ca="1" si="148"/>
        <v>1.1744278563491912</v>
      </c>
      <c r="W377" s="357">
        <f t="shared" ca="1" si="149"/>
        <v>93.34858040120892</v>
      </c>
      <c r="X377" s="343"/>
      <c r="Y377" s="367" t="str">
        <f t="shared" ca="1" si="167"/>
        <v/>
      </c>
      <c r="Z377" s="368" t="str">
        <f t="shared" ca="1" si="168"/>
        <v/>
      </c>
      <c r="AA377" s="369" t="str">
        <f t="shared" ca="1" si="169"/>
        <v/>
      </c>
      <c r="AB377" s="344"/>
      <c r="AC377" s="363" t="e">
        <f t="shared" ca="1" si="170"/>
        <v>#N/A</v>
      </c>
      <c r="AD377" s="376" t="e">
        <f t="shared" ca="1" si="171"/>
        <v>#N/A</v>
      </c>
      <c r="AE377" s="377">
        <f t="shared" ca="1" si="150"/>
        <v>421.53502150096887</v>
      </c>
      <c r="AF377" s="344"/>
      <c r="AG377" s="359">
        <f t="shared" ca="1" si="172"/>
        <v>-20.687102245815826</v>
      </c>
      <c r="AH377" s="357">
        <f t="shared" ca="1" si="173"/>
        <v>-11.165319579582864</v>
      </c>
    </row>
    <row r="378" spans="1:34" x14ac:dyDescent="0.2">
      <c r="A378" s="402">
        <f t="shared" ca="1" si="151"/>
        <v>0.01</v>
      </c>
      <c r="B378" s="357">
        <f t="shared" ca="1" si="152"/>
        <v>3.7399999999999642</v>
      </c>
      <c r="C378" s="342"/>
      <c r="D378" s="359">
        <f t="shared" ca="1" si="153"/>
        <v>-2.6811804001392199</v>
      </c>
      <c r="E378" s="360">
        <f t="shared" ca="1" si="154"/>
        <v>-20.619226649516634</v>
      </c>
      <c r="F378" s="357">
        <f t="shared" ca="1" si="155"/>
        <v>20.792816931869229</v>
      </c>
      <c r="G378" s="359">
        <f t="shared" ca="1" si="156"/>
        <v>41.619517222526255</v>
      </c>
      <c r="H378" s="360">
        <f t="shared" ca="1" si="157"/>
        <v>167.69172670408432</v>
      </c>
      <c r="I378" s="357">
        <f t="shared" ca="1" si="158"/>
        <v>172.77933736078936</v>
      </c>
      <c r="J378" s="359">
        <f t="shared" ca="1" si="159"/>
        <v>96.155441840281114</v>
      </c>
      <c r="K378" s="360">
        <f t="shared" ca="1" si="160"/>
        <v>423.21296972934221</v>
      </c>
      <c r="L378" s="357">
        <f t="shared" ca="1" si="145"/>
        <v>433.99894785889609</v>
      </c>
      <c r="M378" s="359">
        <f t="shared" ca="1" si="161"/>
        <v>1.3275213129780745</v>
      </c>
      <c r="N378" s="357">
        <f t="shared" ca="1" si="162"/>
        <v>76.061368447309306</v>
      </c>
      <c r="O378" s="343"/>
      <c r="P378" s="363">
        <f t="shared" ca="1" si="163"/>
        <v>23</v>
      </c>
      <c r="Q378" s="357">
        <f t="shared" ca="1" si="164"/>
        <v>0</v>
      </c>
      <c r="R378" s="359">
        <f t="shared" ca="1" si="165"/>
        <v>0</v>
      </c>
      <c r="S378" s="360">
        <f t="shared" ca="1" si="166"/>
        <v>8.3819999999999997</v>
      </c>
      <c r="T378" s="357">
        <f t="shared" ca="1" si="146"/>
        <v>82.227419999999995</v>
      </c>
      <c r="U378" s="364">
        <f t="shared" ca="1" si="147"/>
        <v>0</v>
      </c>
      <c r="V378" s="359">
        <f t="shared" ca="1" si="148"/>
        <v>1.17423072205271</v>
      </c>
      <c r="W378" s="357">
        <f t="shared" ca="1" si="149"/>
        <v>93.110126895130293</v>
      </c>
      <c r="X378" s="343"/>
      <c r="Y378" s="367" t="str">
        <f t="shared" ca="1" si="167"/>
        <v/>
      </c>
      <c r="Z378" s="368" t="str">
        <f t="shared" ca="1" si="168"/>
        <v/>
      </c>
      <c r="AA378" s="369" t="str">
        <f t="shared" ca="1" si="169"/>
        <v/>
      </c>
      <c r="AB378" s="344"/>
      <c r="AC378" s="363" t="e">
        <f t="shared" ca="1" si="170"/>
        <v>#N/A</v>
      </c>
      <c r="AD378" s="376" t="e">
        <f t="shared" ca="1" si="171"/>
        <v>#N/A</v>
      </c>
      <c r="AE378" s="377">
        <f t="shared" ca="1" si="150"/>
        <v>423.21296972934221</v>
      </c>
      <c r="AF378" s="344"/>
      <c r="AG378" s="359">
        <f t="shared" ca="1" si="172"/>
        <v>-20.658251274546654</v>
      </c>
      <c r="AH378" s="357">
        <f t="shared" ca="1" si="173"/>
        <v>-11.136790789931869</v>
      </c>
    </row>
    <row r="379" spans="1:34" x14ac:dyDescent="0.2">
      <c r="A379" s="402">
        <f t="shared" ca="1" si="151"/>
        <v>0.01</v>
      </c>
      <c r="B379" s="357">
        <f t="shared" ca="1" si="152"/>
        <v>3.749999999999964</v>
      </c>
      <c r="C379" s="342"/>
      <c r="D379" s="359">
        <f t="shared" ca="1" si="153"/>
        <v>-2.6758052169492692</v>
      </c>
      <c r="E379" s="360">
        <f t="shared" ca="1" si="154"/>
        <v>-20.591249449745149</v>
      </c>
      <c r="F379" s="357">
        <f t="shared" ca="1" si="155"/>
        <v>20.764380257081665</v>
      </c>
      <c r="G379" s="359">
        <f t="shared" ca="1" si="156"/>
        <v>41.592759170356764</v>
      </c>
      <c r="H379" s="360">
        <f t="shared" ca="1" si="157"/>
        <v>167.48581420958686</v>
      </c>
      <c r="I379" s="357">
        <f t="shared" ca="1" si="158"/>
        <v>172.57304417796988</v>
      </c>
      <c r="J379" s="359">
        <f t="shared" ca="1" si="159"/>
        <v>96.571503222245525</v>
      </c>
      <c r="K379" s="360">
        <f t="shared" ca="1" si="160"/>
        <v>424.88885743391057</v>
      </c>
      <c r="L379" s="357">
        <f t="shared" ca="1" si="145"/>
        <v>435.7253681002498</v>
      </c>
      <c r="M379" s="359">
        <f t="shared" ca="1" si="161"/>
        <v>1.3273843821347933</v>
      </c>
      <c r="N379" s="357">
        <f t="shared" ca="1" si="162"/>
        <v>76.053522887904123</v>
      </c>
      <c r="O379" s="343"/>
      <c r="P379" s="363">
        <f t="shared" ca="1" si="163"/>
        <v>23</v>
      </c>
      <c r="Q379" s="357">
        <f t="shared" ca="1" si="164"/>
        <v>0</v>
      </c>
      <c r="R379" s="359">
        <f t="shared" ca="1" si="165"/>
        <v>0</v>
      </c>
      <c r="S379" s="360">
        <f t="shared" ca="1" si="166"/>
        <v>8.3819999999999997</v>
      </c>
      <c r="T379" s="357">
        <f t="shared" ca="1" si="146"/>
        <v>82.227419999999995</v>
      </c>
      <c r="U379" s="364">
        <f t="shared" ca="1" si="147"/>
        <v>0</v>
      </c>
      <c r="V379" s="359">
        <f t="shared" ca="1" si="148"/>
        <v>1.1740338621679109</v>
      </c>
      <c r="W379" s="357">
        <f t="shared" ca="1" si="149"/>
        <v>92.872345740472923</v>
      </c>
      <c r="X379" s="343"/>
      <c r="Y379" s="367" t="str">
        <f t="shared" ca="1" si="167"/>
        <v/>
      </c>
      <c r="Z379" s="368" t="str">
        <f t="shared" ca="1" si="168"/>
        <v/>
      </c>
      <c r="AA379" s="369" t="str">
        <f t="shared" ca="1" si="169"/>
        <v/>
      </c>
      <c r="AB379" s="344"/>
      <c r="AC379" s="363" t="e">
        <f t="shared" ca="1" si="170"/>
        <v>#N/A</v>
      </c>
      <c r="AD379" s="376" t="e">
        <f t="shared" ca="1" si="171"/>
        <v>#N/A</v>
      </c>
      <c r="AE379" s="377">
        <f t="shared" ca="1" si="150"/>
        <v>424.88885743391057</v>
      </c>
      <c r="AF379" s="344"/>
      <c r="AG379" s="359">
        <f t="shared" ca="1" si="172"/>
        <v>-20.629480069658669</v>
      </c>
      <c r="AH379" s="357">
        <f t="shared" ca="1" si="173"/>
        <v>-11.108342507173742</v>
      </c>
    </row>
    <row r="380" spans="1:34" x14ac:dyDescent="0.2">
      <c r="A380" s="402">
        <f t="shared" ca="1" si="151"/>
        <v>0.01</v>
      </c>
      <c r="B380" s="357">
        <f t="shared" ca="1" si="152"/>
        <v>3.7599999999999638</v>
      </c>
      <c r="C380" s="342"/>
      <c r="D380" s="359">
        <f t="shared" ca="1" si="153"/>
        <v>-2.6704443362772521</v>
      </c>
      <c r="E380" s="360">
        <f t="shared" ca="1" si="154"/>
        <v>-20.563351133327544</v>
      </c>
      <c r="F380" s="357">
        <f t="shared" ca="1" si="155"/>
        <v>20.7360237940083</v>
      </c>
      <c r="G380" s="359">
        <f t="shared" ca="1" si="156"/>
        <v>41.56605472699399</v>
      </c>
      <c r="H380" s="360">
        <f t="shared" ca="1" si="157"/>
        <v>167.28018069825359</v>
      </c>
      <c r="I380" s="357">
        <f t="shared" ca="1" si="158"/>
        <v>172.367037916209</v>
      </c>
      <c r="J380" s="359">
        <f t="shared" ca="1" si="159"/>
        <v>96.987297291732276</v>
      </c>
      <c r="K380" s="360">
        <f t="shared" ca="1" si="160"/>
        <v>426.56268740844979</v>
      </c>
      <c r="L380" s="357">
        <f t="shared" ca="1" si="145"/>
        <v>437.44972525431274</v>
      </c>
      <c r="M380" s="359">
        <f t="shared" ca="1" si="161"/>
        <v>1.3272472120011909</v>
      </c>
      <c r="N380" s="357">
        <f t="shared" ca="1" si="162"/>
        <v>76.045663618173464</v>
      </c>
      <c r="O380" s="343"/>
      <c r="P380" s="363">
        <f t="shared" ca="1" si="163"/>
        <v>23</v>
      </c>
      <c r="Q380" s="357">
        <f t="shared" ca="1" si="164"/>
        <v>0</v>
      </c>
      <c r="R380" s="359">
        <f t="shared" ca="1" si="165"/>
        <v>0</v>
      </c>
      <c r="S380" s="360">
        <f t="shared" ca="1" si="166"/>
        <v>8.3819999999999997</v>
      </c>
      <c r="T380" s="357">
        <f t="shared" ca="1" si="146"/>
        <v>82.227419999999995</v>
      </c>
      <c r="U380" s="364">
        <f t="shared" ca="1" si="147"/>
        <v>0</v>
      </c>
      <c r="V380" s="359">
        <f t="shared" ca="1" si="148"/>
        <v>1.1738372762395841</v>
      </c>
      <c r="W380" s="357">
        <f t="shared" ca="1" si="149"/>
        <v>92.635234491296075</v>
      </c>
      <c r="X380" s="343"/>
      <c r="Y380" s="367" t="str">
        <f t="shared" ca="1" si="167"/>
        <v/>
      </c>
      <c r="Z380" s="368" t="str">
        <f t="shared" ca="1" si="168"/>
        <v/>
      </c>
      <c r="AA380" s="369" t="str">
        <f t="shared" ca="1" si="169"/>
        <v/>
      </c>
      <c r="AB380" s="344"/>
      <c r="AC380" s="363" t="e">
        <f t="shared" ca="1" si="170"/>
        <v>#N/A</v>
      </c>
      <c r="AD380" s="376" t="e">
        <f t="shared" ca="1" si="171"/>
        <v>#N/A</v>
      </c>
      <c r="AE380" s="377">
        <f t="shared" ca="1" si="150"/>
        <v>426.56268740844979</v>
      </c>
      <c r="AF380" s="344"/>
      <c r="AG380" s="359">
        <f t="shared" ca="1" si="172"/>
        <v>-20.600788335942532</v>
      </c>
      <c r="AH380" s="357">
        <f t="shared" ca="1" si="173"/>
        <v>-11.079974438138025</v>
      </c>
    </row>
    <row r="381" spans="1:34" x14ac:dyDescent="0.2">
      <c r="A381" s="402">
        <f t="shared" ca="1" si="151"/>
        <v>0.01</v>
      </c>
      <c r="B381" s="357">
        <f t="shared" ca="1" si="152"/>
        <v>3.7699999999999636</v>
      </c>
      <c r="C381" s="342"/>
      <c r="D381" s="359">
        <f t="shared" ca="1" si="153"/>
        <v>-2.6650977051729079</v>
      </c>
      <c r="E381" s="360">
        <f t="shared" ca="1" si="154"/>
        <v>-20.535531413264007</v>
      </c>
      <c r="F381" s="357">
        <f t="shared" ca="1" si="155"/>
        <v>20.707747250806175</v>
      </c>
      <c r="G381" s="359">
        <f t="shared" ca="1" si="156"/>
        <v>41.539403749942259</v>
      </c>
      <c r="H381" s="360">
        <f t="shared" ca="1" si="157"/>
        <v>167.07482538412094</v>
      </c>
      <c r="I381" s="357">
        <f t="shared" ca="1" si="158"/>
        <v>172.16131778374381</v>
      </c>
      <c r="J381" s="359">
        <f t="shared" ca="1" si="159"/>
        <v>97.402824584116956</v>
      </c>
      <c r="K381" s="360">
        <f t="shared" ca="1" si="160"/>
        <v>428.23446243886167</v>
      </c>
      <c r="L381" s="357">
        <f t="shared" ca="1" si="145"/>
        <v>439.17202217043047</v>
      </c>
      <c r="M381" s="359">
        <f t="shared" ca="1" si="161"/>
        <v>1.3271098021032237</v>
      </c>
      <c r="N381" s="357">
        <f t="shared" ca="1" si="162"/>
        <v>76.03779061095662</v>
      </c>
      <c r="O381" s="343"/>
      <c r="P381" s="363">
        <f t="shared" ca="1" si="163"/>
        <v>23</v>
      </c>
      <c r="Q381" s="357">
        <f t="shared" ca="1" si="164"/>
        <v>0</v>
      </c>
      <c r="R381" s="359">
        <f t="shared" ca="1" si="165"/>
        <v>0</v>
      </c>
      <c r="S381" s="360">
        <f t="shared" ca="1" si="166"/>
        <v>8.3819999999999997</v>
      </c>
      <c r="T381" s="357">
        <f t="shared" ca="1" si="146"/>
        <v>82.227419999999995</v>
      </c>
      <c r="U381" s="364">
        <f t="shared" ca="1" si="147"/>
        <v>0</v>
      </c>
      <c r="V381" s="359">
        <f t="shared" ca="1" si="148"/>
        <v>1.173640963813867</v>
      </c>
      <c r="W381" s="357">
        <f t="shared" ca="1" si="149"/>
        <v>92.398790713009447</v>
      </c>
      <c r="X381" s="343"/>
      <c r="Y381" s="367" t="str">
        <f t="shared" ca="1" si="167"/>
        <v/>
      </c>
      <c r="Z381" s="368" t="str">
        <f t="shared" ca="1" si="168"/>
        <v/>
      </c>
      <c r="AA381" s="369" t="str">
        <f t="shared" ca="1" si="169"/>
        <v/>
      </c>
      <c r="AB381" s="344"/>
      <c r="AC381" s="363" t="e">
        <f t="shared" ca="1" si="170"/>
        <v>#N/A</v>
      </c>
      <c r="AD381" s="376" t="e">
        <f t="shared" ca="1" si="171"/>
        <v>#N/A</v>
      </c>
      <c r="AE381" s="377">
        <f t="shared" ca="1" si="150"/>
        <v>428.23446243886167</v>
      </c>
      <c r="AF381" s="344"/>
      <c r="AG381" s="359">
        <f t="shared" ca="1" si="172"/>
        <v>-20.572175779543372</v>
      </c>
      <c r="AH381" s="357">
        <f t="shared" ca="1" si="173"/>
        <v>-11.051686291015995</v>
      </c>
    </row>
    <row r="382" spans="1:34" x14ac:dyDescent="0.2">
      <c r="A382" s="402">
        <f t="shared" ca="1" si="151"/>
        <v>0.01</v>
      </c>
      <c r="B382" s="357">
        <f t="shared" ca="1" si="152"/>
        <v>3.7799999999999634</v>
      </c>
      <c r="C382" s="342"/>
      <c r="D382" s="359">
        <f t="shared" ca="1" si="153"/>
        <v>-2.6597652709309387</v>
      </c>
      <c r="E382" s="360">
        <f t="shared" ca="1" si="154"/>
        <v>-20.507790003886448</v>
      </c>
      <c r="F382" s="357">
        <f t="shared" ca="1" si="155"/>
        <v>20.679550336986424</v>
      </c>
      <c r="G382" s="359">
        <f t="shared" ca="1" si="156"/>
        <v>41.512806097232954</v>
      </c>
      <c r="H382" s="360">
        <f t="shared" ca="1" si="157"/>
        <v>166.86974748408207</v>
      </c>
      <c r="I382" s="357">
        <f t="shared" ca="1" si="158"/>
        <v>171.9558829917365</v>
      </c>
      <c r="J382" s="359">
        <f t="shared" ca="1" si="159"/>
        <v>97.818085633352837</v>
      </c>
      <c r="K382" s="360">
        <f t="shared" ca="1" si="160"/>
        <v>429.90418530320267</v>
      </c>
      <c r="L382" s="357">
        <f t="shared" ca="1" si="145"/>
        <v>440.89226169006906</v>
      </c>
      <c r="M382" s="359">
        <f t="shared" ca="1" si="161"/>
        <v>1.3269721519654643</v>
      </c>
      <c r="N382" s="357">
        <f t="shared" ca="1" si="162"/>
        <v>76.029903839013613</v>
      </c>
      <c r="O382" s="343"/>
      <c r="P382" s="363">
        <f t="shared" ca="1" si="163"/>
        <v>23</v>
      </c>
      <c r="Q382" s="357">
        <f t="shared" ca="1" si="164"/>
        <v>0</v>
      </c>
      <c r="R382" s="359">
        <f t="shared" ca="1" si="165"/>
        <v>0</v>
      </c>
      <c r="S382" s="360">
        <f t="shared" ca="1" si="166"/>
        <v>8.3819999999999997</v>
      </c>
      <c r="T382" s="357">
        <f t="shared" ca="1" si="146"/>
        <v>82.227419999999995</v>
      </c>
      <c r="U382" s="364">
        <f t="shared" ca="1" si="147"/>
        <v>0</v>
      </c>
      <c r="V382" s="359">
        <f t="shared" ca="1" si="148"/>
        <v>1.1734449244382388</v>
      </c>
      <c r="W382" s="357">
        <f t="shared" ca="1" si="149"/>
        <v>92.163011982309982</v>
      </c>
      <c r="X382" s="343"/>
      <c r="Y382" s="367" t="str">
        <f t="shared" ca="1" si="167"/>
        <v/>
      </c>
      <c r="Z382" s="368" t="str">
        <f t="shared" ca="1" si="168"/>
        <v/>
      </c>
      <c r="AA382" s="369" t="str">
        <f t="shared" ca="1" si="169"/>
        <v/>
      </c>
      <c r="AB382" s="344"/>
      <c r="AC382" s="363" t="e">
        <f t="shared" ca="1" si="170"/>
        <v>#N/A</v>
      </c>
      <c r="AD382" s="376" t="e">
        <f t="shared" ca="1" si="171"/>
        <v>#N/A</v>
      </c>
      <c r="AE382" s="377">
        <f t="shared" ca="1" si="150"/>
        <v>429.90418530320267</v>
      </c>
      <c r="AF382" s="344"/>
      <c r="AG382" s="359">
        <f t="shared" ca="1" si="172"/>
        <v>-20.543642107953158</v>
      </c>
      <c r="AH382" s="357">
        <f t="shared" ca="1" si="173"/>
        <v>-11.023477775353072</v>
      </c>
    </row>
    <row r="383" spans="1:34" x14ac:dyDescent="0.2">
      <c r="A383" s="402">
        <f t="shared" ca="1" si="151"/>
        <v>0.01</v>
      </c>
      <c r="B383" s="357">
        <f t="shared" ca="1" si="152"/>
        <v>3.7899999999999632</v>
      </c>
      <c r="C383" s="342"/>
      <c r="D383" s="359">
        <f t="shared" ca="1" si="153"/>
        <v>-2.6544469810896554</v>
      </c>
      <c r="E383" s="360">
        <f t="shared" ca="1" si="154"/>
        <v>-20.480126620851088</v>
      </c>
      <c r="F383" s="357">
        <f t="shared" ca="1" si="155"/>
        <v>20.651432763406742</v>
      </c>
      <c r="G383" s="359">
        <f t="shared" ca="1" si="156"/>
        <v>41.48626162742206</v>
      </c>
      <c r="H383" s="360">
        <f t="shared" ca="1" si="157"/>
        <v>166.66494621787356</v>
      </c>
      <c r="I383" s="357">
        <f t="shared" ca="1" si="158"/>
        <v>171.75073275426104</v>
      </c>
      <c r="J383" s="359">
        <f t="shared" ca="1" si="159"/>
        <v>98.233080971976108</v>
      </c>
      <c r="K383" s="360">
        <f t="shared" ca="1" si="160"/>
        <v>431.57185877171247</v>
      </c>
      <c r="L383" s="357">
        <f t="shared" ca="1" si="145"/>
        <v>442.61044664684289</v>
      </c>
      <c r="M383" s="359">
        <f t="shared" ca="1" si="161"/>
        <v>1.3268342611110968</v>
      </c>
      <c r="N383" s="357">
        <f t="shared" ca="1" si="162"/>
        <v>76.0220032750249</v>
      </c>
      <c r="O383" s="343"/>
      <c r="P383" s="363">
        <f t="shared" ca="1" si="163"/>
        <v>23</v>
      </c>
      <c r="Q383" s="357">
        <f t="shared" ca="1" si="164"/>
        <v>0</v>
      </c>
      <c r="R383" s="359">
        <f t="shared" ca="1" si="165"/>
        <v>0</v>
      </c>
      <c r="S383" s="360">
        <f t="shared" ca="1" si="166"/>
        <v>8.3819999999999997</v>
      </c>
      <c r="T383" s="357">
        <f t="shared" ca="1" si="146"/>
        <v>82.227419999999995</v>
      </c>
      <c r="U383" s="364">
        <f t="shared" ca="1" si="147"/>
        <v>0</v>
      </c>
      <c r="V383" s="359">
        <f t="shared" ca="1" si="148"/>
        <v>1.1732491576615163</v>
      </c>
      <c r="W383" s="357">
        <f t="shared" ca="1" si="149"/>
        <v>91.927895887119107</v>
      </c>
      <c r="X383" s="343"/>
      <c r="Y383" s="367" t="str">
        <f t="shared" ca="1" si="167"/>
        <v/>
      </c>
      <c r="Z383" s="368" t="str">
        <f t="shared" ca="1" si="168"/>
        <v/>
      </c>
      <c r="AA383" s="369" t="str">
        <f t="shared" ca="1" si="169"/>
        <v/>
      </c>
      <c r="AB383" s="344"/>
      <c r="AC383" s="363" t="e">
        <f t="shared" ca="1" si="170"/>
        <v>#N/A</v>
      </c>
      <c r="AD383" s="376" t="e">
        <f t="shared" ca="1" si="171"/>
        <v>#N/A</v>
      </c>
      <c r="AE383" s="377">
        <f t="shared" ca="1" si="150"/>
        <v>431.57185877171247</v>
      </c>
      <c r="AF383" s="344"/>
      <c r="AG383" s="359">
        <f t="shared" ca="1" si="172"/>
        <v>-20.515187030003126</v>
      </c>
      <c r="AH383" s="357">
        <f t="shared" ca="1" si="173"/>
        <v>-10.995348602041277</v>
      </c>
    </row>
    <row r="384" spans="1:34" x14ac:dyDescent="0.2">
      <c r="A384" s="402">
        <f t="shared" ca="1" si="151"/>
        <v>0.01</v>
      </c>
      <c r="B384" s="357">
        <f t="shared" ca="1" si="152"/>
        <v>3.799999999999963</v>
      </c>
      <c r="C384" s="342"/>
      <c r="D384" s="359">
        <f t="shared" ca="1" si="153"/>
        <v>-2.6491427834296242</v>
      </c>
      <c r="E384" s="360">
        <f t="shared" ca="1" si="154"/>
        <v>-20.452540981131104</v>
      </c>
      <c r="F384" s="357">
        <f t="shared" ca="1" si="155"/>
        <v>20.62339424226392</v>
      </c>
      <c r="G384" s="359">
        <f t="shared" ca="1" si="156"/>
        <v>41.459770199587766</v>
      </c>
      <c r="H384" s="360">
        <f t="shared" ca="1" si="157"/>
        <v>166.46042080806225</v>
      </c>
      <c r="I384" s="357">
        <f t="shared" ca="1" si="158"/>
        <v>171.54586628828977</v>
      </c>
      <c r="J384" s="359">
        <f t="shared" ca="1" si="159"/>
        <v>98.647811131111155</v>
      </c>
      <c r="K384" s="360">
        <f t="shared" ca="1" si="160"/>
        <v>433.23748560684214</v>
      </c>
      <c r="L384" s="357">
        <f t="shared" ca="1" si="145"/>
        <v>444.32657986654152</v>
      </c>
      <c r="M384" s="359">
        <f t="shared" ca="1" si="161"/>
        <v>1.3266961290619133</v>
      </c>
      <c r="N384" s="357">
        <f t="shared" ca="1" si="162"/>
        <v>76.014088891591186</v>
      </c>
      <c r="O384" s="343"/>
      <c r="P384" s="363">
        <f t="shared" ca="1" si="163"/>
        <v>23</v>
      </c>
      <c r="Q384" s="357">
        <f t="shared" ca="1" si="164"/>
        <v>0</v>
      </c>
      <c r="R384" s="359">
        <f t="shared" ca="1" si="165"/>
        <v>0</v>
      </c>
      <c r="S384" s="360">
        <f t="shared" ca="1" si="166"/>
        <v>8.3819999999999997</v>
      </c>
      <c r="T384" s="357">
        <f t="shared" ca="1" si="146"/>
        <v>82.227419999999995</v>
      </c>
      <c r="U384" s="364">
        <f t="shared" ca="1" si="147"/>
        <v>0</v>
      </c>
      <c r="V384" s="359">
        <f t="shared" ca="1" si="148"/>
        <v>1.1730536630338471</v>
      </c>
      <c r="W384" s="357">
        <f t="shared" ca="1" si="149"/>
        <v>91.693440026520022</v>
      </c>
      <c r="X384" s="343"/>
      <c r="Y384" s="367" t="str">
        <f t="shared" ca="1" si="167"/>
        <v/>
      </c>
      <c r="Z384" s="368" t="str">
        <f t="shared" ca="1" si="168"/>
        <v/>
      </c>
      <c r="AA384" s="369" t="str">
        <f t="shared" ca="1" si="169"/>
        <v/>
      </c>
      <c r="AB384" s="344"/>
      <c r="AC384" s="363" t="e">
        <f t="shared" ca="1" si="170"/>
        <v>#N/A</v>
      </c>
      <c r="AD384" s="376" t="e">
        <f t="shared" ca="1" si="171"/>
        <v>#N/A</v>
      </c>
      <c r="AE384" s="377">
        <f t="shared" ca="1" si="150"/>
        <v>433.23748560684214</v>
      </c>
      <c r="AF384" s="344"/>
      <c r="AG384" s="359">
        <f t="shared" ca="1" si="172"/>
        <v>-20.486810255856295</v>
      </c>
      <c r="AH384" s="357">
        <f t="shared" ca="1" si="173"/>
        <v>-10.967298483311753</v>
      </c>
    </row>
    <row r="385" spans="1:34" x14ac:dyDescent="0.2">
      <c r="A385" s="402">
        <f t="shared" ca="1" si="151"/>
        <v>0.01</v>
      </c>
      <c r="B385" s="357">
        <f t="shared" ca="1" si="152"/>
        <v>3.8099999999999627</v>
      </c>
      <c r="C385" s="342"/>
      <c r="D385" s="359">
        <f t="shared" ca="1" si="153"/>
        <v>-2.6438526259723023</v>
      </c>
      <c r="E385" s="360">
        <f t="shared" ca="1" si="154"/>
        <v>-20.425032803009255</v>
      </c>
      <c r="F385" s="357">
        <f t="shared" ca="1" si="155"/>
        <v>20.595434487086326</v>
      </c>
      <c r="G385" s="359">
        <f t="shared" ca="1" si="156"/>
        <v>41.433331673328041</v>
      </c>
      <c r="H385" s="360">
        <f t="shared" ca="1" si="157"/>
        <v>166.25617048003215</v>
      </c>
      <c r="I385" s="357">
        <f t="shared" ca="1" si="158"/>
        <v>171.34128281368015</v>
      </c>
      <c r="J385" s="359">
        <f t="shared" ca="1" si="159"/>
        <v>99.06227664047573</v>
      </c>
      <c r="K385" s="360">
        <f t="shared" ca="1" si="160"/>
        <v>434.90106856328259</v>
      </c>
      <c r="L385" s="357">
        <f t="shared" ca="1" si="145"/>
        <v>446.04066416715773</v>
      </c>
      <c r="M385" s="359">
        <f t="shared" ca="1" si="161"/>
        <v>1.3265577553383079</v>
      </c>
      <c r="N385" s="357">
        <f t="shared" ca="1" si="162"/>
        <v>76.006160661233096</v>
      </c>
      <c r="O385" s="343"/>
      <c r="P385" s="363">
        <f t="shared" ca="1" si="163"/>
        <v>23</v>
      </c>
      <c r="Q385" s="357">
        <f t="shared" ca="1" si="164"/>
        <v>0</v>
      </c>
      <c r="R385" s="359">
        <f t="shared" ca="1" si="165"/>
        <v>0</v>
      </c>
      <c r="S385" s="360">
        <f t="shared" ca="1" si="166"/>
        <v>8.3819999999999997</v>
      </c>
      <c r="T385" s="357">
        <f t="shared" ca="1" si="146"/>
        <v>82.227419999999995</v>
      </c>
      <c r="U385" s="364">
        <f t="shared" ca="1" si="147"/>
        <v>0</v>
      </c>
      <c r="V385" s="359">
        <f t="shared" ca="1" si="148"/>
        <v>1.1728584401067055</v>
      </c>
      <c r="W385" s="357">
        <f t="shared" ca="1" si="149"/>
        <v>91.459642010695916</v>
      </c>
      <c r="X385" s="343"/>
      <c r="Y385" s="367" t="str">
        <f t="shared" ca="1" si="167"/>
        <v/>
      </c>
      <c r="Z385" s="368" t="str">
        <f t="shared" ca="1" si="168"/>
        <v/>
      </c>
      <c r="AA385" s="369" t="str">
        <f t="shared" ca="1" si="169"/>
        <v/>
      </c>
      <c r="AB385" s="344"/>
      <c r="AC385" s="363" t="e">
        <f t="shared" ca="1" si="170"/>
        <v>#N/A</v>
      </c>
      <c r="AD385" s="376" t="e">
        <f t="shared" ca="1" si="171"/>
        <v>#N/A</v>
      </c>
      <c r="AE385" s="377">
        <f t="shared" ca="1" si="150"/>
        <v>434.90106856328259</v>
      </c>
      <c r="AF385" s="344"/>
      <c r="AG385" s="359">
        <f t="shared" ca="1" si="172"/>
        <v>-20.458511496999904</v>
      </c>
      <c r="AH385" s="357">
        <f t="shared" ca="1" si="173"/>
        <v>-10.939327132727275</v>
      </c>
    </row>
    <row r="386" spans="1:34" x14ac:dyDescent="0.2">
      <c r="A386" s="402">
        <f t="shared" ca="1" si="151"/>
        <v>0.01</v>
      </c>
      <c r="B386" s="357">
        <f t="shared" ca="1" si="152"/>
        <v>3.8199999999999625</v>
      </c>
      <c r="C386" s="342"/>
      <c r="D386" s="359">
        <f t="shared" ca="1" si="153"/>
        <v>-2.6385764569787127</v>
      </c>
      <c r="E386" s="360">
        <f t="shared" ca="1" si="154"/>
        <v>-20.397601806070643</v>
      </c>
      <c r="F386" s="357">
        <f t="shared" ca="1" si="155"/>
        <v>20.567553212726562</v>
      </c>
      <c r="G386" s="359">
        <f t="shared" ca="1" si="156"/>
        <v>41.406945908758253</v>
      </c>
      <c r="H386" s="360">
        <f t="shared" ca="1" si="157"/>
        <v>166.05219446197145</v>
      </c>
      <c r="I386" s="357">
        <f t="shared" ca="1" si="158"/>
        <v>171.13698155316172</v>
      </c>
      <c r="J386" s="359">
        <f t="shared" ca="1" si="159"/>
        <v>99.476478028386168</v>
      </c>
      <c r="K386" s="360">
        <f t="shared" ca="1" si="160"/>
        <v>436.56261038799261</v>
      </c>
      <c r="L386" s="357">
        <f t="shared" ca="1" si="145"/>
        <v>447.75270235891401</v>
      </c>
      <c r="M386" s="359">
        <f t="shared" ca="1" si="161"/>
        <v>1.326419139459273</v>
      </c>
      <c r="N386" s="357">
        <f t="shared" ca="1" si="162"/>
        <v>75.998218556390896</v>
      </c>
      <c r="O386" s="343"/>
      <c r="P386" s="363">
        <f t="shared" ca="1" si="163"/>
        <v>23</v>
      </c>
      <c r="Q386" s="357">
        <f t="shared" ca="1" si="164"/>
        <v>0</v>
      </c>
      <c r="R386" s="359">
        <f t="shared" ca="1" si="165"/>
        <v>0</v>
      </c>
      <c r="S386" s="360">
        <f t="shared" ca="1" si="166"/>
        <v>8.3819999999999997</v>
      </c>
      <c r="T386" s="357">
        <f t="shared" ca="1" si="146"/>
        <v>82.227419999999995</v>
      </c>
      <c r="U386" s="364">
        <f t="shared" ca="1" si="147"/>
        <v>0</v>
      </c>
      <c r="V386" s="359">
        <f t="shared" ca="1" si="148"/>
        <v>1.1726634884328881</v>
      </c>
      <c r="W386" s="357">
        <f t="shared" ca="1" si="149"/>
        <v>91.226499460868268</v>
      </c>
      <c r="X386" s="343"/>
      <c r="Y386" s="367" t="str">
        <f t="shared" ca="1" si="167"/>
        <v/>
      </c>
      <c r="Z386" s="368" t="str">
        <f t="shared" ca="1" si="168"/>
        <v/>
      </c>
      <c r="AA386" s="369" t="str">
        <f t="shared" ca="1" si="169"/>
        <v/>
      </c>
      <c r="AB386" s="344"/>
      <c r="AC386" s="363" t="e">
        <f t="shared" ca="1" si="170"/>
        <v>#N/A</v>
      </c>
      <c r="AD386" s="376" t="e">
        <f t="shared" ca="1" si="171"/>
        <v>#N/A</v>
      </c>
      <c r="AE386" s="377">
        <f t="shared" ca="1" si="150"/>
        <v>436.56261038799261</v>
      </c>
      <c r="AF386" s="344"/>
      <c r="AG386" s="359">
        <f t="shared" ca="1" si="172"/>
        <v>-20.430290466238045</v>
      </c>
      <c r="AH386" s="357">
        <f t="shared" ca="1" si="173"/>
        <v>-10.911434265174888</v>
      </c>
    </row>
    <row r="387" spans="1:34" x14ac:dyDescent="0.2">
      <c r="A387" s="402">
        <f t="shared" ca="1" si="151"/>
        <v>0.01</v>
      </c>
      <c r="B387" s="357">
        <f t="shared" ca="1" si="152"/>
        <v>3.8299999999999623</v>
      </c>
      <c r="C387" s="342"/>
      <c r="D387" s="359">
        <f t="shared" ca="1" si="153"/>
        <v>-2.6333142249481085</v>
      </c>
      <c r="E387" s="360">
        <f t="shared" ca="1" si="154"/>
        <v>-20.370247711195471</v>
      </c>
      <c r="F387" s="357">
        <f t="shared" ca="1" si="155"/>
        <v>20.53975013535409</v>
      </c>
      <c r="G387" s="359">
        <f t="shared" ca="1" si="156"/>
        <v>41.380612766508769</v>
      </c>
      <c r="H387" s="360">
        <f t="shared" ca="1" si="157"/>
        <v>165.84849198485949</v>
      </c>
      <c r="I387" s="357">
        <f t="shared" ca="1" si="158"/>
        <v>170.93296173232287</v>
      </c>
      <c r="J387" s="359">
        <f t="shared" ca="1" si="159"/>
        <v>99.890415821762502</v>
      </c>
      <c r="K387" s="360">
        <f t="shared" ca="1" si="160"/>
        <v>438.22211382022675</v>
      </c>
      <c r="L387" s="357">
        <f t="shared" ca="1" si="145"/>
        <v>449.4626972442901</v>
      </c>
      <c r="M387" s="359">
        <f t="shared" ca="1" si="161"/>
        <v>1.3262802809423937</v>
      </c>
      <c r="N387" s="357">
        <f t="shared" ca="1" si="162"/>
        <v>75.990262549424273</v>
      </c>
      <c r="O387" s="343"/>
      <c r="P387" s="363">
        <f t="shared" ca="1" si="163"/>
        <v>23</v>
      </c>
      <c r="Q387" s="357">
        <f t="shared" ca="1" si="164"/>
        <v>0</v>
      </c>
      <c r="R387" s="359">
        <f t="shared" ca="1" si="165"/>
        <v>0</v>
      </c>
      <c r="S387" s="360">
        <f t="shared" ca="1" si="166"/>
        <v>8.3819999999999997</v>
      </c>
      <c r="T387" s="357">
        <f t="shared" ca="1" si="146"/>
        <v>82.227419999999995</v>
      </c>
      <c r="U387" s="364">
        <f t="shared" ca="1" si="147"/>
        <v>0</v>
      </c>
      <c r="V387" s="359">
        <f t="shared" ca="1" si="148"/>
        <v>1.1724688075665075</v>
      </c>
      <c r="W387" s="357">
        <f t="shared" ca="1" si="149"/>
        <v>90.994010009235637</v>
      </c>
      <c r="X387" s="343"/>
      <c r="Y387" s="367" t="str">
        <f t="shared" ca="1" si="167"/>
        <v/>
      </c>
      <c r="Z387" s="368" t="str">
        <f t="shared" ca="1" si="168"/>
        <v/>
      </c>
      <c r="AA387" s="369" t="str">
        <f t="shared" ca="1" si="169"/>
        <v/>
      </c>
      <c r="AB387" s="344"/>
      <c r="AC387" s="363" t="e">
        <f t="shared" ca="1" si="170"/>
        <v>#N/A</v>
      </c>
      <c r="AD387" s="376" t="e">
        <f t="shared" ca="1" si="171"/>
        <v>#N/A</v>
      </c>
      <c r="AE387" s="377">
        <f t="shared" ca="1" si="150"/>
        <v>438.22211382022675</v>
      </c>
      <c r="AF387" s="344"/>
      <c r="AG387" s="359">
        <f t="shared" ca="1" si="172"/>
        <v>-20.40214687768427</v>
      </c>
      <c r="AH387" s="357">
        <f t="shared" ca="1" si="173"/>
        <v>-10.883619596858539</v>
      </c>
    </row>
    <row r="388" spans="1:34" x14ac:dyDescent="0.2">
      <c r="A388" s="402">
        <f t="shared" ca="1" si="151"/>
        <v>0.01</v>
      </c>
      <c r="B388" s="357">
        <f t="shared" ca="1" si="152"/>
        <v>3.8399999999999621</v>
      </c>
      <c r="C388" s="342"/>
      <c r="D388" s="359">
        <f t="shared" ca="1" si="153"/>
        <v>-2.6280658786166553</v>
      </c>
      <c r="E388" s="360">
        <f t="shared" ca="1" si="154"/>
        <v>-20.34297024055186</v>
      </c>
      <c r="F388" s="357">
        <f t="shared" ca="1" si="155"/>
        <v>20.512024972447936</v>
      </c>
      <c r="G388" s="359">
        <f t="shared" ca="1" si="156"/>
        <v>41.354332107722605</v>
      </c>
      <c r="H388" s="360">
        <f t="shared" ca="1" si="157"/>
        <v>165.64506228245398</v>
      </c>
      <c r="I388" s="357">
        <f t="shared" ca="1" si="158"/>
        <v>170.72922257959786</v>
      </c>
      <c r="J388" s="359">
        <f t="shared" ca="1" si="159"/>
        <v>100.30409054613366</v>
      </c>
      <c r="K388" s="360">
        <f t="shared" ca="1" si="160"/>
        <v>439.87958159156329</v>
      </c>
      <c r="L388" s="357">
        <f t="shared" ref="L388:L451" ca="1" si="174">SQRT(pos_x^2+pos_z^2)</f>
        <v>451.17065161804993</v>
      </c>
      <c r="M388" s="359">
        <f t="shared" ca="1" si="161"/>
        <v>1.3261411793038436</v>
      </c>
      <c r="N388" s="357">
        <f t="shared" ca="1" si="162"/>
        <v>75.982292612611985</v>
      </c>
      <c r="O388" s="343"/>
      <c r="P388" s="363">
        <f t="shared" ca="1" si="163"/>
        <v>23</v>
      </c>
      <c r="Q388" s="357">
        <f t="shared" ca="1" si="164"/>
        <v>0</v>
      </c>
      <c r="R388" s="359">
        <f t="shared" ca="1" si="165"/>
        <v>0</v>
      </c>
      <c r="S388" s="360">
        <f t="shared" ca="1" si="166"/>
        <v>8.3819999999999997</v>
      </c>
      <c r="T388" s="357">
        <f t="shared" ref="T388:T451" ca="1" si="175">m*g</f>
        <v>82.227419999999995</v>
      </c>
      <c r="U388" s="364">
        <f t="shared" ref="U388:U451" ca="1" si="176">IF(pos_xz&lt;L_rampe,Poids*COS(Beta),0)</f>
        <v>0</v>
      </c>
      <c r="V388" s="359">
        <f t="shared" ref="V388:V451" ca="1" si="177">Rho_moyen*(20000-Alt_rampe-pos_z)/(20000+Alt_rampe+pos_z)</f>
        <v>1.1722743970629885</v>
      </c>
      <c r="W388" s="357">
        <f t="shared" ref="W388:W451" ca="1" si="178">1/2*Rho*Sref*Cx*vit_xz^2</f>
        <v>90.762171298912932</v>
      </c>
      <c r="X388" s="343"/>
      <c r="Y388" s="367" t="str">
        <f t="shared" ca="1" si="167"/>
        <v/>
      </c>
      <c r="Z388" s="368" t="str">
        <f t="shared" ca="1" si="168"/>
        <v/>
      </c>
      <c r="AA388" s="369" t="str">
        <f t="shared" ca="1" si="169"/>
        <v/>
      </c>
      <c r="AB388" s="344"/>
      <c r="AC388" s="363" t="e">
        <f t="shared" ca="1" si="170"/>
        <v>#N/A</v>
      </c>
      <c r="AD388" s="376" t="e">
        <f t="shared" ca="1" si="171"/>
        <v>#N/A</v>
      </c>
      <c r="AE388" s="377">
        <f t="shared" ref="AE388:AE451" ca="1" si="179">IF(t&lt;T_para, pos_z, NA())</f>
        <v>439.87958159156329</v>
      </c>
      <c r="AF388" s="344"/>
      <c r="AG388" s="359">
        <f t="shared" ca="1" si="172"/>
        <v>-20.374080446754242</v>
      </c>
      <c r="AH388" s="357">
        <f t="shared" ca="1" si="173"/>
        <v>-10.855882845291774</v>
      </c>
    </row>
    <row r="389" spans="1:34" x14ac:dyDescent="0.2">
      <c r="A389" s="402">
        <f t="shared" ref="A389:A452" ca="1" si="180">IF(B388+0.01&lt;=T_ini+ROUNDUP(Temps_fin_propu,0), 0.01, IF(K388&gt;0, 0.1, 0.0001))</f>
        <v>0.01</v>
      </c>
      <c r="B389" s="357">
        <f t="shared" ref="B389:B452" ca="1" si="181">B388+pas</f>
        <v>3.8499999999999619</v>
      </c>
      <c r="C389" s="342"/>
      <c r="D389" s="359">
        <f t="shared" ref="D389:D452" ca="1" si="182">IF(AND(L388&lt;L_rampe,Poussee&lt;Poids*SIN(M388)),0,(-W388+Poussee)/m*COS(M388)-U388/m*SIN(M388))</f>
        <v>-2.6228313669561167</v>
      </c>
      <c r="E389" s="360">
        <f t="shared" ref="E389:E452" ca="1" si="183">IF(AND(L388&lt;L_rampe,Poussee&lt;Poids*SIN(M388)),0,(-W388+Poussee)/m*SIN(M388)+U388/m*COS(M388)-Poids/m)</f>
        <v>-20.315769117588722</v>
      </c>
      <c r="F389" s="357">
        <f t="shared" ref="F389:F452" ca="1" si="184">SQRT(acc_x^2+acc_z^2)</f>
        <v>20.484377442789434</v>
      </c>
      <c r="G389" s="359">
        <f t="shared" ref="G389:G452" ca="1" si="185">G388+acc_x*pas</f>
        <v>41.328103794053042</v>
      </c>
      <c r="H389" s="360">
        <f t="shared" ref="H389:H452" ca="1" si="186">H388+acc_z*pas</f>
        <v>165.4419045912781</v>
      </c>
      <c r="I389" s="357">
        <f t="shared" ref="I389:I452" ca="1" si="187">SQRT(vit_x^2+vit_z^2)</f>
        <v>170.52576332625398</v>
      </c>
      <c r="J389" s="359">
        <f t="shared" ref="J389:J452" ca="1" si="188">J388+0.5*(vit_x+G388)*pas*(K388&gt;=0)</f>
        <v>100.71750272564255</v>
      </c>
      <c r="K389" s="360">
        <f t="shared" ref="K389:K452" ca="1" si="189">K388+0.5*(vit_z+H388)*pas</f>
        <v>441.53501642593193</v>
      </c>
      <c r="L389" s="357">
        <f t="shared" ca="1" si="174"/>
        <v>452.8765682672684</v>
      </c>
      <c r="M389" s="359">
        <f t="shared" ref="M389:M452" ca="1" si="190">IF(AND(L388&gt;L_rampe,G389&gt;0),ATAN2(G389,H389),$M$4)</f>
        <v>1.3260018340583801</v>
      </c>
      <c r="N389" s="357">
        <f t="shared" ref="N389:N452" ca="1" si="191">DEGREES(Beta)</f>
        <v>75.974308718151718</v>
      </c>
      <c r="O389" s="343"/>
      <c r="P389" s="363">
        <f t="shared" ref="P389:P452" ca="1" si="192">MATCH(t-pas/2-T_ini,CdP_t)</f>
        <v>23</v>
      </c>
      <c r="Q389" s="357">
        <f t="shared" ref="Q389:Q452" ca="1" si="193">(INDEX(CdP,2,i_P+1)-INDEX(CdP,2,i_P+0))/(INDEX(CdP,1,i_P+1)-INDEX(CdP,1,i_P+0))*(t-pas/2-T_ini-INDEX(CdP,1,i_P+0))+INDEX(CdP,2,i_P+0)</f>
        <v>0</v>
      </c>
      <c r="R389" s="359">
        <f t="shared" ref="R389:R452" ca="1" si="194">Poussee/(g*ISP)</f>
        <v>0</v>
      </c>
      <c r="S389" s="360">
        <f t="shared" ref="S389:S452" ca="1" si="195">S388-Débit*pas</f>
        <v>8.3819999999999997</v>
      </c>
      <c r="T389" s="357">
        <f t="shared" ca="1" si="175"/>
        <v>82.227419999999995</v>
      </c>
      <c r="U389" s="364">
        <f t="shared" ca="1" si="176"/>
        <v>0</v>
      </c>
      <c r="V389" s="359">
        <f t="shared" ca="1" si="177"/>
        <v>1.172080256479062</v>
      </c>
      <c r="W389" s="357">
        <f t="shared" ca="1" si="178"/>
        <v>90.530980983870791</v>
      </c>
      <c r="X389" s="343"/>
      <c r="Y389" s="367" t="str">
        <f t="shared" ref="Y389:Y452" ca="1" si="196">IF(AND(pos_z&lt;=0,K388&gt;0),"Impact balistique","") &amp; IF(AND(H390&lt;0,vit_z&gt;=0),"Apogée","") &amp; IF(AND(Poussee=0,Q388&gt;0),"Fin de propulsion","") &amp; IF(AND(L390&gt;L_rampe,pos_xz&lt;=L_rampe),"Sortie de rampe","")</f>
        <v/>
      </c>
      <c r="Z389" s="368" t="str">
        <f t="shared" ref="Z389:Z452" ca="1" si="197">IF(ABS(t-T_para)&lt;pas/2,"Para","")</f>
        <v/>
      </c>
      <c r="AA389" s="369" t="str">
        <f t="shared" ref="AA389:AA452" ca="1" si="198">IF(ABS(t-T_satellite)&lt;pas/2,"Satellite","")</f>
        <v/>
      </c>
      <c r="AB389" s="344"/>
      <c r="AC389" s="363" t="e">
        <f t="shared" ref="AC389:AC452" ca="1" si="199">IF(ABS(t-ROUND(t,0))&lt;0.001,t,NA())</f>
        <v>#N/A</v>
      </c>
      <c r="AD389" s="376" t="e">
        <f t="shared" ref="AD389:AD452" ca="1" si="200">IF(ABS(t-ROUND(t,0))&lt;0.001,pos_x,NA())</f>
        <v>#N/A</v>
      </c>
      <c r="AE389" s="377">
        <f t="shared" ca="1" si="179"/>
        <v>441.53501642593193</v>
      </c>
      <c r="AF389" s="344"/>
      <c r="AG389" s="359">
        <f t="shared" ref="AG389:AG452" ca="1" si="201">IF(AND(L388&lt;L_rampe,Poussee&lt;Poids*SIN(M388)),0,(-W388+Poussee)/m-Poids*SIN(M388)/m)</f>
        <v>-20.346090890158468</v>
      </c>
      <c r="AH389" s="357">
        <f t="shared" ref="AH389:AH452" ca="1" si="202">IF(AND(L388&lt;L_rampe,Poussee&lt;Poids*SIN(M388)), g*SIN(M388), (-W388+Poussee)/m)</f>
        <v>-10.828223729290496</v>
      </c>
    </row>
    <row r="390" spans="1:34" x14ac:dyDescent="0.2">
      <c r="A390" s="402">
        <f t="shared" ca="1" si="180"/>
        <v>0.01</v>
      </c>
      <c r="B390" s="357">
        <f t="shared" ca="1" si="181"/>
        <v>3.8599999999999617</v>
      </c>
      <c r="C390" s="342"/>
      <c r="D390" s="359">
        <f t="shared" ca="1" si="182"/>
        <v>-2.6176106391725433</v>
      </c>
      <c r="E390" s="360">
        <f t="shared" ca="1" si="183"/>
        <v>-20.288644067028649</v>
      </c>
      <c r="F390" s="357">
        <f t="shared" ca="1" si="184"/>
        <v>20.456807266455002</v>
      </c>
      <c r="G390" s="359">
        <f t="shared" ca="1" si="185"/>
        <v>41.301927687661319</v>
      </c>
      <c r="H390" s="360">
        <f t="shared" ca="1" si="186"/>
        <v>165.23901815060782</v>
      </c>
      <c r="I390" s="357">
        <f t="shared" ca="1" si="187"/>
        <v>170.32258320637843</v>
      </c>
      <c r="J390" s="359">
        <f t="shared" ca="1" si="188"/>
        <v>101.13065288305111</v>
      </c>
      <c r="K390" s="360">
        <f t="shared" ca="1" si="189"/>
        <v>443.18842103964136</v>
      </c>
      <c r="L390" s="357">
        <f t="shared" ca="1" si="174"/>
        <v>454.58044997135835</v>
      </c>
      <c r="M390" s="359">
        <f t="shared" ca="1" si="190"/>
        <v>1.3258622447193396</v>
      </c>
      <c r="N390" s="357">
        <f t="shared" ca="1" si="191"/>
        <v>75.966310838159671</v>
      </c>
      <c r="O390" s="343"/>
      <c r="P390" s="363">
        <f t="shared" ca="1" si="192"/>
        <v>23</v>
      </c>
      <c r="Q390" s="357">
        <f t="shared" ca="1" si="193"/>
        <v>0</v>
      </c>
      <c r="R390" s="359">
        <f t="shared" ca="1" si="194"/>
        <v>0</v>
      </c>
      <c r="S390" s="360">
        <f t="shared" ca="1" si="195"/>
        <v>8.3819999999999997</v>
      </c>
      <c r="T390" s="357">
        <f t="shared" ca="1" si="175"/>
        <v>82.227419999999995</v>
      </c>
      <c r="U390" s="364">
        <f t="shared" ca="1" si="176"/>
        <v>0</v>
      </c>
      <c r="V390" s="359">
        <f t="shared" ca="1" si="177"/>
        <v>1.1718863853727617</v>
      </c>
      <c r="W390" s="357">
        <f t="shared" ca="1" si="178"/>
        <v>90.300436728875752</v>
      </c>
      <c r="X390" s="343"/>
      <c r="Y390" s="367" t="str">
        <f t="shared" ca="1" si="196"/>
        <v/>
      </c>
      <c r="Z390" s="368" t="str">
        <f t="shared" ca="1" si="197"/>
        <v/>
      </c>
      <c r="AA390" s="369" t="str">
        <f t="shared" ca="1" si="198"/>
        <v/>
      </c>
      <c r="AB390" s="344"/>
      <c r="AC390" s="363" t="e">
        <f t="shared" ca="1" si="199"/>
        <v>#N/A</v>
      </c>
      <c r="AD390" s="376" t="e">
        <f t="shared" ca="1" si="200"/>
        <v>#N/A</v>
      </c>
      <c r="AE390" s="377">
        <f t="shared" ca="1" si="179"/>
        <v>443.18842103964136</v>
      </c>
      <c r="AF390" s="344"/>
      <c r="AG390" s="359">
        <f t="shared" ca="1" si="201"/>
        <v>-20.318177925895036</v>
      </c>
      <c r="AH390" s="357">
        <f t="shared" ca="1" si="202"/>
        <v>-10.800641968965735</v>
      </c>
    </row>
    <row r="391" spans="1:34" x14ac:dyDescent="0.2">
      <c r="A391" s="402">
        <f t="shared" ca="1" si="180"/>
        <v>0.01</v>
      </c>
      <c r="B391" s="357">
        <f t="shared" ca="1" si="181"/>
        <v>3.8699999999999615</v>
      </c>
      <c r="C391" s="342"/>
      <c r="D391" s="359">
        <f t="shared" ca="1" si="182"/>
        <v>-2.6124036447049859</v>
      </c>
      <c r="E391" s="360">
        <f t="shared" ca="1" si="183"/>
        <v>-20.261594814860906</v>
      </c>
      <c r="F391" s="357">
        <f t="shared" ca="1" si="184"/>
        <v>20.429314164809014</v>
      </c>
      <c r="G391" s="359">
        <f t="shared" ca="1" si="185"/>
        <v>41.275803651214268</v>
      </c>
      <c r="H391" s="360">
        <f t="shared" ca="1" si="186"/>
        <v>165.03640220245921</v>
      </c>
      <c r="I391" s="357">
        <f t="shared" ca="1" si="187"/>
        <v>170.11968145686578</v>
      </c>
      <c r="J391" s="359">
        <f t="shared" ca="1" si="188"/>
        <v>101.54354153974549</v>
      </c>
      <c r="K391" s="360">
        <f t="shared" ca="1" si="189"/>
        <v>444.83979814140667</v>
      </c>
      <c r="L391" s="357">
        <f t="shared" ca="1" si="174"/>
        <v>456.28229950209715</v>
      </c>
      <c r="M391" s="359">
        <f t="shared" ca="1" si="190"/>
        <v>1.3257224107986321</v>
      </c>
      <c r="N391" s="357">
        <f t="shared" ca="1" si="191"/>
        <v>75.958298944670375</v>
      </c>
      <c r="O391" s="343"/>
      <c r="P391" s="363">
        <f t="shared" ca="1" si="192"/>
        <v>23</v>
      </c>
      <c r="Q391" s="357">
        <f t="shared" ca="1" si="193"/>
        <v>0</v>
      </c>
      <c r="R391" s="359">
        <f t="shared" ca="1" si="194"/>
        <v>0</v>
      </c>
      <c r="S391" s="360">
        <f t="shared" ca="1" si="195"/>
        <v>8.3819999999999997</v>
      </c>
      <c r="T391" s="357">
        <f t="shared" ca="1" si="175"/>
        <v>82.227419999999995</v>
      </c>
      <c r="U391" s="364">
        <f t="shared" ca="1" si="176"/>
        <v>0</v>
      </c>
      <c r="V391" s="359">
        <f t="shared" ca="1" si="177"/>
        <v>1.1716927833034174</v>
      </c>
      <c r="W391" s="357">
        <f t="shared" ca="1" si="178"/>
        <v>90.070536209430514</v>
      </c>
      <c r="X391" s="343"/>
      <c r="Y391" s="367" t="str">
        <f t="shared" ca="1" si="196"/>
        <v/>
      </c>
      <c r="Z391" s="368" t="str">
        <f t="shared" ca="1" si="197"/>
        <v/>
      </c>
      <c r="AA391" s="369" t="str">
        <f t="shared" ca="1" si="198"/>
        <v/>
      </c>
      <c r="AB391" s="344"/>
      <c r="AC391" s="363" t="e">
        <f t="shared" ca="1" si="199"/>
        <v>#N/A</v>
      </c>
      <c r="AD391" s="376" t="e">
        <f t="shared" ca="1" si="200"/>
        <v>#N/A</v>
      </c>
      <c r="AE391" s="377">
        <f t="shared" ca="1" si="179"/>
        <v>444.83979814140667</v>
      </c>
      <c r="AF391" s="344"/>
      <c r="AG391" s="359">
        <f t="shared" ca="1" si="201"/>
        <v>-20.29034127324244</v>
      </c>
      <c r="AH391" s="357">
        <f t="shared" ca="1" si="202"/>
        <v>-10.773137285716507</v>
      </c>
    </row>
    <row r="392" spans="1:34" x14ac:dyDescent="0.2">
      <c r="A392" s="402">
        <f t="shared" ca="1" si="180"/>
        <v>0.01</v>
      </c>
      <c r="B392" s="357">
        <f t="shared" ca="1" si="181"/>
        <v>3.8799999999999613</v>
      </c>
      <c r="C392" s="342"/>
      <c r="D392" s="359">
        <f t="shared" ca="1" si="182"/>
        <v>-2.607210333224204</v>
      </c>
      <c r="E392" s="360">
        <f t="shared" ca="1" si="183"/>
        <v>-20.234621088334379</v>
      </c>
      <c r="F392" s="357">
        <f t="shared" ca="1" si="184"/>
        <v>20.401897860496639</v>
      </c>
      <c r="G392" s="359">
        <f t="shared" ca="1" si="185"/>
        <v>41.249731547882028</v>
      </c>
      <c r="H392" s="360">
        <f t="shared" ca="1" si="186"/>
        <v>164.83405599157587</v>
      </c>
      <c r="I392" s="357">
        <f t="shared" ca="1" si="187"/>
        <v>169.91705731740501</v>
      </c>
      <c r="J392" s="359">
        <f t="shared" ca="1" si="188"/>
        <v>101.95616921574097</v>
      </c>
      <c r="K392" s="360">
        <f t="shared" ca="1" si="189"/>
        <v>446.48915043237685</v>
      </c>
      <c r="L392" s="357">
        <f t="shared" ca="1" si="174"/>
        <v>457.98211962365349</v>
      </c>
      <c r="M392" s="359">
        <f t="shared" ca="1" si="190"/>
        <v>1.325582331806737</v>
      </c>
      <c r="N392" s="357">
        <f t="shared" ca="1" si="191"/>
        <v>75.950273009636334</v>
      </c>
      <c r="O392" s="343"/>
      <c r="P392" s="363">
        <f t="shared" ca="1" si="192"/>
        <v>23</v>
      </c>
      <c r="Q392" s="357">
        <f t="shared" ca="1" si="193"/>
        <v>0</v>
      </c>
      <c r="R392" s="359">
        <f t="shared" ca="1" si="194"/>
        <v>0</v>
      </c>
      <c r="S392" s="360">
        <f t="shared" ca="1" si="195"/>
        <v>8.3819999999999997</v>
      </c>
      <c r="T392" s="357">
        <f t="shared" ca="1" si="175"/>
        <v>82.227419999999995</v>
      </c>
      <c r="U392" s="364">
        <f t="shared" ca="1" si="176"/>
        <v>0</v>
      </c>
      <c r="V392" s="359">
        <f t="shared" ca="1" si="177"/>
        <v>1.1714994498316507</v>
      </c>
      <c r="W392" s="357">
        <f t="shared" ca="1" si="178"/>
        <v>89.841277111714504</v>
      </c>
      <c r="X392" s="343"/>
      <c r="Y392" s="367" t="str">
        <f t="shared" ca="1" si="196"/>
        <v/>
      </c>
      <c r="Z392" s="368" t="str">
        <f t="shared" ca="1" si="197"/>
        <v/>
      </c>
      <c r="AA392" s="369" t="str">
        <f t="shared" ca="1" si="198"/>
        <v/>
      </c>
      <c r="AB392" s="344"/>
      <c r="AC392" s="363" t="e">
        <f t="shared" ca="1" si="199"/>
        <v>#N/A</v>
      </c>
      <c r="AD392" s="376" t="e">
        <f t="shared" ca="1" si="200"/>
        <v>#N/A</v>
      </c>
      <c r="AE392" s="377">
        <f t="shared" ca="1" si="179"/>
        <v>446.48915043237685</v>
      </c>
      <c r="AF392" s="344"/>
      <c r="AG392" s="359">
        <f t="shared" ca="1" si="201"/>
        <v>-20.262580652752433</v>
      </c>
      <c r="AH392" s="357">
        <f t="shared" ca="1" si="202"/>
        <v>-10.745709402222682</v>
      </c>
    </row>
    <row r="393" spans="1:34" x14ac:dyDescent="0.2">
      <c r="A393" s="402">
        <f t="shared" ca="1" si="180"/>
        <v>0.01</v>
      </c>
      <c r="B393" s="357">
        <f t="shared" ca="1" si="181"/>
        <v>3.889999999999961</v>
      </c>
      <c r="C393" s="342"/>
      <c r="D393" s="359">
        <f t="shared" ca="1" si="182"/>
        <v>-2.6020306546313834</v>
      </c>
      <c r="E393" s="360">
        <f t="shared" ca="1" si="183"/>
        <v>-20.207722615950662</v>
      </c>
      <c r="F393" s="357">
        <f t="shared" ca="1" si="184"/>
        <v>20.374558077436802</v>
      </c>
      <c r="G393" s="359">
        <f t="shared" ca="1" si="185"/>
        <v>41.223711241335714</v>
      </c>
      <c r="H393" s="360">
        <f t="shared" ca="1" si="186"/>
        <v>164.63197876541636</v>
      </c>
      <c r="I393" s="357">
        <f t="shared" ca="1" si="187"/>
        <v>169.7147100304671</v>
      </c>
      <c r="J393" s="359">
        <f t="shared" ca="1" si="188"/>
        <v>102.36853642968705</v>
      </c>
      <c r="K393" s="360">
        <f t="shared" ca="1" si="189"/>
        <v>448.1364806061618</v>
      </c>
      <c r="L393" s="357">
        <f t="shared" ca="1" si="174"/>
        <v>459.67991309261384</v>
      </c>
      <c r="M393" s="359">
        <f t="shared" ca="1" si="190"/>
        <v>1.325442007252698</v>
      </c>
      <c r="N393" s="357">
        <f t="shared" ca="1" si="191"/>
        <v>75.942233004927843</v>
      </c>
      <c r="O393" s="343"/>
      <c r="P393" s="363">
        <f t="shared" ca="1" si="192"/>
        <v>23</v>
      </c>
      <c r="Q393" s="357">
        <f t="shared" ca="1" si="193"/>
        <v>0</v>
      </c>
      <c r="R393" s="359">
        <f t="shared" ca="1" si="194"/>
        <v>0</v>
      </c>
      <c r="S393" s="360">
        <f t="shared" ca="1" si="195"/>
        <v>8.3819999999999997</v>
      </c>
      <c r="T393" s="357">
        <f t="shared" ca="1" si="175"/>
        <v>82.227419999999995</v>
      </c>
      <c r="U393" s="364">
        <f t="shared" ca="1" si="176"/>
        <v>0</v>
      </c>
      <c r="V393" s="359">
        <f t="shared" ca="1" si="177"/>
        <v>1.1713063845193707</v>
      </c>
      <c r="W393" s="357">
        <f t="shared" ca="1" si="178"/>
        <v>89.612657132525399</v>
      </c>
      <c r="X393" s="343"/>
      <c r="Y393" s="367" t="str">
        <f t="shared" ca="1" si="196"/>
        <v/>
      </c>
      <c r="Z393" s="368" t="str">
        <f t="shared" ca="1" si="197"/>
        <v/>
      </c>
      <c r="AA393" s="369" t="str">
        <f t="shared" ca="1" si="198"/>
        <v/>
      </c>
      <c r="AB393" s="344"/>
      <c r="AC393" s="363" t="e">
        <f t="shared" ca="1" si="199"/>
        <v>#N/A</v>
      </c>
      <c r="AD393" s="376" t="e">
        <f t="shared" ca="1" si="200"/>
        <v>#N/A</v>
      </c>
      <c r="AE393" s="377">
        <f t="shared" ca="1" si="179"/>
        <v>448.1364806061618</v>
      </c>
      <c r="AF393" s="344"/>
      <c r="AG393" s="359">
        <f t="shared" ca="1" si="201"/>
        <v>-20.234895786242888</v>
      </c>
      <c r="AH393" s="357">
        <f t="shared" ca="1" si="202"/>
        <v>-10.718358042437904</v>
      </c>
    </row>
    <row r="394" spans="1:34" x14ac:dyDescent="0.2">
      <c r="A394" s="402">
        <f t="shared" ca="1" si="180"/>
        <v>0.01</v>
      </c>
      <c r="B394" s="357">
        <f t="shared" ca="1" si="181"/>
        <v>3.8999999999999608</v>
      </c>
      <c r="C394" s="342"/>
      <c r="D394" s="359">
        <f t="shared" ca="1" si="182"/>
        <v>-2.5968645590568742</v>
      </c>
      <c r="E394" s="360">
        <f t="shared" ca="1" si="183"/>
        <v>-20.180899127457142</v>
      </c>
      <c r="F394" s="357">
        <f t="shared" ca="1" si="184"/>
        <v>20.347294540815152</v>
      </c>
      <c r="G394" s="359">
        <f t="shared" ca="1" si="185"/>
        <v>41.197742595745147</v>
      </c>
      <c r="H394" s="360">
        <f t="shared" ca="1" si="186"/>
        <v>164.4301697741418</v>
      </c>
      <c r="I394" s="357">
        <f t="shared" ca="1" si="187"/>
        <v>169.51263884129222</v>
      </c>
      <c r="J394" s="359">
        <f t="shared" ca="1" si="188"/>
        <v>102.78064369887245</v>
      </c>
      <c r="K394" s="360">
        <f t="shared" ca="1" si="189"/>
        <v>449.7817913488596</v>
      </c>
      <c r="L394" s="357">
        <f t="shared" ca="1" si="174"/>
        <v>461.37568265800877</v>
      </c>
      <c r="M394" s="359">
        <f t="shared" ca="1" si="190"/>
        <v>1.3253014366441185</v>
      </c>
      <c r="N394" s="357">
        <f t="shared" ca="1" si="191"/>
        <v>75.934178902332647</v>
      </c>
      <c r="O394" s="343"/>
      <c r="P394" s="363">
        <f t="shared" ca="1" si="192"/>
        <v>23</v>
      </c>
      <c r="Q394" s="357">
        <f t="shared" ca="1" si="193"/>
        <v>0</v>
      </c>
      <c r="R394" s="359">
        <f t="shared" ca="1" si="194"/>
        <v>0</v>
      </c>
      <c r="S394" s="360">
        <f t="shared" ca="1" si="195"/>
        <v>8.3819999999999997</v>
      </c>
      <c r="T394" s="357">
        <f t="shared" ca="1" si="175"/>
        <v>82.227419999999995</v>
      </c>
      <c r="U394" s="364">
        <f t="shared" ca="1" si="176"/>
        <v>0</v>
      </c>
      <c r="V394" s="359">
        <f t="shared" ca="1" si="177"/>
        <v>1.1711135869297697</v>
      </c>
      <c r="W394" s="357">
        <f t="shared" ca="1" si="178"/>
        <v>89.384673979220437</v>
      </c>
      <c r="X394" s="343"/>
      <c r="Y394" s="367" t="str">
        <f t="shared" ca="1" si="196"/>
        <v/>
      </c>
      <c r="Z394" s="368" t="str">
        <f t="shared" ca="1" si="197"/>
        <v/>
      </c>
      <c r="AA394" s="369" t="str">
        <f t="shared" ca="1" si="198"/>
        <v/>
      </c>
      <c r="AB394" s="344"/>
      <c r="AC394" s="363" t="e">
        <f t="shared" ca="1" si="199"/>
        <v>#N/A</v>
      </c>
      <c r="AD394" s="376" t="e">
        <f t="shared" ca="1" si="200"/>
        <v>#N/A</v>
      </c>
      <c r="AE394" s="377">
        <f t="shared" ca="1" si="179"/>
        <v>449.7817913488596</v>
      </c>
      <c r="AF394" s="344"/>
      <c r="AG394" s="359">
        <f t="shared" ca="1" si="201"/>
        <v>-20.207286396790799</v>
      </c>
      <c r="AH394" s="357">
        <f t="shared" ca="1" si="202"/>
        <v>-10.691082931582606</v>
      </c>
    </row>
    <row r="395" spans="1:34" x14ac:dyDescent="0.2">
      <c r="A395" s="402">
        <f t="shared" ca="1" si="180"/>
        <v>0.01</v>
      </c>
      <c r="B395" s="357">
        <f t="shared" ca="1" si="181"/>
        <v>3.9099999999999606</v>
      </c>
      <c r="C395" s="342"/>
      <c r="D395" s="359">
        <f t="shared" ca="1" si="182"/>
        <v>-2.59171199685892</v>
      </c>
      <c r="E395" s="360">
        <f t="shared" ca="1" si="183"/>
        <v>-20.154150353840141</v>
      </c>
      <c r="F395" s="357">
        <f t="shared" ca="1" si="184"/>
        <v>20.320106977077092</v>
      </c>
      <c r="G395" s="359">
        <f t="shared" ca="1" si="185"/>
        <v>41.171825475776558</v>
      </c>
      <c r="H395" s="360">
        <f t="shared" ca="1" si="186"/>
        <v>164.22862827060339</v>
      </c>
      <c r="I395" s="357">
        <f t="shared" ca="1" si="187"/>
        <v>169.31084299787724</v>
      </c>
      <c r="J395" s="359">
        <f t="shared" ca="1" si="188"/>
        <v>103.19249153923006</v>
      </c>
      <c r="K395" s="360">
        <f t="shared" ca="1" si="189"/>
        <v>451.42508533908335</v>
      </c>
      <c r="L395" s="357">
        <f t="shared" ca="1" si="174"/>
        <v>463.06943106133963</v>
      </c>
      <c r="M395" s="359">
        <f t="shared" ca="1" si="190"/>
        <v>1.3251606194871566</v>
      </c>
      <c r="N395" s="357">
        <f t="shared" ca="1" si="191"/>
        <v>75.926110673555712</v>
      </c>
      <c r="O395" s="343"/>
      <c r="P395" s="363">
        <f t="shared" ca="1" si="192"/>
        <v>23</v>
      </c>
      <c r="Q395" s="357">
        <f t="shared" ca="1" si="193"/>
        <v>0</v>
      </c>
      <c r="R395" s="359">
        <f t="shared" ca="1" si="194"/>
        <v>0</v>
      </c>
      <c r="S395" s="360">
        <f t="shared" ca="1" si="195"/>
        <v>8.3819999999999997</v>
      </c>
      <c r="T395" s="357">
        <f t="shared" ca="1" si="175"/>
        <v>82.227419999999995</v>
      </c>
      <c r="U395" s="364">
        <f t="shared" ca="1" si="176"/>
        <v>0</v>
      </c>
      <c r="V395" s="359">
        <f t="shared" ca="1" si="177"/>
        <v>1.1709210566273154</v>
      </c>
      <c r="W395" s="357">
        <f t="shared" ca="1" si="178"/>
        <v>89.157325369658011</v>
      </c>
      <c r="X395" s="343"/>
      <c r="Y395" s="367" t="str">
        <f t="shared" ca="1" si="196"/>
        <v/>
      </c>
      <c r="Z395" s="368" t="str">
        <f t="shared" ca="1" si="197"/>
        <v/>
      </c>
      <c r="AA395" s="369" t="str">
        <f t="shared" ca="1" si="198"/>
        <v/>
      </c>
      <c r="AB395" s="344"/>
      <c r="AC395" s="363" t="e">
        <f t="shared" ca="1" si="199"/>
        <v>#N/A</v>
      </c>
      <c r="AD395" s="376" t="e">
        <f t="shared" ca="1" si="200"/>
        <v>#N/A</v>
      </c>
      <c r="AE395" s="377">
        <f t="shared" ca="1" si="179"/>
        <v>451.42508533908335</v>
      </c>
      <c r="AF395" s="344"/>
      <c r="AG395" s="359">
        <f t="shared" ca="1" si="201"/>
        <v>-20.179752208725255</v>
      </c>
      <c r="AH395" s="357">
        <f t="shared" ca="1" si="202"/>
        <v>-10.663883796137013</v>
      </c>
    </row>
    <row r="396" spans="1:34" x14ac:dyDescent="0.2">
      <c r="A396" s="402">
        <f t="shared" ca="1" si="180"/>
        <v>0.01</v>
      </c>
      <c r="B396" s="357">
        <f t="shared" ca="1" si="181"/>
        <v>3.9199999999999604</v>
      </c>
      <c r="C396" s="342"/>
      <c r="D396" s="359">
        <f t="shared" ca="1" si="182"/>
        <v>-2.5865729186223985</v>
      </c>
      <c r="E396" s="360">
        <f t="shared" ca="1" si="183"/>
        <v>-20.12747602731806</v>
      </c>
      <c r="F396" s="357">
        <f t="shared" ca="1" si="184"/>
        <v>20.292995113920814</v>
      </c>
      <c r="G396" s="359">
        <f t="shared" ca="1" si="185"/>
        <v>41.145959746590336</v>
      </c>
      <c r="H396" s="360">
        <f t="shared" ca="1" si="186"/>
        <v>164.02735351033022</v>
      </c>
      <c r="I396" s="357">
        <f t="shared" ca="1" si="187"/>
        <v>169.10932175096343</v>
      </c>
      <c r="J396" s="359">
        <f t="shared" ca="1" si="188"/>
        <v>103.60408046534189</v>
      </c>
      <c r="K396" s="360">
        <f t="shared" ca="1" si="189"/>
        <v>453.06636524798802</v>
      </c>
      <c r="L396" s="357">
        <f t="shared" ca="1" si="174"/>
        <v>464.76116103660416</v>
      </c>
      <c r="M396" s="359">
        <f t="shared" ca="1" si="190"/>
        <v>1.3250195552865196</v>
      </c>
      <c r="N396" s="357">
        <f t="shared" ca="1" si="191"/>
        <v>75.918028290218814</v>
      </c>
      <c r="O396" s="343"/>
      <c r="P396" s="363">
        <f t="shared" ca="1" si="192"/>
        <v>23</v>
      </c>
      <c r="Q396" s="357">
        <f t="shared" ca="1" si="193"/>
        <v>0</v>
      </c>
      <c r="R396" s="359">
        <f t="shared" ca="1" si="194"/>
        <v>0</v>
      </c>
      <c r="S396" s="360">
        <f t="shared" ca="1" si="195"/>
        <v>8.3819999999999997</v>
      </c>
      <c r="T396" s="357">
        <f t="shared" ca="1" si="175"/>
        <v>82.227419999999995</v>
      </c>
      <c r="U396" s="364">
        <f t="shared" ca="1" si="176"/>
        <v>0</v>
      </c>
      <c r="V396" s="359">
        <f t="shared" ca="1" si="177"/>
        <v>1.1707287931777504</v>
      </c>
      <c r="W396" s="357">
        <f t="shared" ca="1" si="178"/>
        <v>88.930609032140467</v>
      </c>
      <c r="X396" s="343"/>
      <c r="Y396" s="367" t="str">
        <f t="shared" ca="1" si="196"/>
        <v/>
      </c>
      <c r="Z396" s="368" t="str">
        <f t="shared" ca="1" si="197"/>
        <v/>
      </c>
      <c r="AA396" s="369" t="str">
        <f t="shared" ca="1" si="198"/>
        <v/>
      </c>
      <c r="AB396" s="344"/>
      <c r="AC396" s="363" t="e">
        <f t="shared" ca="1" si="199"/>
        <v>#N/A</v>
      </c>
      <c r="AD396" s="376" t="e">
        <f t="shared" ca="1" si="200"/>
        <v>#N/A</v>
      </c>
      <c r="AE396" s="377">
        <f t="shared" ca="1" si="179"/>
        <v>453.06636524798802</v>
      </c>
      <c r="AF396" s="344"/>
      <c r="AG396" s="359">
        <f t="shared" ca="1" si="201"/>
        <v>-20.152292947620424</v>
      </c>
      <c r="AH396" s="357">
        <f t="shared" ca="1" si="202"/>
        <v>-10.636760363834171</v>
      </c>
    </row>
    <row r="397" spans="1:34" x14ac:dyDescent="0.2">
      <c r="A397" s="402">
        <f t="shared" ca="1" si="180"/>
        <v>0.01</v>
      </c>
      <c r="B397" s="357">
        <f t="shared" ca="1" si="181"/>
        <v>3.9299999999999602</v>
      </c>
      <c r="C397" s="342"/>
      <c r="D397" s="359">
        <f t="shared" ca="1" si="182"/>
        <v>-2.5814472751575934</v>
      </c>
      <c r="E397" s="360">
        <f t="shared" ca="1" si="183"/>
        <v>-20.100875881334659</v>
      </c>
      <c r="F397" s="357">
        <f t="shared" ca="1" si="184"/>
        <v>20.265958680290453</v>
      </c>
      <c r="G397" s="359">
        <f t="shared" ca="1" si="185"/>
        <v>41.120145273838759</v>
      </c>
      <c r="H397" s="360">
        <f t="shared" ca="1" si="186"/>
        <v>163.82634475151687</v>
      </c>
      <c r="I397" s="357">
        <f t="shared" ca="1" si="187"/>
        <v>168.90807435402388</v>
      </c>
      <c r="J397" s="359">
        <f t="shared" ca="1" si="188"/>
        <v>104.01541099044404</v>
      </c>
      <c r="K397" s="360">
        <f t="shared" ca="1" si="189"/>
        <v>454.70563373929724</v>
      </c>
      <c r="L397" s="357">
        <f t="shared" ca="1" si="174"/>
        <v>466.45087531032345</v>
      </c>
      <c r="M397" s="359">
        <f t="shared" ca="1" si="190"/>
        <v>1.3248782435454602</v>
      </c>
      <c r="N397" s="357">
        <f t="shared" ca="1" si="191"/>
        <v>75.909931723860467</v>
      </c>
      <c r="O397" s="343"/>
      <c r="P397" s="363">
        <f t="shared" ca="1" si="192"/>
        <v>23</v>
      </c>
      <c r="Q397" s="357">
        <f t="shared" ca="1" si="193"/>
        <v>0</v>
      </c>
      <c r="R397" s="359">
        <f t="shared" ca="1" si="194"/>
        <v>0</v>
      </c>
      <c r="S397" s="360">
        <f t="shared" ca="1" si="195"/>
        <v>8.3819999999999997</v>
      </c>
      <c r="T397" s="357">
        <f t="shared" ca="1" si="175"/>
        <v>82.227419999999995</v>
      </c>
      <c r="U397" s="364">
        <f t="shared" ca="1" si="176"/>
        <v>0</v>
      </c>
      <c r="V397" s="359">
        <f t="shared" ca="1" si="177"/>
        <v>1.1705367961480841</v>
      </c>
      <c r="W397" s="357">
        <f t="shared" ca="1" si="178"/>
        <v>88.704522705356311</v>
      </c>
      <c r="X397" s="343"/>
      <c r="Y397" s="367" t="str">
        <f t="shared" ca="1" si="196"/>
        <v/>
      </c>
      <c r="Z397" s="368" t="str">
        <f t="shared" ca="1" si="197"/>
        <v/>
      </c>
      <c r="AA397" s="369" t="str">
        <f t="shared" ca="1" si="198"/>
        <v/>
      </c>
      <c r="AB397" s="344"/>
      <c r="AC397" s="363" t="e">
        <f t="shared" ca="1" si="199"/>
        <v>#N/A</v>
      </c>
      <c r="AD397" s="376" t="e">
        <f t="shared" ca="1" si="200"/>
        <v>#N/A</v>
      </c>
      <c r="AE397" s="377">
        <f t="shared" ca="1" si="179"/>
        <v>454.70563373929724</v>
      </c>
      <c r="AF397" s="344"/>
      <c r="AG397" s="359">
        <f t="shared" ca="1" si="201"/>
        <v>-20.124908340288705</v>
      </c>
      <c r="AH397" s="357">
        <f t="shared" ca="1" si="202"/>
        <v>-10.609712363653122</v>
      </c>
    </row>
    <row r="398" spans="1:34" x14ac:dyDescent="0.2">
      <c r="A398" s="402">
        <f t="shared" ca="1" si="180"/>
        <v>0.01</v>
      </c>
      <c r="B398" s="357">
        <f t="shared" ca="1" si="181"/>
        <v>3.93999999999996</v>
      </c>
      <c r="C398" s="342"/>
      <c r="D398" s="359">
        <f t="shared" ca="1" si="182"/>
        <v>-2.5763350174989359</v>
      </c>
      <c r="E398" s="360">
        <f t="shared" ca="1" si="183"/>
        <v>-20.074349650552278</v>
      </c>
      <c r="F398" s="357">
        <f t="shared" ca="1" si="184"/>
        <v>20.238997406369212</v>
      </c>
      <c r="G398" s="359">
        <f t="shared" ca="1" si="185"/>
        <v>41.094381923663768</v>
      </c>
      <c r="H398" s="360">
        <f t="shared" ca="1" si="186"/>
        <v>163.62560125501136</v>
      </c>
      <c r="I398" s="357">
        <f t="shared" ca="1" si="187"/>
        <v>168.7071000632514</v>
      </c>
      <c r="J398" s="359">
        <f t="shared" ca="1" si="188"/>
        <v>104.42648362643155</v>
      </c>
      <c r="K398" s="360">
        <f t="shared" ca="1" si="189"/>
        <v>456.34289346932991</v>
      </c>
      <c r="L398" s="357">
        <f t="shared" ca="1" si="174"/>
        <v>468.13857660156737</v>
      </c>
      <c r="M398" s="359">
        <f t="shared" ca="1" si="190"/>
        <v>1.3247366837657708</v>
      </c>
      <c r="N398" s="357">
        <f t="shared" ca="1" si="191"/>
        <v>75.901820945935469</v>
      </c>
      <c r="O398" s="343"/>
      <c r="P398" s="363">
        <f t="shared" ca="1" si="192"/>
        <v>23</v>
      </c>
      <c r="Q398" s="357">
        <f t="shared" ca="1" si="193"/>
        <v>0</v>
      </c>
      <c r="R398" s="359">
        <f t="shared" ca="1" si="194"/>
        <v>0</v>
      </c>
      <c r="S398" s="360">
        <f t="shared" ca="1" si="195"/>
        <v>8.3819999999999997</v>
      </c>
      <c r="T398" s="357">
        <f t="shared" ca="1" si="175"/>
        <v>82.227419999999995</v>
      </c>
      <c r="U398" s="364">
        <f t="shared" ca="1" si="176"/>
        <v>0</v>
      </c>
      <c r="V398" s="359">
        <f t="shared" ca="1" si="177"/>
        <v>1.170345065106589</v>
      </c>
      <c r="W398" s="357">
        <f t="shared" ca="1" si="178"/>
        <v>88.479064138323409</v>
      </c>
      <c r="X398" s="343"/>
      <c r="Y398" s="367" t="str">
        <f t="shared" ca="1" si="196"/>
        <v/>
      </c>
      <c r="Z398" s="368" t="str">
        <f t="shared" ca="1" si="197"/>
        <v/>
      </c>
      <c r="AA398" s="369" t="str">
        <f t="shared" ca="1" si="198"/>
        <v/>
      </c>
      <c r="AB398" s="344"/>
      <c r="AC398" s="363" t="e">
        <f t="shared" ca="1" si="199"/>
        <v>#N/A</v>
      </c>
      <c r="AD398" s="376" t="e">
        <f t="shared" ca="1" si="200"/>
        <v>#N/A</v>
      </c>
      <c r="AE398" s="377">
        <f t="shared" ca="1" si="179"/>
        <v>456.34289346932991</v>
      </c>
      <c r="AF398" s="344"/>
      <c r="AG398" s="359">
        <f t="shared" ca="1" si="201"/>
        <v>-20.097598114773803</v>
      </c>
      <c r="AH398" s="357">
        <f t="shared" ca="1" si="202"/>
        <v>-10.582739525812016</v>
      </c>
    </row>
    <row r="399" spans="1:34" x14ac:dyDescent="0.2">
      <c r="A399" s="402">
        <f t="shared" ca="1" si="180"/>
        <v>0.01</v>
      </c>
      <c r="B399" s="357">
        <f t="shared" ca="1" si="181"/>
        <v>3.9499999999999598</v>
      </c>
      <c r="C399" s="342"/>
      <c r="D399" s="359">
        <f t="shared" ca="1" si="182"/>
        <v>-2.5712360969037853</v>
      </c>
      <c r="E399" s="360">
        <f t="shared" ca="1" si="183"/>
        <v>-20.047897070845181</v>
      </c>
      <c r="F399" s="357">
        <f t="shared" ca="1" si="184"/>
        <v>20.212111023572568</v>
      </c>
      <c r="G399" s="359">
        <f t="shared" ca="1" si="185"/>
        <v>41.06866956269473</v>
      </c>
      <c r="H399" s="360">
        <f t="shared" ca="1" si="186"/>
        <v>163.42512228430292</v>
      </c>
      <c r="I399" s="357">
        <f t="shared" ca="1" si="187"/>
        <v>168.506398137546</v>
      </c>
      <c r="J399" s="359">
        <f t="shared" ca="1" si="188"/>
        <v>104.83729888386334</v>
      </c>
      <c r="K399" s="360">
        <f t="shared" ca="1" si="189"/>
        <v>457.97814708702646</v>
      </c>
      <c r="L399" s="357">
        <f t="shared" ca="1" si="174"/>
        <v>469.82426762198071</v>
      </c>
      <c r="M399" s="359">
        <f t="shared" ca="1" si="190"/>
        <v>1.3245948754477783</v>
      </c>
      <c r="N399" s="357">
        <f t="shared" ca="1" si="191"/>
        <v>75.893695927814647</v>
      </c>
      <c r="O399" s="343"/>
      <c r="P399" s="363">
        <f t="shared" ca="1" si="192"/>
        <v>23</v>
      </c>
      <c r="Q399" s="357">
        <f t="shared" ca="1" si="193"/>
        <v>0</v>
      </c>
      <c r="R399" s="359">
        <f t="shared" ca="1" si="194"/>
        <v>0</v>
      </c>
      <c r="S399" s="360">
        <f t="shared" ca="1" si="195"/>
        <v>8.3819999999999997</v>
      </c>
      <c r="T399" s="357">
        <f t="shared" ca="1" si="175"/>
        <v>82.227419999999995</v>
      </c>
      <c r="U399" s="364">
        <f t="shared" ca="1" si="176"/>
        <v>0</v>
      </c>
      <c r="V399" s="359">
        <f t="shared" ca="1" si="177"/>
        <v>1.1701535996227967</v>
      </c>
      <c r="W399" s="357">
        <f t="shared" ca="1" si="178"/>
        <v>88.25423109033224</v>
      </c>
      <c r="X399" s="343"/>
      <c r="Y399" s="367" t="str">
        <f t="shared" ca="1" si="196"/>
        <v/>
      </c>
      <c r="Z399" s="368" t="str">
        <f t="shared" ca="1" si="197"/>
        <v/>
      </c>
      <c r="AA399" s="369" t="str">
        <f t="shared" ca="1" si="198"/>
        <v/>
      </c>
      <c r="AB399" s="344"/>
      <c r="AC399" s="363" t="e">
        <f t="shared" ca="1" si="199"/>
        <v>#N/A</v>
      </c>
      <c r="AD399" s="376" t="e">
        <f t="shared" ca="1" si="200"/>
        <v>#N/A</v>
      </c>
      <c r="AE399" s="377">
        <f t="shared" ca="1" si="179"/>
        <v>457.97814708702646</v>
      </c>
      <c r="AF399" s="344"/>
      <c r="AG399" s="359">
        <f t="shared" ca="1" si="201"/>
        <v>-20.070362000343913</v>
      </c>
      <c r="AH399" s="357">
        <f t="shared" ca="1" si="202"/>
        <v>-10.555841581761323</v>
      </c>
    </row>
    <row r="400" spans="1:34" x14ac:dyDescent="0.2">
      <c r="A400" s="402">
        <f t="shared" ca="1" si="180"/>
        <v>0.01</v>
      </c>
      <c r="B400" s="357">
        <f t="shared" ca="1" si="181"/>
        <v>3.9599999999999596</v>
      </c>
      <c r="C400" s="342"/>
      <c r="D400" s="359">
        <f t="shared" ca="1" si="182"/>
        <v>-2.566150464851205</v>
      </c>
      <c r="E400" s="360">
        <f t="shared" ca="1" si="183"/>
        <v>-20.021517879292894</v>
      </c>
      <c r="F400" s="357">
        <f t="shared" ca="1" si="184"/>
        <v>20.185299264541534</v>
      </c>
      <c r="G400" s="359">
        <f t="shared" ca="1" si="185"/>
        <v>41.043008058046219</v>
      </c>
      <c r="H400" s="360">
        <f t="shared" ca="1" si="186"/>
        <v>163.22490710551</v>
      </c>
      <c r="I400" s="357">
        <f t="shared" ca="1" si="187"/>
        <v>168.30596783850302</v>
      </c>
      <c r="J400" s="359">
        <f t="shared" ca="1" si="188"/>
        <v>105.24785727196705</v>
      </c>
      <c r="K400" s="360">
        <f t="shared" ca="1" si="189"/>
        <v>459.61139723397554</v>
      </c>
      <c r="L400" s="357">
        <f t="shared" ca="1" si="174"/>
        <v>471.50795107580916</v>
      </c>
      <c r="M400" s="359">
        <f t="shared" ca="1" si="190"/>
        <v>1.3244528180903399</v>
      </c>
      <c r="N400" s="357">
        <f t="shared" ca="1" si="191"/>
        <v>75.885556640784642</v>
      </c>
      <c r="O400" s="343"/>
      <c r="P400" s="363">
        <f t="shared" ca="1" si="192"/>
        <v>23</v>
      </c>
      <c r="Q400" s="357">
        <f t="shared" ca="1" si="193"/>
        <v>0</v>
      </c>
      <c r="R400" s="359">
        <f t="shared" ca="1" si="194"/>
        <v>0</v>
      </c>
      <c r="S400" s="360">
        <f t="shared" ca="1" si="195"/>
        <v>8.3819999999999997</v>
      </c>
      <c r="T400" s="357">
        <f t="shared" ca="1" si="175"/>
        <v>82.227419999999995</v>
      </c>
      <c r="U400" s="364">
        <f t="shared" ca="1" si="176"/>
        <v>0</v>
      </c>
      <c r="V400" s="359">
        <f t="shared" ca="1" si="177"/>
        <v>1.1699623992674917</v>
      </c>
      <c r="W400" s="357">
        <f t="shared" ca="1" si="178"/>
        <v>88.030021330889696</v>
      </c>
      <c r="X400" s="343"/>
      <c r="Y400" s="367" t="str">
        <f t="shared" ca="1" si="196"/>
        <v/>
      </c>
      <c r="Z400" s="368" t="str">
        <f t="shared" ca="1" si="197"/>
        <v/>
      </c>
      <c r="AA400" s="369" t="str">
        <f t="shared" ca="1" si="198"/>
        <v/>
      </c>
      <c r="AB400" s="344"/>
      <c r="AC400" s="363" t="e">
        <f t="shared" ca="1" si="199"/>
        <v>#N/A</v>
      </c>
      <c r="AD400" s="376" t="e">
        <f t="shared" ca="1" si="200"/>
        <v>#N/A</v>
      </c>
      <c r="AE400" s="377">
        <f t="shared" ca="1" si="179"/>
        <v>459.61139723397554</v>
      </c>
      <c r="AF400" s="344"/>
      <c r="AG400" s="359">
        <f t="shared" ca="1" si="201"/>
        <v>-20.043199727484918</v>
      </c>
      <c r="AH400" s="357">
        <f t="shared" ca="1" si="202"/>
        <v>-10.529018264177076</v>
      </c>
    </row>
    <row r="401" spans="1:34" x14ac:dyDescent="0.2">
      <c r="A401" s="402">
        <f t="shared" ca="1" si="180"/>
        <v>0.01</v>
      </c>
      <c r="B401" s="357">
        <f t="shared" ca="1" si="181"/>
        <v>3.9699999999999593</v>
      </c>
      <c r="C401" s="342"/>
      <c r="D401" s="359">
        <f t="shared" ca="1" si="182"/>
        <v>-2.5610780730407439</v>
      </c>
      <c r="E401" s="360">
        <f t="shared" ca="1" si="183"/>
        <v>-19.995211814173583</v>
      </c>
      <c r="F401" s="357">
        <f t="shared" ca="1" si="184"/>
        <v>20.158561863135894</v>
      </c>
      <c r="G401" s="359">
        <f t="shared" ca="1" si="185"/>
        <v>41.017397277315808</v>
      </c>
      <c r="H401" s="360">
        <f t="shared" ca="1" si="186"/>
        <v>163.02495498736826</v>
      </c>
      <c r="I401" s="357">
        <f t="shared" ca="1" si="187"/>
        <v>168.10580843040077</v>
      </c>
      <c r="J401" s="359">
        <f t="shared" ca="1" si="188"/>
        <v>105.65815929864387</v>
      </c>
      <c r="K401" s="360">
        <f t="shared" ca="1" si="189"/>
        <v>461.24264654443994</v>
      </c>
      <c r="L401" s="357">
        <f t="shared" ca="1" si="174"/>
        <v>473.18962965992478</v>
      </c>
      <c r="M401" s="359">
        <f t="shared" ca="1" si="190"/>
        <v>1.3243105111908378</v>
      </c>
      <c r="N401" s="357">
        <f t="shared" ca="1" si="191"/>
        <v>75.877403056047584</v>
      </c>
      <c r="O401" s="343"/>
      <c r="P401" s="363">
        <f t="shared" ca="1" si="192"/>
        <v>23</v>
      </c>
      <c r="Q401" s="357">
        <f t="shared" ca="1" si="193"/>
        <v>0</v>
      </c>
      <c r="R401" s="359">
        <f t="shared" ca="1" si="194"/>
        <v>0</v>
      </c>
      <c r="S401" s="360">
        <f t="shared" ca="1" si="195"/>
        <v>8.3819999999999997</v>
      </c>
      <c r="T401" s="357">
        <f t="shared" ca="1" si="175"/>
        <v>82.227419999999995</v>
      </c>
      <c r="U401" s="364">
        <f t="shared" ca="1" si="176"/>
        <v>0</v>
      </c>
      <c r="V401" s="359">
        <f t="shared" ca="1" si="177"/>
        <v>1.1697714636127086</v>
      </c>
      <c r="W401" s="357">
        <f t="shared" ca="1" si="178"/>
        <v>87.806432639663214</v>
      </c>
      <c r="X401" s="343"/>
      <c r="Y401" s="367" t="str">
        <f t="shared" ca="1" si="196"/>
        <v/>
      </c>
      <c r="Z401" s="368" t="str">
        <f t="shared" ca="1" si="197"/>
        <v/>
      </c>
      <c r="AA401" s="369" t="str">
        <f t="shared" ca="1" si="198"/>
        <v/>
      </c>
      <c r="AB401" s="344"/>
      <c r="AC401" s="363" t="e">
        <f t="shared" ca="1" si="199"/>
        <v>#N/A</v>
      </c>
      <c r="AD401" s="376" t="e">
        <f t="shared" ca="1" si="200"/>
        <v>#N/A</v>
      </c>
      <c r="AE401" s="377">
        <f t="shared" ca="1" si="179"/>
        <v>461.24264654443994</v>
      </c>
      <c r="AF401" s="344"/>
      <c r="AG401" s="359">
        <f t="shared" ca="1" si="201"/>
        <v>-20.016111027893658</v>
      </c>
      <c r="AH401" s="357">
        <f t="shared" ca="1" si="202"/>
        <v>-10.502269306954151</v>
      </c>
    </row>
    <row r="402" spans="1:34" x14ac:dyDescent="0.2">
      <c r="A402" s="402">
        <f t="shared" ca="1" si="180"/>
        <v>0.01</v>
      </c>
      <c r="B402" s="357">
        <f t="shared" ca="1" si="181"/>
        <v>3.9799999999999591</v>
      </c>
      <c r="C402" s="342"/>
      <c r="D402" s="359">
        <f t="shared" ca="1" si="182"/>
        <v>-2.5560188733912326</v>
      </c>
      <c r="E402" s="360">
        <f t="shared" ca="1" si="183"/>
        <v>-19.968978614957557</v>
      </c>
      <c r="F402" s="357">
        <f t="shared" ca="1" si="184"/>
        <v>20.131898554427607</v>
      </c>
      <c r="G402" s="359">
        <f t="shared" ca="1" si="185"/>
        <v>40.991837088581896</v>
      </c>
      <c r="H402" s="360">
        <f t="shared" ca="1" si="186"/>
        <v>162.82526520121868</v>
      </c>
      <c r="I402" s="357">
        <f t="shared" ca="1" si="187"/>
        <v>167.90591918018862</v>
      </c>
      <c r="J402" s="359">
        <f t="shared" ca="1" si="188"/>
        <v>106.06820547047336</v>
      </c>
      <c r="K402" s="360">
        <f t="shared" ca="1" si="189"/>
        <v>462.87189764538289</v>
      </c>
      <c r="L402" s="357">
        <f t="shared" ca="1" si="174"/>
        <v>474.86930606385204</v>
      </c>
      <c r="M402" s="359">
        <f t="shared" ca="1" si="190"/>
        <v>1.3241679542451734</v>
      </c>
      <c r="N402" s="357">
        <f t="shared" ca="1" si="191"/>
        <v>75.869235144720733</v>
      </c>
      <c r="O402" s="343"/>
      <c r="P402" s="363">
        <f t="shared" ca="1" si="192"/>
        <v>23</v>
      </c>
      <c r="Q402" s="357">
        <f t="shared" ca="1" si="193"/>
        <v>0</v>
      </c>
      <c r="R402" s="359">
        <f t="shared" ca="1" si="194"/>
        <v>0</v>
      </c>
      <c r="S402" s="360">
        <f t="shared" ca="1" si="195"/>
        <v>8.3819999999999997</v>
      </c>
      <c r="T402" s="357">
        <f t="shared" ca="1" si="175"/>
        <v>82.227419999999995</v>
      </c>
      <c r="U402" s="364">
        <f t="shared" ca="1" si="176"/>
        <v>0</v>
      </c>
      <c r="V402" s="359">
        <f t="shared" ca="1" si="177"/>
        <v>1.1695807922317258</v>
      </c>
      <c r="W402" s="357">
        <f t="shared" ca="1" si="178"/>
        <v>87.583462806425075</v>
      </c>
      <c r="X402" s="343"/>
      <c r="Y402" s="367" t="str">
        <f t="shared" ca="1" si="196"/>
        <v/>
      </c>
      <c r="Z402" s="368" t="str">
        <f t="shared" ca="1" si="197"/>
        <v/>
      </c>
      <c r="AA402" s="369" t="str">
        <f t="shared" ca="1" si="198"/>
        <v/>
      </c>
      <c r="AB402" s="344"/>
      <c r="AC402" s="363" t="e">
        <f t="shared" ca="1" si="199"/>
        <v>#N/A</v>
      </c>
      <c r="AD402" s="376" t="e">
        <f t="shared" ca="1" si="200"/>
        <v>#N/A</v>
      </c>
      <c r="AE402" s="377">
        <f t="shared" ca="1" si="179"/>
        <v>462.87189764538289</v>
      </c>
      <c r="AF402" s="344"/>
      <c r="AG402" s="359">
        <f t="shared" ca="1" si="201"/>
        <v>-19.989095634471227</v>
      </c>
      <c r="AH402" s="357">
        <f t="shared" ca="1" si="202"/>
        <v>-10.47559444519962</v>
      </c>
    </row>
    <row r="403" spans="1:34" x14ac:dyDescent="0.2">
      <c r="A403" s="402">
        <f t="shared" ca="1" si="180"/>
        <v>0.01</v>
      </c>
      <c r="B403" s="357">
        <f t="shared" ca="1" si="181"/>
        <v>3.9899999999999589</v>
      </c>
      <c r="C403" s="342"/>
      <c r="D403" s="359">
        <f t="shared" ca="1" si="182"/>
        <v>-2.5509728180395861</v>
      </c>
      <c r="E403" s="360">
        <f t="shared" ca="1" si="183"/>
        <v>-19.942818022300678</v>
      </c>
      <c r="F403" s="357">
        <f t="shared" ca="1" si="184"/>
        <v>20.105309074694116</v>
      </c>
      <c r="G403" s="359">
        <f t="shared" ca="1" si="185"/>
        <v>40.9663273604015</v>
      </c>
      <c r="H403" s="360">
        <f t="shared" ca="1" si="186"/>
        <v>162.62583702099568</v>
      </c>
      <c r="I403" s="357">
        <f t="shared" ca="1" si="187"/>
        <v>167.70629935747502</v>
      </c>
      <c r="J403" s="359">
        <f t="shared" ca="1" si="188"/>
        <v>106.47799629271827</v>
      </c>
      <c r="K403" s="360">
        <f t="shared" ca="1" si="189"/>
        <v>464.49915315649395</v>
      </c>
      <c r="L403" s="357">
        <f t="shared" ca="1" si="174"/>
        <v>476.54698296979296</v>
      </c>
      <c r="M403" s="359">
        <f t="shared" ca="1" si="190"/>
        <v>1.3240251467477637</v>
      </c>
      <c r="N403" s="357">
        <f t="shared" ca="1" si="191"/>
        <v>75.861052877836343</v>
      </c>
      <c r="O403" s="343"/>
      <c r="P403" s="363">
        <f t="shared" ca="1" si="192"/>
        <v>23</v>
      </c>
      <c r="Q403" s="357">
        <f t="shared" ca="1" si="193"/>
        <v>0</v>
      </c>
      <c r="R403" s="359">
        <f t="shared" ca="1" si="194"/>
        <v>0</v>
      </c>
      <c r="S403" s="360">
        <f t="shared" ca="1" si="195"/>
        <v>8.3819999999999997</v>
      </c>
      <c r="T403" s="357">
        <f t="shared" ca="1" si="175"/>
        <v>82.227419999999995</v>
      </c>
      <c r="U403" s="364">
        <f t="shared" ca="1" si="176"/>
        <v>0</v>
      </c>
      <c r="V403" s="359">
        <f t="shared" ca="1" si="177"/>
        <v>1.1693903846990616</v>
      </c>
      <c r="W403" s="357">
        <f t="shared" ca="1" si="178"/>
        <v>87.361109630997348</v>
      </c>
      <c r="X403" s="343"/>
      <c r="Y403" s="367" t="str">
        <f t="shared" ca="1" si="196"/>
        <v/>
      </c>
      <c r="Z403" s="368" t="str">
        <f t="shared" ca="1" si="197"/>
        <v/>
      </c>
      <c r="AA403" s="369" t="str">
        <f t="shared" ca="1" si="198"/>
        <v/>
      </c>
      <c r="AB403" s="344"/>
      <c r="AC403" s="363" t="e">
        <f t="shared" ca="1" si="199"/>
        <v>#N/A</v>
      </c>
      <c r="AD403" s="376" t="e">
        <f t="shared" ca="1" si="200"/>
        <v>#N/A</v>
      </c>
      <c r="AE403" s="377">
        <f t="shared" ca="1" si="179"/>
        <v>464.49915315649395</v>
      </c>
      <c r="AF403" s="344"/>
      <c r="AG403" s="359">
        <f t="shared" ca="1" si="201"/>
        <v>-19.96215328131629</v>
      </c>
      <c r="AH403" s="357">
        <f t="shared" ca="1" si="202"/>
        <v>-10.44899341522609</v>
      </c>
    </row>
    <row r="404" spans="1:34" x14ac:dyDescent="0.2">
      <c r="A404" s="402">
        <f t="shared" ca="1" si="180"/>
        <v>0.01</v>
      </c>
      <c r="B404" s="357">
        <f t="shared" ca="1" si="181"/>
        <v>3.9999999999999587</v>
      </c>
      <c r="C404" s="342"/>
      <c r="D404" s="359">
        <f t="shared" ca="1" si="182"/>
        <v>-2.5459398593396054</v>
      </c>
      <c r="E404" s="360">
        <f t="shared" ca="1" si="183"/>
        <v>-19.916729778037919</v>
      </c>
      <c r="F404" s="357">
        <f t="shared" ca="1" si="184"/>
        <v>20.078793161411781</v>
      </c>
      <c r="G404" s="359">
        <f t="shared" ca="1" si="185"/>
        <v>40.940867961808102</v>
      </c>
      <c r="H404" s="360">
        <f t="shared" ca="1" si="186"/>
        <v>162.4266697232153</v>
      </c>
      <c r="I404" s="357">
        <f t="shared" ca="1" si="187"/>
        <v>167.50694823451556</v>
      </c>
      <c r="J404" s="359">
        <f t="shared" ca="1" si="188"/>
        <v>106.88753226932933</v>
      </c>
      <c r="K404" s="360">
        <f t="shared" ca="1" si="189"/>
        <v>466.12441569021502</v>
      </c>
      <c r="L404" s="357">
        <f t="shared" ca="1" si="174"/>
        <v>478.22266305265299</v>
      </c>
      <c r="M404" s="359">
        <f t="shared" ca="1" si="190"/>
        <v>1.3238820881915352</v>
      </c>
      <c r="N404" s="357">
        <f t="shared" ca="1" si="191"/>
        <v>75.852856226341203</v>
      </c>
      <c r="O404" s="343"/>
      <c r="P404" s="363">
        <f t="shared" ca="1" si="192"/>
        <v>23</v>
      </c>
      <c r="Q404" s="357">
        <f t="shared" ca="1" si="193"/>
        <v>0</v>
      </c>
      <c r="R404" s="359">
        <f t="shared" ca="1" si="194"/>
        <v>0</v>
      </c>
      <c r="S404" s="360">
        <f t="shared" ca="1" si="195"/>
        <v>8.3819999999999997</v>
      </c>
      <c r="T404" s="357">
        <f t="shared" ca="1" si="175"/>
        <v>82.227419999999995</v>
      </c>
      <c r="U404" s="364">
        <f t="shared" ca="1" si="176"/>
        <v>0</v>
      </c>
      <c r="V404" s="359">
        <f t="shared" ca="1" si="177"/>
        <v>1.16920024059047</v>
      </c>
      <c r="W404" s="357">
        <f t="shared" ca="1" si="178"/>
        <v>87.139370923197035</v>
      </c>
      <c r="X404" s="343"/>
      <c r="Y404" s="367" t="str">
        <f t="shared" ca="1" si="196"/>
        <v/>
      </c>
      <c r="Z404" s="368" t="str">
        <f t="shared" ca="1" si="197"/>
        <v/>
      </c>
      <c r="AA404" s="369" t="str">
        <f t="shared" ca="1" si="198"/>
        <v/>
      </c>
      <c r="AB404" s="344"/>
      <c r="AC404" s="363">
        <f t="shared" ca="1" si="199"/>
        <v>3.9999999999999587</v>
      </c>
      <c r="AD404" s="376">
        <f t="shared" ca="1" si="200"/>
        <v>106.88753226932933</v>
      </c>
      <c r="AE404" s="377">
        <f t="shared" ca="1" si="179"/>
        <v>466.12441569021502</v>
      </c>
      <c r="AF404" s="344"/>
      <c r="AG404" s="359">
        <f t="shared" ca="1" si="201"/>
        <v>-19.93528370371849</v>
      </c>
      <c r="AH404" s="357">
        <f t="shared" ca="1" si="202"/>
        <v>-10.422465954545139</v>
      </c>
    </row>
    <row r="405" spans="1:34" x14ac:dyDescent="0.2">
      <c r="A405" s="402">
        <f t="shared" ca="1" si="180"/>
        <v>0.1</v>
      </c>
      <c r="B405" s="357">
        <f t="shared" ca="1" si="181"/>
        <v>4.0999999999999588</v>
      </c>
      <c r="C405" s="342"/>
      <c r="D405" s="359">
        <f t="shared" ca="1" si="182"/>
        <v>-2.5409199498608008</v>
      </c>
      <c r="E405" s="360">
        <f t="shared" ca="1" si="183"/>
        <v>-19.890713625176936</v>
      </c>
      <c r="F405" s="357">
        <f t="shared" ca="1" si="184"/>
        <v>20.052350553249365</v>
      </c>
      <c r="G405" s="359">
        <f t="shared" ca="1" si="185"/>
        <v>40.686775966822019</v>
      </c>
      <c r="H405" s="360">
        <f t="shared" ca="1" si="186"/>
        <v>160.43759836069759</v>
      </c>
      <c r="I405" s="357">
        <f t="shared" ca="1" si="187"/>
        <v>165.51627323717412</v>
      </c>
      <c r="J405" s="359">
        <f t="shared" ca="1" si="188"/>
        <v>110.96891446576083</v>
      </c>
      <c r="K405" s="360">
        <f t="shared" ca="1" si="189"/>
        <v>482.26762909441067</v>
      </c>
      <c r="L405" s="357">
        <f t="shared" ca="1" si="174"/>
        <v>494.86984758626528</v>
      </c>
      <c r="M405" s="359">
        <f t="shared" ca="1" si="190"/>
        <v>1.322433474187467</v>
      </c>
      <c r="N405" s="357">
        <f t="shared" ca="1" si="191"/>
        <v>75.769856757764558</v>
      </c>
      <c r="O405" s="343"/>
      <c r="P405" s="363">
        <f t="shared" ca="1" si="192"/>
        <v>23</v>
      </c>
      <c r="Q405" s="357">
        <f t="shared" ca="1" si="193"/>
        <v>0</v>
      </c>
      <c r="R405" s="359">
        <f t="shared" ca="1" si="194"/>
        <v>0</v>
      </c>
      <c r="S405" s="360">
        <f t="shared" ca="1" si="195"/>
        <v>8.3819999999999997</v>
      </c>
      <c r="T405" s="357">
        <f t="shared" ca="1" si="175"/>
        <v>82.227419999999995</v>
      </c>
      <c r="U405" s="364">
        <f t="shared" ca="1" si="176"/>
        <v>0</v>
      </c>
      <c r="V405" s="359">
        <f t="shared" ca="1" si="177"/>
        <v>1.1673132383250895</v>
      </c>
      <c r="W405" s="357">
        <f t="shared" ca="1" si="178"/>
        <v>84.94321230357815</v>
      </c>
      <c r="X405" s="343"/>
      <c r="Y405" s="367" t="str">
        <f t="shared" ca="1" si="196"/>
        <v/>
      </c>
      <c r="Z405" s="368" t="str">
        <f t="shared" ca="1" si="197"/>
        <v/>
      </c>
      <c r="AA405" s="369" t="str">
        <f t="shared" ca="1" si="198"/>
        <v/>
      </c>
      <c r="AB405" s="344"/>
      <c r="AC405" s="363" t="e">
        <f t="shared" ca="1" si="199"/>
        <v>#N/A</v>
      </c>
      <c r="AD405" s="376" t="e">
        <f t="shared" ca="1" si="200"/>
        <v>#N/A</v>
      </c>
      <c r="AE405" s="377">
        <f t="shared" ca="1" si="179"/>
        <v>482.26762909441067</v>
      </c>
      <c r="AF405" s="344"/>
      <c r="AG405" s="359">
        <f t="shared" ca="1" si="201"/>
        <v>-19.90848663815186</v>
      </c>
      <c r="AH405" s="357">
        <f t="shared" ca="1" si="202"/>
        <v>-10.396011801860778</v>
      </c>
    </row>
    <row r="406" spans="1:34" x14ac:dyDescent="0.2">
      <c r="A406" s="402">
        <f t="shared" ca="1" si="180"/>
        <v>0.1</v>
      </c>
      <c r="B406" s="357">
        <f t="shared" ca="1" si="181"/>
        <v>4.1999999999999584</v>
      </c>
      <c r="C406" s="342"/>
      <c r="D406" s="359">
        <f t="shared" ca="1" si="182"/>
        <v>-2.4911140007853101</v>
      </c>
      <c r="E406" s="360">
        <f t="shared" ca="1" si="183"/>
        <v>-19.633052774066279</v>
      </c>
      <c r="F406" s="357">
        <f t="shared" ca="1" si="184"/>
        <v>19.790462606876581</v>
      </c>
      <c r="G406" s="359">
        <f t="shared" ca="1" si="185"/>
        <v>40.437664566743486</v>
      </c>
      <c r="H406" s="360">
        <f t="shared" ca="1" si="186"/>
        <v>158.47429308329097</v>
      </c>
      <c r="I406" s="357">
        <f t="shared" ca="1" si="187"/>
        <v>163.55215157209417</v>
      </c>
      <c r="J406" s="359">
        <f t="shared" ca="1" si="188"/>
        <v>115.0251364924391</v>
      </c>
      <c r="K406" s="360">
        <f t="shared" ca="1" si="189"/>
        <v>498.21322366661008</v>
      </c>
      <c r="L406" s="357">
        <f t="shared" ca="1" si="174"/>
        <v>511.31907676262176</v>
      </c>
      <c r="M406" s="359">
        <f t="shared" ca="1" si="190"/>
        <v>1.3209590396974376</v>
      </c>
      <c r="N406" s="357">
        <f t="shared" ca="1" si="191"/>
        <v>75.685377884317347</v>
      </c>
      <c r="O406" s="343"/>
      <c r="P406" s="363">
        <f t="shared" ca="1" si="192"/>
        <v>23</v>
      </c>
      <c r="Q406" s="357">
        <f t="shared" ca="1" si="193"/>
        <v>0</v>
      </c>
      <c r="R406" s="359">
        <f t="shared" ca="1" si="194"/>
        <v>0</v>
      </c>
      <c r="S406" s="360">
        <f t="shared" ca="1" si="195"/>
        <v>8.3819999999999997</v>
      </c>
      <c r="T406" s="357">
        <f t="shared" ca="1" si="175"/>
        <v>82.227419999999995</v>
      </c>
      <c r="U406" s="364">
        <f t="shared" ca="1" si="176"/>
        <v>0</v>
      </c>
      <c r="V406" s="359">
        <f t="shared" ca="1" si="177"/>
        <v>1.1654522538299141</v>
      </c>
      <c r="W406" s="357">
        <f t="shared" ca="1" si="178"/>
        <v>82.806967611989592</v>
      </c>
      <c r="X406" s="343"/>
      <c r="Y406" s="367" t="str">
        <f t="shared" ca="1" si="196"/>
        <v/>
      </c>
      <c r="Z406" s="368" t="str">
        <f t="shared" ca="1" si="197"/>
        <v/>
      </c>
      <c r="AA406" s="369" t="str">
        <f t="shared" ca="1" si="198"/>
        <v/>
      </c>
      <c r="AB406" s="344"/>
      <c r="AC406" s="363" t="e">
        <f t="shared" ca="1" si="199"/>
        <v>#N/A</v>
      </c>
      <c r="AD406" s="376" t="e">
        <f t="shared" ca="1" si="200"/>
        <v>#N/A</v>
      </c>
      <c r="AE406" s="377">
        <f t="shared" ca="1" si="179"/>
        <v>498.21322366661008</v>
      </c>
      <c r="AF406" s="344"/>
      <c r="AG406" s="359">
        <f t="shared" ca="1" si="201"/>
        <v>-19.642994427254784</v>
      </c>
      <c r="AH406" s="357">
        <f t="shared" ca="1" si="202"/>
        <v>-10.13400289949632</v>
      </c>
    </row>
    <row r="407" spans="1:34" x14ac:dyDescent="0.2">
      <c r="A407" s="402">
        <f t="shared" ca="1" si="180"/>
        <v>0.1</v>
      </c>
      <c r="B407" s="357">
        <f t="shared" ca="1" si="181"/>
        <v>4.2999999999999581</v>
      </c>
      <c r="C407" s="342"/>
      <c r="D407" s="359">
        <f t="shared" ca="1" si="182"/>
        <v>-2.4425813021364924</v>
      </c>
      <c r="E407" s="360">
        <f t="shared" ca="1" si="183"/>
        <v>-19.382420892795338</v>
      </c>
      <c r="F407" s="357">
        <f t="shared" ca="1" si="184"/>
        <v>19.53572223090347</v>
      </c>
      <c r="G407" s="359">
        <f t="shared" ca="1" si="185"/>
        <v>40.193406436529834</v>
      </c>
      <c r="H407" s="360">
        <f t="shared" ca="1" si="186"/>
        <v>156.53605099401145</v>
      </c>
      <c r="I407" s="357">
        <f t="shared" ca="1" si="187"/>
        <v>161.61387682303717</v>
      </c>
      <c r="J407" s="359">
        <f t="shared" ca="1" si="188"/>
        <v>119.05669004260277</v>
      </c>
      <c r="K407" s="360">
        <f t="shared" ca="1" si="189"/>
        <v>513.96374087047525</v>
      </c>
      <c r="L407" s="357">
        <f t="shared" ca="1" si="174"/>
        <v>527.57295455081226</v>
      </c>
      <c r="M407" s="359">
        <f t="shared" ca="1" si="190"/>
        <v>1.3194582483203585</v>
      </c>
      <c r="N407" s="357">
        <f t="shared" ca="1" si="191"/>
        <v>75.599388872481086</v>
      </c>
      <c r="O407" s="343"/>
      <c r="P407" s="363">
        <f t="shared" ca="1" si="192"/>
        <v>23</v>
      </c>
      <c r="Q407" s="357">
        <f t="shared" ca="1" si="193"/>
        <v>0</v>
      </c>
      <c r="R407" s="359">
        <f t="shared" ca="1" si="194"/>
        <v>0</v>
      </c>
      <c r="S407" s="360">
        <f t="shared" ca="1" si="195"/>
        <v>8.3819999999999997</v>
      </c>
      <c r="T407" s="357">
        <f t="shared" ca="1" si="175"/>
        <v>82.227419999999995</v>
      </c>
      <c r="U407" s="364">
        <f t="shared" ca="1" si="176"/>
        <v>0</v>
      </c>
      <c r="V407" s="359">
        <f t="shared" ca="1" si="177"/>
        <v>1.1636168767265631</v>
      </c>
      <c r="W407" s="357">
        <f t="shared" ca="1" si="178"/>
        <v>80.728555136208229</v>
      </c>
      <c r="X407" s="343"/>
      <c r="Y407" s="367" t="str">
        <f t="shared" ca="1" si="196"/>
        <v/>
      </c>
      <c r="Z407" s="368" t="str">
        <f t="shared" ca="1" si="197"/>
        <v/>
      </c>
      <c r="AA407" s="369" t="str">
        <f t="shared" ca="1" si="198"/>
        <v/>
      </c>
      <c r="AB407" s="344"/>
      <c r="AC407" s="363" t="e">
        <f t="shared" ca="1" si="199"/>
        <v>#N/A</v>
      </c>
      <c r="AD407" s="376" t="e">
        <f t="shared" ca="1" si="200"/>
        <v>#N/A</v>
      </c>
      <c r="AE407" s="377">
        <f t="shared" ca="1" si="179"/>
        <v>513.96374087047525</v>
      </c>
      <c r="AF407" s="344"/>
      <c r="AG407" s="359">
        <f t="shared" ca="1" si="201"/>
        <v>-19.384567565311613</v>
      </c>
      <c r="AH407" s="357">
        <f t="shared" ca="1" si="202"/>
        <v>-9.879141924599093</v>
      </c>
    </row>
    <row r="408" spans="1:34" x14ac:dyDescent="0.2">
      <c r="A408" s="402">
        <f t="shared" ca="1" si="180"/>
        <v>0.1</v>
      </c>
      <c r="B408" s="357">
        <f t="shared" ca="1" si="181"/>
        <v>4.3999999999999577</v>
      </c>
      <c r="C408" s="342"/>
      <c r="D408" s="359">
        <f t="shared" ca="1" si="182"/>
        <v>-2.3952766977557687</v>
      </c>
      <c r="E408" s="360">
        <f t="shared" ca="1" si="183"/>
        <v>-19.138573727552814</v>
      </c>
      <c r="F408" s="357">
        <f t="shared" ca="1" si="184"/>
        <v>19.287881034053132</v>
      </c>
      <c r="G408" s="359">
        <f t="shared" ca="1" si="185"/>
        <v>39.953878766754258</v>
      </c>
      <c r="H408" s="360">
        <f t="shared" ca="1" si="186"/>
        <v>154.62219362125617</v>
      </c>
      <c r="I408" s="357">
        <f t="shared" ca="1" si="187"/>
        <v>159.70076765237457</v>
      </c>
      <c r="J408" s="359">
        <f t="shared" ca="1" si="188"/>
        <v>123.06405430276698</v>
      </c>
      <c r="K408" s="360">
        <f t="shared" ca="1" si="189"/>
        <v>529.5216531012386</v>
      </c>
      <c r="L408" s="357">
        <f t="shared" ca="1" si="174"/>
        <v>543.63401527544511</v>
      </c>
      <c r="M408" s="359">
        <f t="shared" ca="1" si="190"/>
        <v>1.3179305474045704</v>
      </c>
      <c r="N408" s="357">
        <f t="shared" ca="1" si="191"/>
        <v>75.511858057648155</v>
      </c>
      <c r="O408" s="343"/>
      <c r="P408" s="363">
        <f t="shared" ca="1" si="192"/>
        <v>23</v>
      </c>
      <c r="Q408" s="357">
        <f t="shared" ca="1" si="193"/>
        <v>0</v>
      </c>
      <c r="R408" s="359">
        <f t="shared" ca="1" si="194"/>
        <v>0</v>
      </c>
      <c r="S408" s="360">
        <f t="shared" ca="1" si="195"/>
        <v>8.3819999999999997</v>
      </c>
      <c r="T408" s="357">
        <f t="shared" ca="1" si="175"/>
        <v>82.227419999999995</v>
      </c>
      <c r="U408" s="364">
        <f t="shared" ca="1" si="176"/>
        <v>0</v>
      </c>
      <c r="V408" s="359">
        <f t="shared" ca="1" si="177"/>
        <v>1.161806708309151</v>
      </c>
      <c r="W408" s="357">
        <f t="shared" ca="1" si="178"/>
        <v>78.705985046267372</v>
      </c>
      <c r="X408" s="343"/>
      <c r="Y408" s="367" t="str">
        <f t="shared" ca="1" si="196"/>
        <v/>
      </c>
      <c r="Z408" s="368" t="str">
        <f t="shared" ca="1" si="197"/>
        <v/>
      </c>
      <c r="AA408" s="369" t="str">
        <f t="shared" ca="1" si="198"/>
        <v/>
      </c>
      <c r="AB408" s="344"/>
      <c r="AC408" s="363" t="e">
        <f t="shared" ca="1" si="199"/>
        <v>#N/A</v>
      </c>
      <c r="AD408" s="376" t="e">
        <f t="shared" ca="1" si="200"/>
        <v>#N/A</v>
      </c>
      <c r="AE408" s="377">
        <f t="shared" ca="1" si="179"/>
        <v>529.5216531012386</v>
      </c>
      <c r="AF408" s="344"/>
      <c r="AG408" s="359">
        <f t="shared" ca="1" si="201"/>
        <v>-19.132955310486881</v>
      </c>
      <c r="AH408" s="357">
        <f t="shared" ca="1" si="202"/>
        <v>-9.6311805220959474</v>
      </c>
    </row>
    <row r="409" spans="1:34" x14ac:dyDescent="0.2">
      <c r="A409" s="402">
        <f t="shared" ca="1" si="180"/>
        <v>0.1</v>
      </c>
      <c r="B409" s="357">
        <f t="shared" ca="1" si="181"/>
        <v>4.4999999999999574</v>
      </c>
      <c r="C409" s="342"/>
      <c r="D409" s="359">
        <f t="shared" ca="1" si="182"/>
        <v>-2.3491570175904712</v>
      </c>
      <c r="E409" s="360">
        <f t="shared" ca="1" si="183"/>
        <v>-18.901277804117804</v>
      </c>
      <c r="F409" s="357">
        <f t="shared" ca="1" si="184"/>
        <v>19.046701586409416</v>
      </c>
      <c r="G409" s="359">
        <f t="shared" ca="1" si="185"/>
        <v>39.718963064995208</v>
      </c>
      <c r="H409" s="360">
        <f t="shared" ca="1" si="186"/>
        <v>152.7320658408444</v>
      </c>
      <c r="I409" s="357">
        <f t="shared" ca="1" si="187"/>
        <v>157.81216671401</v>
      </c>
      <c r="J409" s="359">
        <f t="shared" ca="1" si="188"/>
        <v>127.04769639435445</v>
      </c>
      <c r="K409" s="360">
        <f t="shared" ca="1" si="189"/>
        <v>544.88936607434357</v>
      </c>
      <c r="L409" s="357">
        <f t="shared" ca="1" si="174"/>
        <v>559.5047260032859</v>
      </c>
      <c r="M409" s="359">
        <f t="shared" ca="1" si="190"/>
        <v>1.3163753674721752</v>
      </c>
      <c r="N409" s="357">
        <f t="shared" ca="1" si="191"/>
        <v>75.422752811138466</v>
      </c>
      <c r="O409" s="343"/>
      <c r="P409" s="363">
        <f t="shared" ca="1" si="192"/>
        <v>23</v>
      </c>
      <c r="Q409" s="357">
        <f t="shared" ca="1" si="193"/>
        <v>0</v>
      </c>
      <c r="R409" s="359">
        <f t="shared" ca="1" si="194"/>
        <v>0</v>
      </c>
      <c r="S409" s="360">
        <f t="shared" ca="1" si="195"/>
        <v>8.3819999999999997</v>
      </c>
      <c r="T409" s="357">
        <f t="shared" ca="1" si="175"/>
        <v>82.227419999999995</v>
      </c>
      <c r="U409" s="364">
        <f t="shared" ca="1" si="176"/>
        <v>0</v>
      </c>
      <c r="V409" s="359">
        <f t="shared" ca="1" si="177"/>
        <v>1.1600213611231909</v>
      </c>
      <c r="W409" s="357">
        <f t="shared" ca="1" si="178"/>
        <v>76.73735456332038</v>
      </c>
      <c r="X409" s="343"/>
      <c r="Y409" s="367" t="str">
        <f t="shared" ca="1" si="196"/>
        <v/>
      </c>
      <c r="Z409" s="368" t="str">
        <f t="shared" ca="1" si="197"/>
        <v/>
      </c>
      <c r="AA409" s="369" t="str">
        <f t="shared" ca="1" si="198"/>
        <v/>
      </c>
      <c r="AB409" s="344"/>
      <c r="AC409" s="363" t="e">
        <f t="shared" ca="1" si="199"/>
        <v>#N/A</v>
      </c>
      <c r="AD409" s="376" t="e">
        <f t="shared" ca="1" si="200"/>
        <v>#N/A</v>
      </c>
      <c r="AE409" s="377">
        <f t="shared" ca="1" si="179"/>
        <v>544.88936607434357</v>
      </c>
      <c r="AF409" s="344"/>
      <c r="AG409" s="359">
        <f t="shared" ca="1" si="201"/>
        <v>-18.887917793659291</v>
      </c>
      <c r="AH409" s="357">
        <f t="shared" ca="1" si="202"/>
        <v>-9.3898812987672837</v>
      </c>
    </row>
    <row r="410" spans="1:34" x14ac:dyDescent="0.2">
      <c r="A410" s="402">
        <f t="shared" ca="1" si="180"/>
        <v>0.1</v>
      </c>
      <c r="B410" s="357">
        <f t="shared" ca="1" si="181"/>
        <v>4.599999999999957</v>
      </c>
      <c r="C410" s="342"/>
      <c r="D410" s="359">
        <f t="shared" ca="1" si="182"/>
        <v>-2.3041809732392933</v>
      </c>
      <c r="E410" s="360">
        <f t="shared" ca="1" si="183"/>
        <v>-18.670309861013415</v>
      </c>
      <c r="F410" s="357">
        <f t="shared" ca="1" si="184"/>
        <v>18.811956843021218</v>
      </c>
      <c r="G410" s="359">
        <f t="shared" ca="1" si="185"/>
        <v>39.488544967671281</v>
      </c>
      <c r="H410" s="360">
        <f t="shared" ca="1" si="186"/>
        <v>150.86503485474304</v>
      </c>
      <c r="I410" s="357">
        <f t="shared" ca="1" si="187"/>
        <v>155.94743962433827</v>
      </c>
      <c r="J410" s="359">
        <f t="shared" ca="1" si="188"/>
        <v>131.00807179598777</v>
      </c>
      <c r="K410" s="360">
        <f t="shared" ca="1" si="189"/>
        <v>560.06922110912296</v>
      </c>
      <c r="L410" s="357">
        <f t="shared" ca="1" si="174"/>
        <v>575.1874888325392</v>
      </c>
      <c r="M410" s="359">
        <f t="shared" ca="1" si="190"/>
        <v>1.3147921216185454</v>
      </c>
      <c r="N410" s="357">
        <f t="shared" ca="1" si="191"/>
        <v>75.332039505793901</v>
      </c>
      <c r="O410" s="343"/>
      <c r="P410" s="363">
        <f t="shared" ca="1" si="192"/>
        <v>23</v>
      </c>
      <c r="Q410" s="357">
        <f t="shared" ca="1" si="193"/>
        <v>0</v>
      </c>
      <c r="R410" s="359">
        <f t="shared" ca="1" si="194"/>
        <v>0</v>
      </c>
      <c r="S410" s="360">
        <f t="shared" ca="1" si="195"/>
        <v>8.3819999999999997</v>
      </c>
      <c r="T410" s="357">
        <f t="shared" ca="1" si="175"/>
        <v>82.227419999999995</v>
      </c>
      <c r="U410" s="364">
        <f t="shared" ca="1" si="176"/>
        <v>0</v>
      </c>
      <c r="V410" s="359">
        <f t="shared" ca="1" si="177"/>
        <v>1.1582604585636056</v>
      </c>
      <c r="W410" s="357">
        <f t="shared" ca="1" si="178"/>
        <v>74.820843423989572</v>
      </c>
      <c r="X410" s="343"/>
      <c r="Y410" s="367" t="str">
        <f t="shared" ca="1" si="196"/>
        <v/>
      </c>
      <c r="Z410" s="368" t="str">
        <f t="shared" ca="1" si="197"/>
        <v/>
      </c>
      <c r="AA410" s="369" t="str">
        <f t="shared" ca="1" si="198"/>
        <v/>
      </c>
      <c r="AB410" s="344"/>
      <c r="AC410" s="363" t="e">
        <f t="shared" ca="1" si="199"/>
        <v>#N/A</v>
      </c>
      <c r="AD410" s="376" t="e">
        <f t="shared" ca="1" si="200"/>
        <v>#N/A</v>
      </c>
      <c r="AE410" s="377">
        <f t="shared" ca="1" si="179"/>
        <v>560.06922110912296</v>
      </c>
      <c r="AF410" s="344"/>
      <c r="AG410" s="359">
        <f t="shared" ca="1" si="201"/>
        <v>-18.649225438149621</v>
      </c>
      <c r="AH410" s="357">
        <f t="shared" ca="1" si="202"/>
        <v>-9.1550172468766853</v>
      </c>
    </row>
    <row r="411" spans="1:34" x14ac:dyDescent="0.2">
      <c r="A411" s="402">
        <f t="shared" ca="1" si="180"/>
        <v>0.1</v>
      </c>
      <c r="B411" s="357">
        <f t="shared" ca="1" si="181"/>
        <v>4.6999999999999567</v>
      </c>
      <c r="C411" s="342"/>
      <c r="D411" s="359">
        <f t="shared" ca="1" si="182"/>
        <v>-2.2603090598921844</v>
      </c>
      <c r="E411" s="360">
        <f t="shared" ca="1" si="183"/>
        <v>-18.44545631732694</v>
      </c>
      <c r="F411" s="357">
        <f t="shared" ca="1" si="184"/>
        <v>18.583429602757587</v>
      </c>
      <c r="G411" s="359">
        <f t="shared" ca="1" si="185"/>
        <v>39.262514061682062</v>
      </c>
      <c r="H411" s="360">
        <f t="shared" ca="1" si="186"/>
        <v>149.02048922301034</v>
      </c>
      <c r="I411" s="357">
        <f t="shared" ca="1" si="187"/>
        <v>154.10597398773714</v>
      </c>
      <c r="J411" s="359">
        <f t="shared" ca="1" si="188"/>
        <v>134.94562474745544</v>
      </c>
      <c r="K411" s="360">
        <f t="shared" ca="1" si="189"/>
        <v>575.06349731301066</v>
      </c>
      <c r="L411" s="357">
        <f t="shared" ca="1" si="174"/>
        <v>590.68464308829971</v>
      </c>
      <c r="M411" s="359">
        <f t="shared" ca="1" si="190"/>
        <v>1.3131802048858099</v>
      </c>
      <c r="N411" s="357">
        <f t="shared" ca="1" si="191"/>
        <v>75.239683480081638</v>
      </c>
      <c r="O411" s="343"/>
      <c r="P411" s="363">
        <f t="shared" ca="1" si="192"/>
        <v>23</v>
      </c>
      <c r="Q411" s="357">
        <f t="shared" ca="1" si="193"/>
        <v>0</v>
      </c>
      <c r="R411" s="359">
        <f t="shared" ca="1" si="194"/>
        <v>0</v>
      </c>
      <c r="S411" s="360">
        <f t="shared" ca="1" si="195"/>
        <v>8.3819999999999997</v>
      </c>
      <c r="T411" s="357">
        <f t="shared" ca="1" si="175"/>
        <v>82.227419999999995</v>
      </c>
      <c r="U411" s="364">
        <f t="shared" ca="1" si="176"/>
        <v>0</v>
      </c>
      <c r="V411" s="359">
        <f t="shared" ca="1" si="177"/>
        <v>1.1565236344908063</v>
      </c>
      <c r="W411" s="357">
        <f t="shared" ca="1" si="178"/>
        <v>72.95470961966582</v>
      </c>
      <c r="X411" s="343"/>
      <c r="Y411" s="367" t="str">
        <f t="shared" ca="1" si="196"/>
        <v/>
      </c>
      <c r="Z411" s="368" t="str">
        <f t="shared" ca="1" si="197"/>
        <v/>
      </c>
      <c r="AA411" s="369" t="str">
        <f t="shared" ca="1" si="198"/>
        <v/>
      </c>
      <c r="AB411" s="344"/>
      <c r="AC411" s="363" t="e">
        <f t="shared" ca="1" si="199"/>
        <v>#N/A</v>
      </c>
      <c r="AD411" s="376" t="e">
        <f t="shared" ca="1" si="200"/>
        <v>#N/A</v>
      </c>
      <c r="AE411" s="377">
        <f t="shared" ca="1" si="179"/>
        <v>575.06349731301066</v>
      </c>
      <c r="AF411" s="344"/>
      <c r="AG411" s="359">
        <f t="shared" ca="1" si="201"/>
        <v>-18.41665841450164</v>
      </c>
      <c r="AH411" s="357">
        <f t="shared" ca="1" si="202"/>
        <v>-8.9263712030529199</v>
      </c>
    </row>
    <row r="412" spans="1:34" x14ac:dyDescent="0.2">
      <c r="A412" s="402">
        <f t="shared" ca="1" si="180"/>
        <v>0.1</v>
      </c>
      <c r="B412" s="357">
        <f t="shared" ca="1" si="181"/>
        <v>4.7999999999999563</v>
      </c>
      <c r="C412" s="342"/>
      <c r="D412" s="359">
        <f t="shared" ca="1" si="182"/>
        <v>-2.217503464220659</v>
      </c>
      <c r="E412" s="360">
        <f t="shared" ca="1" si="183"/>
        <v>-18.226512772787167</v>
      </c>
      <c r="F412" s="357">
        <f t="shared" ca="1" si="184"/>
        <v>18.36091199996352</v>
      </c>
      <c r="G412" s="359">
        <f t="shared" ca="1" si="185"/>
        <v>39.040763715259999</v>
      </c>
      <c r="H412" s="360">
        <f t="shared" ca="1" si="186"/>
        <v>147.19783794573164</v>
      </c>
      <c r="I412" s="357">
        <f t="shared" ca="1" si="187"/>
        <v>152.28717847333252</v>
      </c>
      <c r="J412" s="359">
        <f t="shared" ca="1" si="188"/>
        <v>138.86078863630254</v>
      </c>
      <c r="K412" s="360">
        <f t="shared" ca="1" si="189"/>
        <v>589.87441367144777</v>
      </c>
      <c r="L412" s="357">
        <f t="shared" ca="1" si="174"/>
        <v>605.99846742787247</v>
      </c>
      <c r="M412" s="359">
        <f t="shared" ca="1" si="190"/>
        <v>1.3115389936090458</v>
      </c>
      <c r="N412" s="357">
        <f t="shared" ca="1" si="191"/>
        <v>75.145649000633767</v>
      </c>
      <c r="O412" s="343"/>
      <c r="P412" s="363">
        <f t="shared" ca="1" si="192"/>
        <v>23</v>
      </c>
      <c r="Q412" s="357">
        <f t="shared" ca="1" si="193"/>
        <v>0</v>
      </c>
      <c r="R412" s="359">
        <f t="shared" ca="1" si="194"/>
        <v>0</v>
      </c>
      <c r="S412" s="360">
        <f t="shared" ca="1" si="195"/>
        <v>8.3819999999999997</v>
      </c>
      <c r="T412" s="357">
        <f t="shared" ca="1" si="175"/>
        <v>82.227419999999995</v>
      </c>
      <c r="U412" s="364">
        <f t="shared" ca="1" si="176"/>
        <v>0</v>
      </c>
      <c r="V412" s="359">
        <f t="shared" ca="1" si="177"/>
        <v>1.1548105328638889</v>
      </c>
      <c r="W412" s="357">
        <f t="shared" ca="1" si="178"/>
        <v>71.137285391820114</v>
      </c>
      <c r="X412" s="343"/>
      <c r="Y412" s="367" t="str">
        <f t="shared" ca="1" si="196"/>
        <v/>
      </c>
      <c r="Z412" s="368" t="str">
        <f t="shared" ca="1" si="197"/>
        <v/>
      </c>
      <c r="AA412" s="369" t="str">
        <f t="shared" ca="1" si="198"/>
        <v/>
      </c>
      <c r="AB412" s="344"/>
      <c r="AC412" s="363" t="e">
        <f t="shared" ca="1" si="199"/>
        <v>#N/A</v>
      </c>
      <c r="AD412" s="376" t="e">
        <f t="shared" ca="1" si="200"/>
        <v>#N/A</v>
      </c>
      <c r="AE412" s="377">
        <f t="shared" ca="1" si="179"/>
        <v>589.87441367144777</v>
      </c>
      <c r="AF412" s="344"/>
      <c r="AG412" s="359">
        <f t="shared" ca="1" si="201"/>
        <v>-18.190006127854872</v>
      </c>
      <c r="AH412" s="357">
        <f t="shared" ca="1" si="202"/>
        <v>-8.7037353399744486</v>
      </c>
    </row>
    <row r="413" spans="1:34" x14ac:dyDescent="0.2">
      <c r="A413" s="402">
        <f t="shared" ca="1" si="180"/>
        <v>0.1</v>
      </c>
      <c r="B413" s="357">
        <f t="shared" ca="1" si="181"/>
        <v>4.8999999999999559</v>
      </c>
      <c r="C413" s="342"/>
      <c r="D413" s="359">
        <f t="shared" ca="1" si="182"/>
        <v>-2.1757279778090539</v>
      </c>
      <c r="E413" s="360">
        <f t="shared" ca="1" si="183"/>
        <v>-18.013283537876834</v>
      </c>
      <c r="F413" s="357">
        <f t="shared" ca="1" si="184"/>
        <v>18.144205026657012</v>
      </c>
      <c r="G413" s="359">
        <f t="shared" ca="1" si="185"/>
        <v>38.823190917479096</v>
      </c>
      <c r="H413" s="360">
        <f t="shared" ca="1" si="186"/>
        <v>145.39650959194395</v>
      </c>
      <c r="I413" s="357">
        <f t="shared" ca="1" si="187"/>
        <v>150.49048194000602</v>
      </c>
      <c r="J413" s="359">
        <f t="shared" ca="1" si="188"/>
        <v>142.75398636793949</v>
      </c>
      <c r="K413" s="360">
        <f t="shared" ca="1" si="189"/>
        <v>604.5041310483316</v>
      </c>
      <c r="L413" s="357">
        <f t="shared" ca="1" si="174"/>
        <v>621.13118185970689</v>
      </c>
      <c r="M413" s="359">
        <f t="shared" ca="1" si="190"/>
        <v>1.3098678447338421</v>
      </c>
      <c r="N413" s="357">
        <f t="shared" ca="1" si="191"/>
        <v>75.049899223146568</v>
      </c>
      <c r="O413" s="343"/>
      <c r="P413" s="363">
        <f t="shared" ca="1" si="192"/>
        <v>23</v>
      </c>
      <c r="Q413" s="357">
        <f t="shared" ca="1" si="193"/>
        <v>0</v>
      </c>
      <c r="R413" s="359">
        <f t="shared" ca="1" si="194"/>
        <v>0</v>
      </c>
      <c r="S413" s="360">
        <f t="shared" ca="1" si="195"/>
        <v>8.3819999999999997</v>
      </c>
      <c r="T413" s="357">
        <f t="shared" ca="1" si="175"/>
        <v>82.227419999999995</v>
      </c>
      <c r="U413" s="364">
        <f t="shared" ca="1" si="176"/>
        <v>0</v>
      </c>
      <c r="V413" s="359">
        <f t="shared" ca="1" si="177"/>
        <v>1.1531208073900365</v>
      </c>
      <c r="W413" s="357">
        <f t="shared" ca="1" si="178"/>
        <v>69.366973465847295</v>
      </c>
      <c r="X413" s="343"/>
      <c r="Y413" s="367" t="str">
        <f t="shared" ca="1" si="196"/>
        <v/>
      </c>
      <c r="Z413" s="368" t="str">
        <f t="shared" ca="1" si="197"/>
        <v/>
      </c>
      <c r="AA413" s="369" t="str">
        <f t="shared" ca="1" si="198"/>
        <v/>
      </c>
      <c r="AB413" s="344"/>
      <c r="AC413" s="363" t="e">
        <f t="shared" ca="1" si="199"/>
        <v>#N/A</v>
      </c>
      <c r="AD413" s="376" t="e">
        <f t="shared" ca="1" si="200"/>
        <v>#N/A</v>
      </c>
      <c r="AE413" s="377">
        <f t="shared" ca="1" si="179"/>
        <v>604.5041310483316</v>
      </c>
      <c r="AF413" s="344"/>
      <c r="AG413" s="359">
        <f t="shared" ca="1" si="201"/>
        <v>-17.969066735637384</v>
      </c>
      <c r="AH413" s="357">
        <f t="shared" ca="1" si="202"/>
        <v>-8.4869106885970069</v>
      </c>
    </row>
    <row r="414" spans="1:34" x14ac:dyDescent="0.2">
      <c r="A414" s="402">
        <f t="shared" ca="1" si="180"/>
        <v>0.1</v>
      </c>
      <c r="B414" s="357">
        <f t="shared" ca="1" si="181"/>
        <v>4.9999999999999556</v>
      </c>
      <c r="C414" s="342"/>
      <c r="D414" s="359">
        <f t="shared" ca="1" si="182"/>
        <v>-2.13494791574881</v>
      </c>
      <c r="E414" s="360">
        <f t="shared" ca="1" si="183"/>
        <v>-17.805581191929203</v>
      </c>
      <c r="F414" s="357">
        <f t="shared" ca="1" si="184"/>
        <v>17.933118083181832</v>
      </c>
      <c r="G414" s="359">
        <f t="shared" ca="1" si="185"/>
        <v>38.609696125904215</v>
      </c>
      <c r="H414" s="360">
        <f t="shared" ca="1" si="186"/>
        <v>143.61595147275102</v>
      </c>
      <c r="I414" s="357">
        <f t="shared" ca="1" si="187"/>
        <v>148.71533260682384</v>
      </c>
      <c r="J414" s="359">
        <f t="shared" ca="1" si="188"/>
        <v>146.62563072010866</v>
      </c>
      <c r="K414" s="360">
        <f t="shared" ca="1" si="189"/>
        <v>618.95475410156632</v>
      </c>
      <c r="L414" s="357">
        <f t="shared" ca="1" si="174"/>
        <v>636.08494967967931</v>
      </c>
      <c r="M414" s="359">
        <f t="shared" ca="1" si="190"/>
        <v>1.3081660951038219</v>
      </c>
      <c r="N414" s="357">
        <f t="shared" ca="1" si="191"/>
        <v>74.95239615155846</v>
      </c>
      <c r="O414" s="343"/>
      <c r="P414" s="363">
        <f t="shared" ca="1" si="192"/>
        <v>23</v>
      </c>
      <c r="Q414" s="357">
        <f t="shared" ca="1" si="193"/>
        <v>0</v>
      </c>
      <c r="R414" s="359">
        <f t="shared" ca="1" si="194"/>
        <v>0</v>
      </c>
      <c r="S414" s="360">
        <f t="shared" ca="1" si="195"/>
        <v>8.3819999999999997</v>
      </c>
      <c r="T414" s="357">
        <f t="shared" ca="1" si="175"/>
        <v>82.227419999999995</v>
      </c>
      <c r="U414" s="364">
        <f t="shared" ca="1" si="176"/>
        <v>0</v>
      </c>
      <c r="V414" s="359">
        <f t="shared" ca="1" si="177"/>
        <v>1.1514541211892817</v>
      </c>
      <c r="W414" s="357">
        <f t="shared" ca="1" si="178"/>
        <v>67.642243507297721</v>
      </c>
      <c r="X414" s="343"/>
      <c r="Y414" s="367" t="str">
        <f t="shared" ca="1" si="196"/>
        <v/>
      </c>
      <c r="Z414" s="368" t="str">
        <f t="shared" ca="1" si="197"/>
        <v/>
      </c>
      <c r="AA414" s="369" t="str">
        <f t="shared" ca="1" si="198"/>
        <v/>
      </c>
      <c r="AB414" s="344"/>
      <c r="AC414" s="363">
        <f t="shared" ca="1" si="199"/>
        <v>4.9999999999999556</v>
      </c>
      <c r="AD414" s="376">
        <f t="shared" ca="1" si="200"/>
        <v>146.62563072010866</v>
      </c>
      <c r="AE414" s="377">
        <f t="shared" ca="1" si="179"/>
        <v>618.95475410156632</v>
      </c>
      <c r="AF414" s="344"/>
      <c r="AG414" s="359">
        <f t="shared" ca="1" si="201"/>
        <v>-17.753646693480409</v>
      </c>
      <c r="AH414" s="357">
        <f t="shared" ca="1" si="202"/>
        <v>-8.2757066888388575</v>
      </c>
    </row>
    <row r="415" spans="1:34" x14ac:dyDescent="0.2">
      <c r="A415" s="402">
        <f t="shared" ca="1" si="180"/>
        <v>0.1</v>
      </c>
      <c r="B415" s="357">
        <f t="shared" ca="1" si="181"/>
        <v>5.0999999999999552</v>
      </c>
      <c r="C415" s="342"/>
      <c r="D415" s="359">
        <f t="shared" ca="1" si="182"/>
        <v>-2.0951300400467661</v>
      </c>
      <c r="E415" s="360">
        <f t="shared" ca="1" si="183"/>
        <v>-17.603226167314531</v>
      </c>
      <c r="F415" s="357">
        <f t="shared" ca="1" si="184"/>
        <v>17.72746855538978</v>
      </c>
      <c r="G415" s="359">
        <f t="shared" ca="1" si="185"/>
        <v>38.400183121899538</v>
      </c>
      <c r="H415" s="360">
        <f t="shared" ca="1" si="186"/>
        <v>141.85562885601956</v>
      </c>
      <c r="I415" s="357">
        <f t="shared" ca="1" si="187"/>
        <v>146.96119726625864</v>
      </c>
      <c r="J415" s="359">
        <f t="shared" ca="1" si="188"/>
        <v>150.47612468249883</v>
      </c>
      <c r="K415" s="360">
        <f t="shared" ca="1" si="189"/>
        <v>633.2283331180048</v>
      </c>
      <c r="L415" s="357">
        <f t="shared" ca="1" si="174"/>
        <v>650.86187932837936</v>
      </c>
      <c r="M415" s="359">
        <f t="shared" ca="1" si="190"/>
        <v>1.3064330607166343</v>
      </c>
      <c r="N415" s="357">
        <f t="shared" ca="1" si="191"/>
        <v>74.853100595421566</v>
      </c>
      <c r="O415" s="343"/>
      <c r="P415" s="363">
        <f t="shared" ca="1" si="192"/>
        <v>23</v>
      </c>
      <c r="Q415" s="357">
        <f t="shared" ca="1" si="193"/>
        <v>0</v>
      </c>
      <c r="R415" s="359">
        <f t="shared" ca="1" si="194"/>
        <v>0</v>
      </c>
      <c r="S415" s="360">
        <f t="shared" ca="1" si="195"/>
        <v>8.3819999999999997</v>
      </c>
      <c r="T415" s="357">
        <f t="shared" ca="1" si="175"/>
        <v>82.227419999999995</v>
      </c>
      <c r="U415" s="364">
        <f t="shared" ca="1" si="176"/>
        <v>0</v>
      </c>
      <c r="V415" s="359">
        <f t="shared" ca="1" si="177"/>
        <v>1.1498101464738328</v>
      </c>
      <c r="W415" s="357">
        <f t="shared" ca="1" si="178"/>
        <v>65.961628785573822</v>
      </c>
      <c r="X415" s="343"/>
      <c r="Y415" s="367" t="str">
        <f t="shared" ca="1" si="196"/>
        <v/>
      </c>
      <c r="Z415" s="368" t="str">
        <f t="shared" ca="1" si="197"/>
        <v/>
      </c>
      <c r="AA415" s="369" t="str">
        <f t="shared" ca="1" si="198"/>
        <v/>
      </c>
      <c r="AB415" s="344"/>
      <c r="AC415" s="363" t="e">
        <f t="shared" ca="1" si="199"/>
        <v>#N/A</v>
      </c>
      <c r="AD415" s="376" t="e">
        <f t="shared" ca="1" si="200"/>
        <v>#N/A</v>
      </c>
      <c r="AE415" s="377">
        <f t="shared" ca="1" si="179"/>
        <v>633.2283331180048</v>
      </c>
      <c r="AF415" s="344"/>
      <c r="AG415" s="359">
        <f t="shared" ca="1" si="201"/>
        <v>-17.543560327414752</v>
      </c>
      <c r="AH415" s="357">
        <f t="shared" ca="1" si="202"/>
        <v>-8.0699407667976288</v>
      </c>
    </row>
    <row r="416" spans="1:34" x14ac:dyDescent="0.2">
      <c r="A416" s="402">
        <f t="shared" ca="1" si="180"/>
        <v>0.1</v>
      </c>
      <c r="B416" s="357">
        <f t="shared" ca="1" si="181"/>
        <v>5.1999999999999549</v>
      </c>
      <c r="C416" s="342"/>
      <c r="D416" s="359">
        <f t="shared" ca="1" si="182"/>
        <v>-2.0562424875249095</v>
      </c>
      <c r="E416" s="360">
        <f t="shared" ca="1" si="183"/>
        <v>-17.406046357965472</v>
      </c>
      <c r="F416" s="357">
        <f t="shared" ca="1" si="184"/>
        <v>17.527081416572059</v>
      </c>
      <c r="G416" s="359">
        <f t="shared" ca="1" si="185"/>
        <v>38.194558873147045</v>
      </c>
      <c r="H416" s="360">
        <f t="shared" ca="1" si="186"/>
        <v>140.11502422022301</v>
      </c>
      <c r="I416" s="357">
        <f t="shared" ca="1" si="187"/>
        <v>145.22756053775734</v>
      </c>
      <c r="J416" s="359">
        <f t="shared" ca="1" si="188"/>
        <v>154.30586178225116</v>
      </c>
      <c r="K416" s="360">
        <f t="shared" ca="1" si="189"/>
        <v>647.32686577181698</v>
      </c>
      <c r="L416" s="357">
        <f t="shared" ca="1" si="174"/>
        <v>665.46402617296087</v>
      </c>
      <c r="M416" s="359">
        <f t="shared" ca="1" si="190"/>
        <v>1.3046680359468446</v>
      </c>
      <c r="N416" s="357">
        <f t="shared" ca="1" si="191"/>
        <v>74.751972125376568</v>
      </c>
      <c r="O416" s="343"/>
      <c r="P416" s="363">
        <f t="shared" ca="1" si="192"/>
        <v>23</v>
      </c>
      <c r="Q416" s="357">
        <f t="shared" ca="1" si="193"/>
        <v>0</v>
      </c>
      <c r="R416" s="359">
        <f t="shared" ca="1" si="194"/>
        <v>0</v>
      </c>
      <c r="S416" s="360">
        <f t="shared" ca="1" si="195"/>
        <v>8.3819999999999997</v>
      </c>
      <c r="T416" s="357">
        <f t="shared" ca="1" si="175"/>
        <v>82.227419999999995</v>
      </c>
      <c r="U416" s="364">
        <f t="shared" ca="1" si="176"/>
        <v>0</v>
      </c>
      <c r="V416" s="359">
        <f t="shared" ca="1" si="177"/>
        <v>1.1481885642412109</v>
      </c>
      <c r="W416" s="357">
        <f t="shared" ca="1" si="178"/>
        <v>64.323723031289788</v>
      </c>
      <c r="X416" s="343"/>
      <c r="Y416" s="367" t="str">
        <f t="shared" ca="1" si="196"/>
        <v/>
      </c>
      <c r="Z416" s="368" t="str">
        <f t="shared" ca="1" si="197"/>
        <v/>
      </c>
      <c r="AA416" s="369" t="str">
        <f t="shared" ca="1" si="198"/>
        <v/>
      </c>
      <c r="AB416" s="344"/>
      <c r="AC416" s="363" t="e">
        <f t="shared" ca="1" si="199"/>
        <v>#N/A</v>
      </c>
      <c r="AD416" s="376" t="e">
        <f t="shared" ca="1" si="200"/>
        <v>#N/A</v>
      </c>
      <c r="AE416" s="377">
        <f t="shared" ca="1" si="179"/>
        <v>647.32686577181698</v>
      </c>
      <c r="AF416" s="344"/>
      <c r="AG416" s="359">
        <f t="shared" ca="1" si="201"/>
        <v>-17.338629430554022</v>
      </c>
      <c r="AH416" s="357">
        <f t="shared" ca="1" si="202"/>
        <v>-7.8694379367184233</v>
      </c>
    </row>
    <row r="417" spans="1:34" x14ac:dyDescent="0.2">
      <c r="A417" s="402">
        <f t="shared" ca="1" si="180"/>
        <v>0.1</v>
      </c>
      <c r="B417" s="357">
        <f t="shared" ca="1" si="181"/>
        <v>5.2999999999999545</v>
      </c>
      <c r="C417" s="342"/>
      <c r="D417" s="359">
        <f t="shared" ca="1" si="182"/>
        <v>-2.0182547019132531</v>
      </c>
      <c r="E417" s="360">
        <f t="shared" ca="1" si="183"/>
        <v>-17.213876750621942</v>
      </c>
      <c r="F417" s="357">
        <f t="shared" ca="1" si="184"/>
        <v>17.331788852492913</v>
      </c>
      <c r="G417" s="359">
        <f t="shared" ca="1" si="185"/>
        <v>37.992733402955722</v>
      </c>
      <c r="H417" s="360">
        <f t="shared" ca="1" si="186"/>
        <v>138.3936365451608</v>
      </c>
      <c r="I417" s="357">
        <f t="shared" ca="1" si="187"/>
        <v>143.51392415937255</v>
      </c>
      <c r="J417" s="359">
        <f t="shared" ca="1" si="188"/>
        <v>158.1152263960563</v>
      </c>
      <c r="K417" s="360">
        <f t="shared" ca="1" si="189"/>
        <v>661.25229881008613</v>
      </c>
      <c r="L417" s="357">
        <f t="shared" ca="1" si="174"/>
        <v>679.89339421699015</v>
      </c>
      <c r="M417" s="359">
        <f t="shared" ca="1" si="190"/>
        <v>1.3028702927340634</v>
      </c>
      <c r="N417" s="357">
        <f t="shared" ca="1" si="191"/>
        <v>74.648969026635925</v>
      </c>
      <c r="O417" s="343"/>
      <c r="P417" s="363">
        <f t="shared" ca="1" si="192"/>
        <v>23</v>
      </c>
      <c r="Q417" s="357">
        <f t="shared" ca="1" si="193"/>
        <v>0</v>
      </c>
      <c r="R417" s="359">
        <f t="shared" ca="1" si="194"/>
        <v>0</v>
      </c>
      <c r="S417" s="360">
        <f t="shared" ca="1" si="195"/>
        <v>8.3819999999999997</v>
      </c>
      <c r="T417" s="357">
        <f t="shared" ca="1" si="175"/>
        <v>82.227419999999995</v>
      </c>
      <c r="U417" s="364">
        <f t="shared" ca="1" si="176"/>
        <v>0</v>
      </c>
      <c r="V417" s="359">
        <f t="shared" ca="1" si="177"/>
        <v>1.1465890639805016</v>
      </c>
      <c r="W417" s="357">
        <f t="shared" ca="1" si="178"/>
        <v>62.727177474519713</v>
      </c>
      <c r="X417" s="343"/>
      <c r="Y417" s="367" t="str">
        <f t="shared" ca="1" si="196"/>
        <v/>
      </c>
      <c r="Z417" s="368" t="str">
        <f t="shared" ca="1" si="197"/>
        <v/>
      </c>
      <c r="AA417" s="369" t="str">
        <f t="shared" ca="1" si="198"/>
        <v/>
      </c>
      <c r="AB417" s="344"/>
      <c r="AC417" s="363" t="e">
        <f t="shared" ca="1" si="199"/>
        <v>#N/A</v>
      </c>
      <c r="AD417" s="376" t="e">
        <f t="shared" ca="1" si="200"/>
        <v>#N/A</v>
      </c>
      <c r="AE417" s="377">
        <f t="shared" ca="1" si="179"/>
        <v>661.25229881008613</v>
      </c>
      <c r="AF417" s="344"/>
      <c r="AG417" s="359">
        <f t="shared" ca="1" si="201"/>
        <v>-17.138682882602353</v>
      </c>
      <c r="AH417" s="357">
        <f t="shared" ca="1" si="202"/>
        <v>-7.6740304260665466</v>
      </c>
    </row>
    <row r="418" spans="1:34" x14ac:dyDescent="0.2">
      <c r="A418" s="402">
        <f t="shared" ca="1" si="180"/>
        <v>0.1</v>
      </c>
      <c r="B418" s="357">
        <f t="shared" ca="1" si="181"/>
        <v>5.3999999999999542</v>
      </c>
      <c r="C418" s="342"/>
      <c r="D418" s="359">
        <f t="shared" ca="1" si="182"/>
        <v>-1.9811373698597672</v>
      </c>
      <c r="E418" s="360">
        <f t="shared" ca="1" si="183"/>
        <v>-17.026559077296564</v>
      </c>
      <c r="F418" s="357">
        <f t="shared" ca="1" si="184"/>
        <v>17.141429908001399</v>
      </c>
      <c r="G418" s="359">
        <f t="shared" ca="1" si="185"/>
        <v>37.794619665969748</v>
      </c>
      <c r="H418" s="360">
        <f t="shared" ca="1" si="186"/>
        <v>136.69098063743115</v>
      </c>
      <c r="I418" s="357">
        <f t="shared" ca="1" si="187"/>
        <v>141.8198063153306</v>
      </c>
      <c r="J418" s="359">
        <f t="shared" ca="1" si="188"/>
        <v>161.90459404950258</v>
      </c>
      <c r="K418" s="360">
        <f t="shared" ca="1" si="189"/>
        <v>675.00652966921575</v>
      </c>
      <c r="L418" s="357">
        <f t="shared" ca="1" si="174"/>
        <v>694.1519377415957</v>
      </c>
      <c r="M418" s="359">
        <f t="shared" ca="1" si="190"/>
        <v>1.3010390797345615</v>
      </c>
      <c r="N418" s="357">
        <f t="shared" ca="1" si="191"/>
        <v>74.544048250374971</v>
      </c>
      <c r="O418" s="343"/>
      <c r="P418" s="363">
        <f t="shared" ca="1" si="192"/>
        <v>23</v>
      </c>
      <c r="Q418" s="357">
        <f t="shared" ca="1" si="193"/>
        <v>0</v>
      </c>
      <c r="R418" s="359">
        <f t="shared" ca="1" si="194"/>
        <v>0</v>
      </c>
      <c r="S418" s="360">
        <f t="shared" ca="1" si="195"/>
        <v>8.3819999999999997</v>
      </c>
      <c r="T418" s="357">
        <f t="shared" ca="1" si="175"/>
        <v>82.227419999999995</v>
      </c>
      <c r="U418" s="364">
        <f t="shared" ca="1" si="176"/>
        <v>0</v>
      </c>
      <c r="V418" s="359">
        <f t="shared" ca="1" si="177"/>
        <v>1.1450113433910467</v>
      </c>
      <c r="W418" s="357">
        <f t="shared" ca="1" si="178"/>
        <v>61.170698052101699</v>
      </c>
      <c r="X418" s="343"/>
      <c r="Y418" s="367" t="str">
        <f t="shared" ca="1" si="196"/>
        <v/>
      </c>
      <c r="Z418" s="368" t="str">
        <f t="shared" ca="1" si="197"/>
        <v/>
      </c>
      <c r="AA418" s="369" t="str">
        <f t="shared" ca="1" si="198"/>
        <v/>
      </c>
      <c r="AB418" s="344"/>
      <c r="AC418" s="363" t="e">
        <f t="shared" ca="1" si="199"/>
        <v>#N/A</v>
      </c>
      <c r="AD418" s="376" t="e">
        <f t="shared" ca="1" si="200"/>
        <v>#N/A</v>
      </c>
      <c r="AE418" s="377">
        <f t="shared" ca="1" si="179"/>
        <v>675.00652966921575</v>
      </c>
      <c r="AF418" s="344"/>
      <c r="AG418" s="359">
        <f t="shared" ca="1" si="201"/>
        <v>-16.943556290645823</v>
      </c>
      <c r="AH418" s="357">
        <f t="shared" ca="1" si="202"/>
        <v>-7.4835573221808298</v>
      </c>
    </row>
    <row r="419" spans="1:34" x14ac:dyDescent="0.2">
      <c r="A419" s="402">
        <f t="shared" ca="1" si="180"/>
        <v>0.1</v>
      </c>
      <c r="B419" s="357">
        <f t="shared" ca="1" si="181"/>
        <v>5.4999999999999538</v>
      </c>
      <c r="C419" s="342"/>
      <c r="D419" s="359">
        <f t="shared" ca="1" si="182"/>
        <v>-1.944862360601707</v>
      </c>
      <c r="E419" s="360">
        <f t="shared" ca="1" si="183"/>
        <v>-16.843941487572192</v>
      </c>
      <c r="F419" s="357">
        <f t="shared" ca="1" si="184"/>
        <v>16.955850153809479</v>
      </c>
      <c r="G419" s="359">
        <f t="shared" ca="1" si="185"/>
        <v>37.600133429909576</v>
      </c>
      <c r="H419" s="360">
        <f t="shared" ca="1" si="186"/>
        <v>135.00658648867395</v>
      </c>
      <c r="I419" s="357">
        <f t="shared" ca="1" si="187"/>
        <v>140.14474099755154</v>
      </c>
      <c r="J419" s="359">
        <f t="shared" ca="1" si="188"/>
        <v>165.67433170429655</v>
      </c>
      <c r="K419" s="360">
        <f t="shared" ca="1" si="189"/>
        <v>688.59140802552099</v>
      </c>
      <c r="L419" s="357">
        <f t="shared" ca="1" si="174"/>
        <v>708.24156288107997</v>
      </c>
      <c r="M419" s="359">
        <f t="shared" ca="1" si="190"/>
        <v>1.29917362143452</v>
      </c>
      <c r="N419" s="357">
        <f t="shared" ca="1" si="191"/>
        <v>74.437165362924944</v>
      </c>
      <c r="O419" s="343"/>
      <c r="P419" s="363">
        <f t="shared" ca="1" si="192"/>
        <v>23</v>
      </c>
      <c r="Q419" s="357">
        <f t="shared" ca="1" si="193"/>
        <v>0</v>
      </c>
      <c r="R419" s="359">
        <f t="shared" ca="1" si="194"/>
        <v>0</v>
      </c>
      <c r="S419" s="360">
        <f t="shared" ca="1" si="195"/>
        <v>8.3819999999999997</v>
      </c>
      <c r="T419" s="357">
        <f t="shared" ca="1" si="175"/>
        <v>82.227419999999995</v>
      </c>
      <c r="U419" s="364">
        <f t="shared" ca="1" si="176"/>
        <v>0</v>
      </c>
      <c r="V419" s="359">
        <f t="shared" ca="1" si="177"/>
        <v>1.1434551081129629</v>
      </c>
      <c r="W419" s="357">
        <f t="shared" ca="1" si="178"/>
        <v>59.653042773032823</v>
      </c>
      <c r="X419" s="343"/>
      <c r="Y419" s="367" t="str">
        <f t="shared" ca="1" si="196"/>
        <v/>
      </c>
      <c r="Z419" s="368" t="str">
        <f t="shared" ca="1" si="197"/>
        <v/>
      </c>
      <c r="AA419" s="369" t="str">
        <f t="shared" ca="1" si="198"/>
        <v/>
      </c>
      <c r="AB419" s="344"/>
      <c r="AC419" s="363" t="e">
        <f t="shared" ca="1" si="199"/>
        <v>#N/A</v>
      </c>
      <c r="AD419" s="376" t="e">
        <f t="shared" ca="1" si="200"/>
        <v>#N/A</v>
      </c>
      <c r="AE419" s="377">
        <f t="shared" ca="1" si="179"/>
        <v>688.59140802552099</v>
      </c>
      <c r="AF419" s="344"/>
      <c r="AG419" s="359">
        <f t="shared" ca="1" si="201"/>
        <v>-16.753091649798144</v>
      </c>
      <c r="AH419" s="357">
        <f t="shared" ca="1" si="202"/>
        <v>-7.2978642390958841</v>
      </c>
    </row>
    <row r="420" spans="1:34" x14ac:dyDescent="0.2">
      <c r="A420" s="402">
        <f t="shared" ca="1" si="180"/>
        <v>0.1</v>
      </c>
      <c r="B420" s="357">
        <f t="shared" ca="1" si="181"/>
        <v>5.5999999999999535</v>
      </c>
      <c r="C420" s="342"/>
      <c r="D420" s="359">
        <f t="shared" ca="1" si="182"/>
        <v>-1.9094026690614121</v>
      </c>
      <c r="E420" s="360">
        <f t="shared" ca="1" si="183"/>
        <v>-16.665878239444968</v>
      </c>
      <c r="F420" s="357">
        <f t="shared" ca="1" si="184"/>
        <v>16.774901372128067</v>
      </c>
      <c r="G420" s="359">
        <f t="shared" ca="1" si="185"/>
        <v>37.409193163003437</v>
      </c>
      <c r="H420" s="360">
        <f t="shared" ca="1" si="186"/>
        <v>133.33999866472945</v>
      </c>
      <c r="I420" s="357">
        <f t="shared" ca="1" si="187"/>
        <v>138.48827739926926</v>
      </c>
      <c r="J420" s="359">
        <f t="shared" ca="1" si="188"/>
        <v>169.42479803394221</v>
      </c>
      <c r="K420" s="360">
        <f t="shared" ca="1" si="189"/>
        <v>702.00873728319118</v>
      </c>
      <c r="L420" s="357">
        <f t="shared" ca="1" si="174"/>
        <v>722.16412913601755</v>
      </c>
      <c r="M420" s="359">
        <f t="shared" ca="1" si="190"/>
        <v>1.2972731172229599</v>
      </c>
      <c r="N420" s="357">
        <f t="shared" ca="1" si="191"/>
        <v>74.328274492655709</v>
      </c>
      <c r="O420" s="343"/>
      <c r="P420" s="363">
        <f t="shared" ca="1" si="192"/>
        <v>23</v>
      </c>
      <c r="Q420" s="357">
        <f t="shared" ca="1" si="193"/>
        <v>0</v>
      </c>
      <c r="R420" s="359">
        <f t="shared" ca="1" si="194"/>
        <v>0</v>
      </c>
      <c r="S420" s="360">
        <f t="shared" ca="1" si="195"/>
        <v>8.3819999999999997</v>
      </c>
      <c r="T420" s="357">
        <f t="shared" ca="1" si="175"/>
        <v>82.227419999999995</v>
      </c>
      <c r="U420" s="364">
        <f t="shared" ca="1" si="176"/>
        <v>0</v>
      </c>
      <c r="V420" s="359">
        <f t="shared" ca="1" si="177"/>
        <v>1.1419200714688942</v>
      </c>
      <c r="W420" s="357">
        <f t="shared" ca="1" si="178"/>
        <v>58.173019231784437</v>
      </c>
      <c r="X420" s="343"/>
      <c r="Y420" s="367" t="str">
        <f t="shared" ca="1" si="196"/>
        <v/>
      </c>
      <c r="Z420" s="368" t="str">
        <f t="shared" ca="1" si="197"/>
        <v/>
      </c>
      <c r="AA420" s="369" t="str">
        <f t="shared" ca="1" si="198"/>
        <v/>
      </c>
      <c r="AB420" s="344"/>
      <c r="AC420" s="363" t="e">
        <f t="shared" ca="1" si="199"/>
        <v>#N/A</v>
      </c>
      <c r="AD420" s="376" t="e">
        <f t="shared" ca="1" si="200"/>
        <v>#N/A</v>
      </c>
      <c r="AE420" s="377">
        <f t="shared" ca="1" si="179"/>
        <v>702.00873728319118</v>
      </c>
      <c r="AF420" s="344"/>
      <c r="AG420" s="359">
        <f t="shared" ca="1" si="201"/>
        <v>-16.567137022373423</v>
      </c>
      <c r="AH420" s="357">
        <f t="shared" ca="1" si="202"/>
        <v>-7.1168030032251046</v>
      </c>
    </row>
    <row r="421" spans="1:34" x14ac:dyDescent="0.2">
      <c r="A421" s="402">
        <f t="shared" ca="1" si="180"/>
        <v>0.1</v>
      </c>
      <c r="B421" s="357">
        <f t="shared" ca="1" si="181"/>
        <v>5.6999999999999531</v>
      </c>
      <c r="C421" s="342"/>
      <c r="D421" s="359">
        <f t="shared" ca="1" si="182"/>
        <v>-1.8747323621469143</v>
      </c>
      <c r="E421" s="360">
        <f t="shared" ca="1" si="183"/>
        <v>-16.492229407519382</v>
      </c>
      <c r="F421" s="357">
        <f t="shared" ca="1" si="184"/>
        <v>16.598441259947517</v>
      </c>
      <c r="G421" s="359">
        <f t="shared" ca="1" si="185"/>
        <v>37.221719926788744</v>
      </c>
      <c r="H421" s="360">
        <f t="shared" ca="1" si="186"/>
        <v>131.69077572397751</v>
      </c>
      <c r="I421" s="357">
        <f t="shared" ca="1" si="187"/>
        <v>136.84997933902383</v>
      </c>
      <c r="J421" s="359">
        <f t="shared" ca="1" si="188"/>
        <v>173.15634368843183</v>
      </c>
      <c r="K421" s="360">
        <f t="shared" ca="1" si="189"/>
        <v>715.26027600262648</v>
      </c>
      <c r="L421" s="357">
        <f t="shared" ca="1" si="174"/>
        <v>735.92145082671675</v>
      </c>
      <c r="M421" s="359">
        <f t="shared" ca="1" si="190"/>
        <v>1.2953367404222869</v>
      </c>
      <c r="N421" s="357">
        <f t="shared" ca="1" si="191"/>
        <v>74.217328274430102</v>
      </c>
      <c r="O421" s="343"/>
      <c r="P421" s="363">
        <f t="shared" ca="1" si="192"/>
        <v>23</v>
      </c>
      <c r="Q421" s="357">
        <f t="shared" ca="1" si="193"/>
        <v>0</v>
      </c>
      <c r="R421" s="359">
        <f t="shared" ca="1" si="194"/>
        <v>0</v>
      </c>
      <c r="S421" s="360">
        <f t="shared" ca="1" si="195"/>
        <v>8.3819999999999997</v>
      </c>
      <c r="T421" s="357">
        <f t="shared" ca="1" si="175"/>
        <v>82.227419999999995</v>
      </c>
      <c r="U421" s="364">
        <f t="shared" ca="1" si="176"/>
        <v>0</v>
      </c>
      <c r="V421" s="359">
        <f t="shared" ca="1" si="177"/>
        <v>1.1404059542164444</v>
      </c>
      <c r="W421" s="357">
        <f t="shared" ca="1" si="178"/>
        <v>56.729482260100838</v>
      </c>
      <c r="X421" s="343"/>
      <c r="Y421" s="367" t="str">
        <f t="shared" ca="1" si="196"/>
        <v/>
      </c>
      <c r="Z421" s="368" t="str">
        <f t="shared" ca="1" si="197"/>
        <v/>
      </c>
      <c r="AA421" s="369" t="str">
        <f t="shared" ca="1" si="198"/>
        <v/>
      </c>
      <c r="AB421" s="344"/>
      <c r="AC421" s="363" t="e">
        <f t="shared" ca="1" si="199"/>
        <v>#N/A</v>
      </c>
      <c r="AD421" s="376" t="e">
        <f t="shared" ca="1" si="200"/>
        <v>#N/A</v>
      </c>
      <c r="AE421" s="377">
        <f t="shared" ca="1" si="179"/>
        <v>715.26027600262648</v>
      </c>
      <c r="AF421" s="344"/>
      <c r="AG421" s="359">
        <f t="shared" ca="1" si="201"/>
        <v>-16.385546234352304</v>
      </c>
      <c r="AH421" s="357">
        <f t="shared" ca="1" si="202"/>
        <v>-6.940231356691057</v>
      </c>
    </row>
    <row r="422" spans="1:34" x14ac:dyDescent="0.2">
      <c r="A422" s="402">
        <f t="shared" ca="1" si="180"/>
        <v>0.1</v>
      </c>
      <c r="B422" s="357">
        <f t="shared" ca="1" si="181"/>
        <v>5.7999999999999527</v>
      </c>
      <c r="C422" s="342"/>
      <c r="D422" s="359">
        <f t="shared" ca="1" si="182"/>
        <v>-1.8408265280535279</v>
      </c>
      <c r="E422" s="360">
        <f t="shared" ca="1" si="183"/>
        <v>-16.322860607448021</v>
      </c>
      <c r="F422" s="357">
        <f t="shared" ca="1" si="184"/>
        <v>16.426333148836473</v>
      </c>
      <c r="G422" s="359">
        <f t="shared" ca="1" si="185"/>
        <v>37.037637273983393</v>
      </c>
      <c r="H422" s="360">
        <f t="shared" ca="1" si="186"/>
        <v>130.05848966323271</v>
      </c>
      <c r="I422" s="357">
        <f t="shared" ca="1" si="187"/>
        <v>135.22942471341204</v>
      </c>
      <c r="J422" s="359">
        <f t="shared" ca="1" si="188"/>
        <v>176.86931154847045</v>
      </c>
      <c r="K422" s="360">
        <f t="shared" ca="1" si="189"/>
        <v>728.34773927198694</v>
      </c>
      <c r="L422" s="357">
        <f t="shared" ca="1" si="174"/>
        <v>749.51529848979351</v>
      </c>
      <c r="M422" s="359">
        <f t="shared" ca="1" si="190"/>
        <v>1.2933636372742652</v>
      </c>
      <c r="N422" s="357">
        <f t="shared" ca="1" si="191"/>
        <v>74.104277791504472</v>
      </c>
      <c r="O422" s="343"/>
      <c r="P422" s="363">
        <f t="shared" ca="1" si="192"/>
        <v>23</v>
      </c>
      <c r="Q422" s="357">
        <f t="shared" ca="1" si="193"/>
        <v>0</v>
      </c>
      <c r="R422" s="359">
        <f t="shared" ca="1" si="194"/>
        <v>0</v>
      </c>
      <c r="S422" s="360">
        <f t="shared" ca="1" si="195"/>
        <v>8.3819999999999997</v>
      </c>
      <c r="T422" s="357">
        <f t="shared" ca="1" si="175"/>
        <v>82.227419999999995</v>
      </c>
      <c r="U422" s="364">
        <f t="shared" ca="1" si="176"/>
        <v>0</v>
      </c>
      <c r="V422" s="359">
        <f t="shared" ca="1" si="177"/>
        <v>1.1389124843107712</v>
      </c>
      <c r="W422" s="357">
        <f t="shared" ca="1" si="178"/>
        <v>55.3213317085171</v>
      </c>
      <c r="X422" s="343"/>
      <c r="Y422" s="367" t="str">
        <f t="shared" ca="1" si="196"/>
        <v/>
      </c>
      <c r="Z422" s="368" t="str">
        <f t="shared" ca="1" si="197"/>
        <v/>
      </c>
      <c r="AA422" s="369" t="str">
        <f t="shared" ca="1" si="198"/>
        <v/>
      </c>
      <c r="AB422" s="344"/>
      <c r="AC422" s="363" t="e">
        <f t="shared" ca="1" si="199"/>
        <v>#N/A</v>
      </c>
      <c r="AD422" s="376" t="e">
        <f t="shared" ca="1" si="200"/>
        <v>#N/A</v>
      </c>
      <c r="AE422" s="377">
        <f t="shared" ca="1" si="179"/>
        <v>728.34773927198694</v>
      </c>
      <c r="AF422" s="344"/>
      <c r="AG422" s="359">
        <f t="shared" ca="1" si="201"/>
        <v>-16.208178587994063</v>
      </c>
      <c r="AH422" s="357">
        <f t="shared" ca="1" si="202"/>
        <v>-6.768012677177385</v>
      </c>
    </row>
    <row r="423" spans="1:34" x14ac:dyDescent="0.2">
      <c r="A423" s="402">
        <f t="shared" ca="1" si="180"/>
        <v>0.1</v>
      </c>
      <c r="B423" s="357">
        <f t="shared" ca="1" si="181"/>
        <v>5.8999999999999524</v>
      </c>
      <c r="C423" s="342"/>
      <c r="D423" s="359">
        <f t="shared" ca="1" si="182"/>
        <v>-1.8076612283772111</v>
      </c>
      <c r="E423" s="360">
        <f t="shared" ca="1" si="183"/>
        <v>-16.157642735587462</v>
      </c>
      <c r="F423" s="357">
        <f t="shared" ca="1" si="184"/>
        <v>16.258445740213315</v>
      </c>
      <c r="G423" s="359">
        <f t="shared" ca="1" si="185"/>
        <v>36.856871151145668</v>
      </c>
      <c r="H423" s="360">
        <f t="shared" ca="1" si="186"/>
        <v>128.44272538967397</v>
      </c>
      <c r="I423" s="357">
        <f t="shared" ca="1" si="187"/>
        <v>133.62620497709031</v>
      </c>
      <c r="J423" s="359">
        <f t="shared" ca="1" si="188"/>
        <v>180.56403696972691</v>
      </c>
      <c r="K423" s="360">
        <f t="shared" ca="1" si="189"/>
        <v>741.27280002463226</v>
      </c>
      <c r="L423" s="357">
        <f t="shared" ca="1" si="174"/>
        <v>762.94740022046301</v>
      </c>
      <c r="M423" s="359">
        <f t="shared" ca="1" si="190"/>
        <v>1.2913529258791172</v>
      </c>
      <c r="N423" s="357">
        <f t="shared" ca="1" si="191"/>
        <v>73.98907251474364</v>
      </c>
      <c r="O423" s="343"/>
      <c r="P423" s="363">
        <f t="shared" ca="1" si="192"/>
        <v>23</v>
      </c>
      <c r="Q423" s="357">
        <f t="shared" ca="1" si="193"/>
        <v>0</v>
      </c>
      <c r="R423" s="359">
        <f t="shared" ca="1" si="194"/>
        <v>0</v>
      </c>
      <c r="S423" s="360">
        <f t="shared" ca="1" si="195"/>
        <v>8.3819999999999997</v>
      </c>
      <c r="T423" s="357">
        <f t="shared" ca="1" si="175"/>
        <v>82.227419999999995</v>
      </c>
      <c r="U423" s="364">
        <f t="shared" ca="1" si="176"/>
        <v>0</v>
      </c>
      <c r="V423" s="359">
        <f t="shared" ca="1" si="177"/>
        <v>1.1374393966768428</v>
      </c>
      <c r="W423" s="357">
        <f t="shared" ca="1" si="178"/>
        <v>53.947510349453694</v>
      </c>
      <c r="X423" s="343"/>
      <c r="Y423" s="367" t="str">
        <f t="shared" ca="1" si="196"/>
        <v/>
      </c>
      <c r="Z423" s="368" t="str">
        <f t="shared" ca="1" si="197"/>
        <v/>
      </c>
      <c r="AA423" s="369" t="str">
        <f t="shared" ca="1" si="198"/>
        <v/>
      </c>
      <c r="AB423" s="344"/>
      <c r="AC423" s="363" t="e">
        <f t="shared" ca="1" si="199"/>
        <v>#N/A</v>
      </c>
      <c r="AD423" s="376" t="e">
        <f t="shared" ca="1" si="200"/>
        <v>#N/A</v>
      </c>
      <c r="AE423" s="377">
        <f t="shared" ca="1" si="179"/>
        <v>741.27280002463226</v>
      </c>
      <c r="AF423" s="344"/>
      <c r="AG423" s="359">
        <f t="shared" ca="1" si="201"/>
        <v>-16.034898589525881</v>
      </c>
      <c r="AH423" s="357">
        <f t="shared" ca="1" si="202"/>
        <v>-6.6000157132566333</v>
      </c>
    </row>
    <row r="424" spans="1:34" x14ac:dyDescent="0.2">
      <c r="A424" s="402">
        <f t="shared" ca="1" si="180"/>
        <v>0.1</v>
      </c>
      <c r="B424" s="357">
        <f t="shared" ca="1" si="181"/>
        <v>5.999999999999952</v>
      </c>
      <c r="C424" s="342"/>
      <c r="D424" s="359">
        <f t="shared" ca="1" si="182"/>
        <v>-1.7752134528639278</v>
      </c>
      <c r="E424" s="360">
        <f t="shared" ca="1" si="183"/>
        <v>-15.99645172291487</v>
      </c>
      <c r="F424" s="357">
        <f t="shared" ca="1" si="184"/>
        <v>16.094652855118532</v>
      </c>
      <c r="G424" s="359">
        <f t="shared" ca="1" si="185"/>
        <v>36.679349805859275</v>
      </c>
      <c r="H424" s="360">
        <f t="shared" ca="1" si="186"/>
        <v>126.84308021738248</v>
      </c>
      <c r="I424" s="357">
        <f t="shared" ca="1" si="187"/>
        <v>132.03992464862253</v>
      </c>
      <c r="J424" s="359">
        <f t="shared" ca="1" si="188"/>
        <v>184.24084801757715</v>
      </c>
      <c r="K424" s="360">
        <f t="shared" ca="1" si="189"/>
        <v>754.0370903049851</v>
      </c>
      <c r="L424" s="357">
        <f t="shared" ca="1" si="174"/>
        <v>776.21944296303491</v>
      </c>
      <c r="M424" s="359">
        <f t="shared" ca="1" si="190"/>
        <v>1.2893036950853034</v>
      </c>
      <c r="N424" s="357">
        <f t="shared" ca="1" si="191"/>
        <v>73.87166023900987</v>
      </c>
      <c r="O424" s="343"/>
      <c r="P424" s="363">
        <f t="shared" ca="1" si="192"/>
        <v>23</v>
      </c>
      <c r="Q424" s="357">
        <f t="shared" ca="1" si="193"/>
        <v>0</v>
      </c>
      <c r="R424" s="359">
        <f t="shared" ca="1" si="194"/>
        <v>0</v>
      </c>
      <c r="S424" s="360">
        <f t="shared" ca="1" si="195"/>
        <v>8.3819999999999997</v>
      </c>
      <c r="T424" s="357">
        <f t="shared" ca="1" si="175"/>
        <v>82.227419999999995</v>
      </c>
      <c r="U424" s="364">
        <f t="shared" ca="1" si="176"/>
        <v>0</v>
      </c>
      <c r="V424" s="359">
        <f t="shared" ca="1" si="177"/>
        <v>1.1359864329909</v>
      </c>
      <c r="W424" s="357">
        <f t="shared" ca="1" si="178"/>
        <v>52.607001894317079</v>
      </c>
      <c r="X424" s="343"/>
      <c r="Y424" s="367" t="str">
        <f t="shared" ca="1" si="196"/>
        <v/>
      </c>
      <c r="Z424" s="368" t="str">
        <f t="shared" ca="1" si="197"/>
        <v/>
      </c>
      <c r="AA424" s="369" t="str">
        <f t="shared" ca="1" si="198"/>
        <v/>
      </c>
      <c r="AB424" s="344"/>
      <c r="AC424" s="363">
        <f t="shared" ca="1" si="199"/>
        <v>5.999999999999952</v>
      </c>
      <c r="AD424" s="376">
        <f t="shared" ca="1" si="200"/>
        <v>184.24084801757715</v>
      </c>
      <c r="AE424" s="377">
        <f t="shared" ca="1" si="179"/>
        <v>754.0370903049851</v>
      </c>
      <c r="AF424" s="344"/>
      <c r="AG424" s="359">
        <f t="shared" ca="1" si="201"/>
        <v>-15.865575690913269</v>
      </c>
      <c r="AH424" s="357">
        <f t="shared" ca="1" si="202"/>
        <v>-6.4361143342225837</v>
      </c>
    </row>
    <row r="425" spans="1:34" x14ac:dyDescent="0.2">
      <c r="A425" s="402">
        <f t="shared" ca="1" si="180"/>
        <v>0.1</v>
      </c>
      <c r="B425" s="357">
        <f t="shared" ca="1" si="181"/>
        <v>6.0999999999999517</v>
      </c>
      <c r="C425" s="342"/>
      <c r="D425" s="359">
        <f t="shared" ca="1" si="182"/>
        <v>-1.7434610766316641</v>
      </c>
      <c r="E425" s="360">
        <f t="shared" ca="1" si="183"/>
        <v>-15.839168302316734</v>
      </c>
      <c r="F425" s="357">
        <f t="shared" ca="1" si="184"/>
        <v>15.934833197584618</v>
      </c>
      <c r="G425" s="359">
        <f t="shared" ca="1" si="185"/>
        <v>36.505003698196106</v>
      </c>
      <c r="H425" s="360">
        <f t="shared" ca="1" si="186"/>
        <v>125.25916338715081</v>
      </c>
      <c r="I425" s="357">
        <f t="shared" ca="1" si="187"/>
        <v>130.47020084085963</v>
      </c>
      <c r="J425" s="359">
        <f t="shared" ca="1" si="188"/>
        <v>187.90006569277992</v>
      </c>
      <c r="K425" s="360">
        <f t="shared" ca="1" si="189"/>
        <v>766.64220248521178</v>
      </c>
      <c r="L425" s="357">
        <f t="shared" ca="1" si="174"/>
        <v>789.33307375196659</v>
      </c>
      <c r="M425" s="359">
        <f t="shared" ca="1" si="190"/>
        <v>1.2872150033274088</v>
      </c>
      <c r="N425" s="357">
        <f t="shared" ca="1" si="191"/>
        <v>73.751987016578738</v>
      </c>
      <c r="O425" s="343"/>
      <c r="P425" s="363">
        <f t="shared" ca="1" si="192"/>
        <v>23</v>
      </c>
      <c r="Q425" s="357">
        <f t="shared" ca="1" si="193"/>
        <v>0</v>
      </c>
      <c r="R425" s="359">
        <f t="shared" ca="1" si="194"/>
        <v>0</v>
      </c>
      <c r="S425" s="360">
        <f t="shared" ca="1" si="195"/>
        <v>8.3819999999999997</v>
      </c>
      <c r="T425" s="357">
        <f t="shared" ca="1" si="175"/>
        <v>82.227419999999995</v>
      </c>
      <c r="U425" s="364">
        <f t="shared" ca="1" si="176"/>
        <v>0</v>
      </c>
      <c r="V425" s="359">
        <f t="shared" ca="1" si="177"/>
        <v>1.134553341470679</v>
      </c>
      <c r="W425" s="357">
        <f t="shared" ca="1" si="178"/>
        <v>51.29882911756377</v>
      </c>
      <c r="X425" s="343"/>
      <c r="Y425" s="367" t="str">
        <f t="shared" ca="1" si="196"/>
        <v/>
      </c>
      <c r="Z425" s="368" t="str">
        <f t="shared" ca="1" si="197"/>
        <v/>
      </c>
      <c r="AA425" s="369" t="str">
        <f t="shared" ca="1" si="198"/>
        <v/>
      </c>
      <c r="AB425" s="344"/>
      <c r="AC425" s="363" t="e">
        <f t="shared" ca="1" si="199"/>
        <v>#N/A</v>
      </c>
      <c r="AD425" s="376" t="e">
        <f t="shared" ca="1" si="200"/>
        <v>#N/A</v>
      </c>
      <c r="AE425" s="377">
        <f t="shared" ca="1" si="179"/>
        <v>766.64220248521178</v>
      </c>
      <c r="AF425" s="344"/>
      <c r="AG425" s="359">
        <f t="shared" ca="1" si="201"/>
        <v>-15.700084044781999</v>
      </c>
      <c r="AH425" s="357">
        <f t="shared" ca="1" si="202"/>
        <v>-6.2761872935238703</v>
      </c>
    </row>
    <row r="426" spans="1:34" x14ac:dyDescent="0.2">
      <c r="A426" s="402">
        <f t="shared" ca="1" si="180"/>
        <v>0.1</v>
      </c>
      <c r="B426" s="357">
        <f t="shared" ca="1" si="181"/>
        <v>6.1999999999999513</v>
      </c>
      <c r="C426" s="342"/>
      <c r="D426" s="359">
        <f t="shared" ca="1" si="182"/>
        <v>-1.712382819713161</v>
      </c>
      <c r="E426" s="360">
        <f t="shared" ca="1" si="183"/>
        <v>-15.685677788423289</v>
      </c>
      <c r="F426" s="357">
        <f t="shared" ca="1" si="184"/>
        <v>15.778870130762993</v>
      </c>
      <c r="G426" s="359">
        <f t="shared" ca="1" si="185"/>
        <v>36.333765416224793</v>
      </c>
      <c r="H426" s="360">
        <f t="shared" ca="1" si="186"/>
        <v>123.69059560830848</v>
      </c>
      <c r="I426" s="357">
        <f t="shared" ca="1" si="187"/>
        <v>128.91666281462361</v>
      </c>
      <c r="J426" s="359">
        <f t="shared" ca="1" si="188"/>
        <v>191.54200414850095</v>
      </c>
      <c r="K426" s="360">
        <f t="shared" ca="1" si="189"/>
        <v>779.08969043498473</v>
      </c>
      <c r="L426" s="357">
        <f t="shared" ca="1" si="174"/>
        <v>802.28990090571676</v>
      </c>
      <c r="M426" s="359">
        <f t="shared" ca="1" si="190"/>
        <v>1.2850858774094038</v>
      </c>
      <c r="N426" s="357">
        <f t="shared" ca="1" si="191"/>
        <v>73.629997087425139</v>
      </c>
      <c r="O426" s="343"/>
      <c r="P426" s="363">
        <f t="shared" ca="1" si="192"/>
        <v>23</v>
      </c>
      <c r="Q426" s="357">
        <f t="shared" ca="1" si="193"/>
        <v>0</v>
      </c>
      <c r="R426" s="359">
        <f t="shared" ca="1" si="194"/>
        <v>0</v>
      </c>
      <c r="S426" s="360">
        <f t="shared" ca="1" si="195"/>
        <v>8.3819999999999997</v>
      </c>
      <c r="T426" s="357">
        <f t="shared" ca="1" si="175"/>
        <v>82.227419999999995</v>
      </c>
      <c r="U426" s="364">
        <f t="shared" ca="1" si="176"/>
        <v>0</v>
      </c>
      <c r="V426" s="359">
        <f t="shared" ca="1" si="177"/>
        <v>1.1331398766739835</v>
      </c>
      <c r="W426" s="357">
        <f t="shared" ca="1" si="178"/>
        <v>50.022052081171999</v>
      </c>
      <c r="X426" s="343"/>
      <c r="Y426" s="367" t="str">
        <f t="shared" ca="1" si="196"/>
        <v/>
      </c>
      <c r="Z426" s="368" t="str">
        <f t="shared" ca="1" si="197"/>
        <v/>
      </c>
      <c r="AA426" s="369" t="str">
        <f t="shared" ca="1" si="198"/>
        <v/>
      </c>
      <c r="AB426" s="344"/>
      <c r="AC426" s="363" t="e">
        <f t="shared" ca="1" si="199"/>
        <v>#N/A</v>
      </c>
      <c r="AD426" s="376" t="e">
        <f t="shared" ca="1" si="200"/>
        <v>#N/A</v>
      </c>
      <c r="AE426" s="377">
        <f t="shared" ca="1" si="179"/>
        <v>779.08969043498473</v>
      </c>
      <c r="AF426" s="344"/>
      <c r="AG426" s="359">
        <f t="shared" ca="1" si="201"/>
        <v>-15.538302271623252</v>
      </c>
      <c r="AH426" s="357">
        <f t="shared" ca="1" si="202"/>
        <v>-6.1201180049586936</v>
      </c>
    </row>
    <row r="427" spans="1:34" x14ac:dyDescent="0.2">
      <c r="A427" s="402">
        <f t="shared" ca="1" si="180"/>
        <v>0.1</v>
      </c>
      <c r="B427" s="357">
        <f t="shared" ca="1" si="181"/>
        <v>6.299999999999951</v>
      </c>
      <c r="C427" s="342"/>
      <c r="D427" s="359">
        <f t="shared" ca="1" si="182"/>
        <v>-1.6819582087780258</v>
      </c>
      <c r="E427" s="360">
        <f t="shared" ca="1" si="183"/>
        <v>-15.535869869219134</v>
      </c>
      <c r="F427" s="357">
        <f t="shared" ca="1" si="184"/>
        <v>15.626651465025599</v>
      </c>
      <c r="G427" s="359">
        <f t="shared" ca="1" si="185"/>
        <v>36.165569595346987</v>
      </c>
      <c r="H427" s="360">
        <f t="shared" ca="1" si="186"/>
        <v>122.13700862138657</v>
      </c>
      <c r="I427" s="357">
        <f t="shared" ca="1" si="187"/>
        <v>127.37895155455058</v>
      </c>
      <c r="J427" s="359">
        <f t="shared" ca="1" si="188"/>
        <v>195.16697089907953</v>
      </c>
      <c r="K427" s="360">
        <f t="shared" ca="1" si="189"/>
        <v>791.38107064646954</v>
      </c>
      <c r="L427" s="357">
        <f t="shared" ca="1" si="174"/>
        <v>815.09149517552601</v>
      </c>
      <c r="M427" s="359">
        <f t="shared" ca="1" si="190"/>
        <v>1.2829153112303966</v>
      </c>
      <c r="N427" s="357">
        <f t="shared" ca="1" si="191"/>
        <v>73.505632806214194</v>
      </c>
      <c r="O427" s="343"/>
      <c r="P427" s="363">
        <f t="shared" ca="1" si="192"/>
        <v>23</v>
      </c>
      <c r="Q427" s="357">
        <f t="shared" ca="1" si="193"/>
        <v>0</v>
      </c>
      <c r="R427" s="359">
        <f t="shared" ca="1" si="194"/>
        <v>0</v>
      </c>
      <c r="S427" s="360">
        <f t="shared" ca="1" si="195"/>
        <v>8.3819999999999997</v>
      </c>
      <c r="T427" s="357">
        <f t="shared" ca="1" si="175"/>
        <v>82.227419999999995</v>
      </c>
      <c r="U427" s="364">
        <f t="shared" ca="1" si="176"/>
        <v>0</v>
      </c>
      <c r="V427" s="359">
        <f t="shared" ca="1" si="177"/>
        <v>1.1317457993052138</v>
      </c>
      <c r="W427" s="357">
        <f t="shared" ca="1" si="178"/>
        <v>48.775766453415443</v>
      </c>
      <c r="X427" s="343"/>
      <c r="Y427" s="367" t="str">
        <f t="shared" ca="1" si="196"/>
        <v/>
      </c>
      <c r="Z427" s="368" t="str">
        <f t="shared" ca="1" si="197"/>
        <v/>
      </c>
      <c r="AA427" s="369" t="str">
        <f t="shared" ca="1" si="198"/>
        <v/>
      </c>
      <c r="AB427" s="344"/>
      <c r="AC427" s="363" t="e">
        <f t="shared" ca="1" si="199"/>
        <v>#N/A</v>
      </c>
      <c r="AD427" s="376" t="e">
        <f t="shared" ca="1" si="200"/>
        <v>#N/A</v>
      </c>
      <c r="AE427" s="377">
        <f t="shared" ca="1" si="179"/>
        <v>791.38107064646954</v>
      </c>
      <c r="AF427" s="344"/>
      <c r="AG427" s="359">
        <f t="shared" ca="1" si="201"/>
        <v>-15.380113238469665</v>
      </c>
      <c r="AH427" s="357">
        <f t="shared" ca="1" si="202"/>
        <v>-5.9677943308484851</v>
      </c>
    </row>
    <row r="428" spans="1:34" x14ac:dyDescent="0.2">
      <c r="A428" s="402">
        <f t="shared" ca="1" si="180"/>
        <v>0.1</v>
      </c>
      <c r="B428" s="357">
        <f t="shared" ca="1" si="181"/>
        <v>6.3999999999999506</v>
      </c>
      <c r="C428" s="342"/>
      <c r="D428" s="359">
        <f t="shared" ca="1" si="182"/>
        <v>-1.652167540902614</v>
      </c>
      <c r="E428" s="360">
        <f t="shared" ca="1" si="183"/>
        <v>-15.389638408713457</v>
      </c>
      <c r="F428" s="357">
        <f t="shared" ca="1" si="184"/>
        <v>15.478069257312447</v>
      </c>
      <c r="G428" s="359">
        <f t="shared" ca="1" si="185"/>
        <v>36.000352841256728</v>
      </c>
      <c r="H428" s="360">
        <f t="shared" ca="1" si="186"/>
        <v>120.59804478051522</v>
      </c>
      <c r="I428" s="357">
        <f t="shared" ca="1" si="187"/>
        <v>125.85671936602407</v>
      </c>
      <c r="J428" s="359">
        <f t="shared" ca="1" si="188"/>
        <v>198.77526702090972</v>
      </c>
      <c r="K428" s="360">
        <f t="shared" ca="1" si="189"/>
        <v>803.51782331656466</v>
      </c>
      <c r="L428" s="357">
        <f t="shared" ca="1" si="174"/>
        <v>827.73939085114455</v>
      </c>
      <c r="M428" s="359">
        <f t="shared" ca="1" si="190"/>
        <v>1.2807022644498225</v>
      </c>
      <c r="N428" s="357">
        <f t="shared" ca="1" si="191"/>
        <v>73.378834565822274</v>
      </c>
      <c r="O428" s="343"/>
      <c r="P428" s="363">
        <f t="shared" ca="1" si="192"/>
        <v>23</v>
      </c>
      <c r="Q428" s="357">
        <f t="shared" ca="1" si="193"/>
        <v>0</v>
      </c>
      <c r="R428" s="359">
        <f t="shared" ca="1" si="194"/>
        <v>0</v>
      </c>
      <c r="S428" s="360">
        <f t="shared" ca="1" si="195"/>
        <v>8.3819999999999997</v>
      </c>
      <c r="T428" s="357">
        <f t="shared" ca="1" si="175"/>
        <v>82.227419999999995</v>
      </c>
      <c r="U428" s="364">
        <f t="shared" ca="1" si="176"/>
        <v>0</v>
      </c>
      <c r="V428" s="359">
        <f t="shared" ca="1" si="177"/>
        <v>1.1303708760294784</v>
      </c>
      <c r="W428" s="357">
        <f t="shared" ca="1" si="178"/>
        <v>47.559101916249418</v>
      </c>
      <c r="X428" s="343"/>
      <c r="Y428" s="367" t="str">
        <f t="shared" ca="1" si="196"/>
        <v/>
      </c>
      <c r="Z428" s="368" t="str">
        <f t="shared" ca="1" si="197"/>
        <v/>
      </c>
      <c r="AA428" s="369" t="str">
        <f t="shared" ca="1" si="198"/>
        <v/>
      </c>
      <c r="AB428" s="344"/>
      <c r="AC428" s="363" t="e">
        <f t="shared" ca="1" si="199"/>
        <v>#N/A</v>
      </c>
      <c r="AD428" s="376" t="e">
        <f t="shared" ca="1" si="200"/>
        <v>#N/A</v>
      </c>
      <c r="AE428" s="377">
        <f t="shared" ca="1" si="179"/>
        <v>803.51782331656466</v>
      </c>
      <c r="AF428" s="344"/>
      <c r="AG428" s="359">
        <f t="shared" ca="1" si="201"/>
        <v>-15.225403848281712</v>
      </c>
      <c r="AH428" s="357">
        <f t="shared" ca="1" si="202"/>
        <v>-5.8191083814621143</v>
      </c>
    </row>
    <row r="429" spans="1:34" x14ac:dyDescent="0.2">
      <c r="A429" s="402">
        <f t="shared" ca="1" si="180"/>
        <v>0.1</v>
      </c>
      <c r="B429" s="357">
        <f t="shared" ca="1" si="181"/>
        <v>6.4999999999999503</v>
      </c>
      <c r="C429" s="342"/>
      <c r="D429" s="359">
        <f t="shared" ca="1" si="182"/>
        <v>-1.622991849265141</v>
      </c>
      <c r="E429" s="360">
        <f t="shared" ca="1" si="183"/>
        <v>-15.246881260002009</v>
      </c>
      <c r="F429" s="357">
        <f t="shared" ca="1" si="184"/>
        <v>15.333019621045997</v>
      </c>
      <c r="G429" s="359">
        <f t="shared" ca="1" si="185"/>
        <v>35.83805365633021</v>
      </c>
      <c r="H429" s="360">
        <f t="shared" ca="1" si="186"/>
        <v>119.07335665451502</v>
      </c>
      <c r="I429" s="357">
        <f t="shared" ca="1" si="187"/>
        <v>124.3496294921997</v>
      </c>
      <c r="J429" s="359">
        <f t="shared" ca="1" si="188"/>
        <v>202.36718734578906</v>
      </c>
      <c r="K429" s="360">
        <f t="shared" ca="1" si="189"/>
        <v>815.50139338831616</v>
      </c>
      <c r="L429" s="357">
        <f t="shared" ca="1" si="174"/>
        <v>840.23508682542581</v>
      </c>
      <c r="M429" s="359">
        <f t="shared" ca="1" si="190"/>
        <v>1.2784456610888426</v>
      </c>
      <c r="N429" s="357">
        <f t="shared" ca="1" si="191"/>
        <v>73.249540717203089</v>
      </c>
      <c r="O429" s="343"/>
      <c r="P429" s="363">
        <f t="shared" ca="1" si="192"/>
        <v>23</v>
      </c>
      <c r="Q429" s="357">
        <f t="shared" ca="1" si="193"/>
        <v>0</v>
      </c>
      <c r="R429" s="359">
        <f t="shared" ca="1" si="194"/>
        <v>0</v>
      </c>
      <c r="S429" s="360">
        <f t="shared" ca="1" si="195"/>
        <v>8.3819999999999997</v>
      </c>
      <c r="T429" s="357">
        <f t="shared" ca="1" si="175"/>
        <v>82.227419999999995</v>
      </c>
      <c r="U429" s="364">
        <f t="shared" ca="1" si="176"/>
        <v>0</v>
      </c>
      <c r="V429" s="359">
        <f t="shared" ca="1" si="177"/>
        <v>1.1290148792939478</v>
      </c>
      <c r="W429" s="357">
        <f t="shared" ca="1" si="178"/>
        <v>46.371220656003821</v>
      </c>
      <c r="X429" s="343"/>
      <c r="Y429" s="367" t="str">
        <f t="shared" ca="1" si="196"/>
        <v/>
      </c>
      <c r="Z429" s="368" t="str">
        <f t="shared" ca="1" si="197"/>
        <v/>
      </c>
      <c r="AA429" s="369" t="str">
        <f t="shared" ca="1" si="198"/>
        <v/>
      </c>
      <c r="AB429" s="344"/>
      <c r="AC429" s="363" t="e">
        <f t="shared" ca="1" si="199"/>
        <v>#N/A</v>
      </c>
      <c r="AD429" s="376" t="e">
        <f t="shared" ca="1" si="200"/>
        <v>#N/A</v>
      </c>
      <c r="AE429" s="377">
        <f t="shared" ca="1" si="179"/>
        <v>815.50139338831616</v>
      </c>
      <c r="AF429" s="344"/>
      <c r="AG429" s="359">
        <f t="shared" ca="1" si="201"/>
        <v>-15.074064839331136</v>
      </c>
      <c r="AH429" s="357">
        <f t="shared" ca="1" si="202"/>
        <v>-5.6739563250118614</v>
      </c>
    </row>
    <row r="430" spans="1:34" x14ac:dyDescent="0.2">
      <c r="A430" s="402">
        <f t="shared" ca="1" si="180"/>
        <v>0.1</v>
      </c>
      <c r="B430" s="357">
        <f t="shared" ca="1" si="181"/>
        <v>6.5999999999999499</v>
      </c>
      <c r="C430" s="342"/>
      <c r="D430" s="359">
        <f t="shared" ca="1" si="182"/>
        <v>-1.5944128706517853</v>
      </c>
      <c r="E430" s="360">
        <f t="shared" ca="1" si="183"/>
        <v>-15.107500088097972</v>
      </c>
      <c r="F430" s="357">
        <f t="shared" ca="1" si="184"/>
        <v>15.1914025459791</v>
      </c>
      <c r="G430" s="359">
        <f t="shared" ca="1" si="185"/>
        <v>35.678612369265032</v>
      </c>
      <c r="H430" s="360">
        <f t="shared" ca="1" si="186"/>
        <v>117.56260664570523</v>
      </c>
      <c r="I430" s="357">
        <f t="shared" ca="1" si="187"/>
        <v>122.8573557501914</v>
      </c>
      <c r="J430" s="359">
        <f t="shared" ca="1" si="188"/>
        <v>205.94302064706883</v>
      </c>
      <c r="K430" s="360">
        <f t="shared" ca="1" si="189"/>
        <v>827.3331915533272</v>
      </c>
      <c r="L430" s="357">
        <f t="shared" ca="1" si="174"/>
        <v>852.58004761960819</v>
      </c>
      <c r="M430" s="359">
        <f t="shared" ca="1" si="190"/>
        <v>1.276144388064534</v>
      </c>
      <c r="N430" s="357">
        <f t="shared" ca="1" si="191"/>
        <v>73.117687485402911</v>
      </c>
      <c r="O430" s="343"/>
      <c r="P430" s="363">
        <f t="shared" ca="1" si="192"/>
        <v>23</v>
      </c>
      <c r="Q430" s="357">
        <f t="shared" ca="1" si="193"/>
        <v>0</v>
      </c>
      <c r="R430" s="359">
        <f t="shared" ca="1" si="194"/>
        <v>0</v>
      </c>
      <c r="S430" s="360">
        <f t="shared" ca="1" si="195"/>
        <v>8.3819999999999997</v>
      </c>
      <c r="T430" s="357">
        <f t="shared" ca="1" si="175"/>
        <v>82.227419999999995</v>
      </c>
      <c r="U430" s="364">
        <f t="shared" ca="1" si="176"/>
        <v>0</v>
      </c>
      <c r="V430" s="359">
        <f t="shared" ca="1" si="177"/>
        <v>1.127677587156108</v>
      </c>
      <c r="W430" s="357">
        <f t="shared" ca="1" si="178"/>
        <v>45.211315932433571</v>
      </c>
      <c r="X430" s="343"/>
      <c r="Y430" s="367" t="str">
        <f t="shared" ca="1" si="196"/>
        <v/>
      </c>
      <c r="Z430" s="368" t="str">
        <f t="shared" ca="1" si="197"/>
        <v/>
      </c>
      <c r="AA430" s="369" t="str">
        <f t="shared" ca="1" si="198"/>
        <v/>
      </c>
      <c r="AB430" s="344"/>
      <c r="AC430" s="363" t="e">
        <f t="shared" ca="1" si="199"/>
        <v>#N/A</v>
      </c>
      <c r="AD430" s="376" t="e">
        <f t="shared" ca="1" si="200"/>
        <v>#N/A</v>
      </c>
      <c r="AE430" s="377">
        <f t="shared" ca="1" si="179"/>
        <v>827.3331915533272</v>
      </c>
      <c r="AF430" s="344"/>
      <c r="AG430" s="359">
        <f t="shared" ca="1" si="201"/>
        <v>-14.92599059391163</v>
      </c>
      <c r="AH430" s="357">
        <f t="shared" ca="1" si="202"/>
        <v>-5.5322382075881436</v>
      </c>
    </row>
    <row r="431" spans="1:34" x14ac:dyDescent="0.2">
      <c r="A431" s="402">
        <f t="shared" ca="1" si="180"/>
        <v>0.1</v>
      </c>
      <c r="B431" s="357">
        <f t="shared" ca="1" si="181"/>
        <v>6.6999999999999496</v>
      </c>
      <c r="C431" s="342"/>
      <c r="D431" s="359">
        <f t="shared" ca="1" si="182"/>
        <v>-1.5664130146673121</v>
      </c>
      <c r="E431" s="360">
        <f t="shared" ca="1" si="183"/>
        <v>-14.971400201950733</v>
      </c>
      <c r="F431" s="357">
        <f t="shared" ca="1" si="184"/>
        <v>15.053121727385637</v>
      </c>
      <c r="G431" s="359">
        <f t="shared" ca="1" si="185"/>
        <v>35.521971067798297</v>
      </c>
      <c r="H431" s="360">
        <f t="shared" ca="1" si="186"/>
        <v>116.06546662551015</v>
      </c>
      <c r="I431" s="357">
        <f t="shared" ca="1" si="187"/>
        <v>121.37958218555092</v>
      </c>
      <c r="J431" s="359">
        <f t="shared" ca="1" si="188"/>
        <v>209.50304981892199</v>
      </c>
      <c r="K431" s="360">
        <f t="shared" ca="1" si="189"/>
        <v>839.01459521688798</v>
      </c>
      <c r="L431" s="357">
        <f t="shared" ca="1" si="174"/>
        <v>864.77570437101667</v>
      </c>
      <c r="M431" s="359">
        <f t="shared" ca="1" si="190"/>
        <v>1.2737972936532527</v>
      </c>
      <c r="N431" s="357">
        <f t="shared" ca="1" si="191"/>
        <v>72.98320888151774</v>
      </c>
      <c r="O431" s="343"/>
      <c r="P431" s="363">
        <f t="shared" ca="1" si="192"/>
        <v>23</v>
      </c>
      <c r="Q431" s="357">
        <f t="shared" ca="1" si="193"/>
        <v>0</v>
      </c>
      <c r="R431" s="359">
        <f t="shared" ca="1" si="194"/>
        <v>0</v>
      </c>
      <c r="S431" s="360">
        <f t="shared" ca="1" si="195"/>
        <v>8.3819999999999997</v>
      </c>
      <c r="T431" s="357">
        <f t="shared" ca="1" si="175"/>
        <v>82.227419999999995</v>
      </c>
      <c r="U431" s="364">
        <f t="shared" ca="1" si="176"/>
        <v>0</v>
      </c>
      <c r="V431" s="359">
        <f t="shared" ca="1" si="177"/>
        <v>1.1263587831186035</v>
      </c>
      <c r="W431" s="357">
        <f t="shared" ca="1" si="178"/>
        <v>44.078610721506386</v>
      </c>
      <c r="X431" s="343"/>
      <c r="Y431" s="367" t="str">
        <f t="shared" ca="1" si="196"/>
        <v/>
      </c>
      <c r="Z431" s="368" t="str">
        <f t="shared" ca="1" si="197"/>
        <v/>
      </c>
      <c r="AA431" s="369" t="str">
        <f t="shared" ca="1" si="198"/>
        <v/>
      </c>
      <c r="AB431" s="344"/>
      <c r="AC431" s="363" t="e">
        <f t="shared" ca="1" si="199"/>
        <v>#N/A</v>
      </c>
      <c r="AD431" s="376" t="e">
        <f t="shared" ca="1" si="200"/>
        <v>#N/A</v>
      </c>
      <c r="AE431" s="377">
        <f t="shared" ca="1" si="179"/>
        <v>839.01459521688798</v>
      </c>
      <c r="AF431" s="344"/>
      <c r="AG431" s="359">
        <f t="shared" ca="1" si="201"/>
        <v>-14.781078955746807</v>
      </c>
      <c r="AH431" s="357">
        <f t="shared" ca="1" si="202"/>
        <v>-5.3938577824425638</v>
      </c>
    </row>
    <row r="432" spans="1:34" x14ac:dyDescent="0.2">
      <c r="A432" s="402">
        <f t="shared" ca="1" si="180"/>
        <v>0.1</v>
      </c>
      <c r="B432" s="357">
        <f t="shared" ca="1" si="181"/>
        <v>6.7999999999999492</v>
      </c>
      <c r="C432" s="342"/>
      <c r="D432" s="359">
        <f t="shared" ca="1" si="182"/>
        <v>-1.5389753345509074</v>
      </c>
      <c r="E432" s="360">
        <f t="shared" ca="1" si="183"/>
        <v>-14.838490395110075</v>
      </c>
      <c r="F432" s="357">
        <f t="shared" ca="1" si="184"/>
        <v>14.918084404042297</v>
      </c>
      <c r="G432" s="359">
        <f t="shared" ca="1" si="185"/>
        <v>35.368073534343203</v>
      </c>
      <c r="H432" s="360">
        <f t="shared" ca="1" si="186"/>
        <v>114.58161758599914</v>
      </c>
      <c r="I432" s="357">
        <f t="shared" ca="1" si="187"/>
        <v>119.91600274423283</v>
      </c>
      <c r="J432" s="359">
        <f t="shared" ca="1" si="188"/>
        <v>213.04755204902906</v>
      </c>
      <c r="K432" s="360">
        <f t="shared" ca="1" si="189"/>
        <v>850.54694942746346</v>
      </c>
      <c r="L432" s="357">
        <f t="shared" ca="1" si="174"/>
        <v>876.82345578482773</v>
      </c>
      <c r="M432" s="359">
        <f t="shared" ca="1" si="190"/>
        <v>1.2714031858793451</v>
      </c>
      <c r="N432" s="357">
        <f t="shared" ca="1" si="191"/>
        <v>72.846036610373375</v>
      </c>
      <c r="O432" s="343"/>
      <c r="P432" s="363">
        <f t="shared" ca="1" si="192"/>
        <v>23</v>
      </c>
      <c r="Q432" s="357">
        <f t="shared" ca="1" si="193"/>
        <v>0</v>
      </c>
      <c r="R432" s="359">
        <f t="shared" ca="1" si="194"/>
        <v>0</v>
      </c>
      <c r="S432" s="360">
        <f t="shared" ca="1" si="195"/>
        <v>8.3819999999999997</v>
      </c>
      <c r="T432" s="357">
        <f t="shared" ca="1" si="175"/>
        <v>82.227419999999995</v>
      </c>
      <c r="U432" s="364">
        <f t="shared" ca="1" si="176"/>
        <v>0</v>
      </c>
      <c r="V432" s="359">
        <f t="shared" ca="1" si="177"/>
        <v>1.1250582559703788</v>
      </c>
      <c r="W432" s="357">
        <f t="shared" ca="1" si="178"/>
        <v>42.972356427613249</v>
      </c>
      <c r="X432" s="343"/>
      <c r="Y432" s="367" t="str">
        <f t="shared" ca="1" si="196"/>
        <v/>
      </c>
      <c r="Z432" s="368" t="str">
        <f t="shared" ca="1" si="197"/>
        <v/>
      </c>
      <c r="AA432" s="369" t="str">
        <f t="shared" ca="1" si="198"/>
        <v/>
      </c>
      <c r="AB432" s="344"/>
      <c r="AC432" s="363" t="e">
        <f t="shared" ca="1" si="199"/>
        <v>#N/A</v>
      </c>
      <c r="AD432" s="376" t="e">
        <f t="shared" ca="1" si="200"/>
        <v>#N/A</v>
      </c>
      <c r="AE432" s="377">
        <f t="shared" ca="1" si="179"/>
        <v>850.54694942746346</v>
      </c>
      <c r="AF432" s="344"/>
      <c r="AG432" s="359">
        <f t="shared" ca="1" si="201"/>
        <v>-14.639231055501995</v>
      </c>
      <c r="AH432" s="357">
        <f t="shared" ca="1" si="202"/>
        <v>-5.2587223480680496</v>
      </c>
    </row>
    <row r="433" spans="1:34" x14ac:dyDescent="0.2">
      <c r="A433" s="402">
        <f t="shared" ca="1" si="180"/>
        <v>0.1</v>
      </c>
      <c r="B433" s="357">
        <f t="shared" ca="1" si="181"/>
        <v>6.8999999999999488</v>
      </c>
      <c r="C433" s="342"/>
      <c r="D433" s="359">
        <f t="shared" ca="1" si="182"/>
        <v>-1.5120834995045376</v>
      </c>
      <c r="E433" s="360">
        <f t="shared" ca="1" si="183"/>
        <v>-14.708682794529135</v>
      </c>
      <c r="F433" s="357">
        <f t="shared" ca="1" si="184"/>
        <v>14.786201204486273</v>
      </c>
      <c r="G433" s="359">
        <f t="shared" ca="1" si="185"/>
        <v>35.216865184392752</v>
      </c>
      <c r="H433" s="360">
        <f t="shared" ca="1" si="186"/>
        <v>113.11074930654623</v>
      </c>
      <c r="I433" s="357">
        <f t="shared" ca="1" si="187"/>
        <v>118.46632096129279</v>
      </c>
      <c r="J433" s="359">
        <f t="shared" ca="1" si="188"/>
        <v>216.57679898496588</v>
      </c>
      <c r="K433" s="360">
        <f t="shared" ca="1" si="189"/>
        <v>861.93156777209072</v>
      </c>
      <c r="L433" s="357">
        <f t="shared" ca="1" si="174"/>
        <v>888.72466905146086</v>
      </c>
      <c r="M433" s="359">
        <f t="shared" ca="1" si="190"/>
        <v>1.2689608308251537</v>
      </c>
      <c r="N433" s="357">
        <f t="shared" ca="1" si="191"/>
        <v>72.706099973695757</v>
      </c>
      <c r="O433" s="343"/>
      <c r="P433" s="363">
        <f t="shared" ca="1" si="192"/>
        <v>23</v>
      </c>
      <c r="Q433" s="357">
        <f t="shared" ca="1" si="193"/>
        <v>0</v>
      </c>
      <c r="R433" s="359">
        <f t="shared" ca="1" si="194"/>
        <v>0</v>
      </c>
      <c r="S433" s="360">
        <f t="shared" ca="1" si="195"/>
        <v>8.3819999999999997</v>
      </c>
      <c r="T433" s="357">
        <f t="shared" ca="1" si="175"/>
        <v>82.227419999999995</v>
      </c>
      <c r="U433" s="364">
        <f t="shared" ca="1" si="176"/>
        <v>0</v>
      </c>
      <c r="V433" s="359">
        <f t="shared" ca="1" si="177"/>
        <v>1.1237757996338236</v>
      </c>
      <c r="W433" s="357">
        <f t="shared" ca="1" si="178"/>
        <v>41.891831661169142</v>
      </c>
      <c r="X433" s="343"/>
      <c r="Y433" s="367" t="str">
        <f t="shared" ca="1" si="196"/>
        <v/>
      </c>
      <c r="Z433" s="368" t="str">
        <f t="shared" ca="1" si="197"/>
        <v/>
      </c>
      <c r="AA433" s="369" t="str">
        <f t="shared" ca="1" si="198"/>
        <v/>
      </c>
      <c r="AB433" s="344"/>
      <c r="AC433" s="363" t="e">
        <f t="shared" ca="1" si="199"/>
        <v>#N/A</v>
      </c>
      <c r="AD433" s="376" t="e">
        <f t="shared" ca="1" si="200"/>
        <v>#N/A</v>
      </c>
      <c r="AE433" s="377">
        <f t="shared" ca="1" si="179"/>
        <v>861.93156777209072</v>
      </c>
      <c r="AF433" s="344"/>
      <c r="AG433" s="359">
        <f t="shared" ca="1" si="201"/>
        <v>-14.500351143839907</v>
      </c>
      <c r="AH433" s="357">
        <f t="shared" ca="1" si="202"/>
        <v>-5.1267425945613514</v>
      </c>
    </row>
    <row r="434" spans="1:34" x14ac:dyDescent="0.2">
      <c r="A434" s="402">
        <f t="shared" ca="1" si="180"/>
        <v>0.1</v>
      </c>
      <c r="B434" s="357">
        <f t="shared" ca="1" si="181"/>
        <v>6.9999999999999485</v>
      </c>
      <c r="C434" s="342"/>
      <c r="D434" s="359">
        <f t="shared" ca="1" si="182"/>
        <v>-1.4857217684473287</v>
      </c>
      <c r="E434" s="360">
        <f t="shared" ca="1" si="183"/>
        <v>-14.581892717032648</v>
      </c>
      <c r="F434" s="357">
        <f t="shared" ca="1" si="184"/>
        <v>14.657386001067449</v>
      </c>
      <c r="G434" s="359">
        <f t="shared" ca="1" si="185"/>
        <v>35.068293007548021</v>
      </c>
      <c r="H434" s="360">
        <f t="shared" ca="1" si="186"/>
        <v>111.65256003484296</v>
      </c>
      <c r="I434" s="357">
        <f t="shared" ca="1" si="187"/>
        <v>117.03024966562045</v>
      </c>
      <c r="J434" s="359">
        <f t="shared" ca="1" si="188"/>
        <v>220.09105689456291</v>
      </c>
      <c r="K434" s="360">
        <f t="shared" ca="1" si="189"/>
        <v>873.16973323916022</v>
      </c>
      <c r="L434" s="357">
        <f t="shared" ca="1" si="174"/>
        <v>900.48068073108152</v>
      </c>
      <c r="M434" s="359">
        <f t="shared" ca="1" si="190"/>
        <v>1.2664689508580289</v>
      </c>
      <c r="N434" s="357">
        <f t="shared" ca="1" si="191"/>
        <v>72.563325768526312</v>
      </c>
      <c r="O434" s="343"/>
      <c r="P434" s="363">
        <f t="shared" ca="1" si="192"/>
        <v>23</v>
      </c>
      <c r="Q434" s="357">
        <f t="shared" ca="1" si="193"/>
        <v>0</v>
      </c>
      <c r="R434" s="359">
        <f t="shared" ca="1" si="194"/>
        <v>0</v>
      </c>
      <c r="S434" s="360">
        <f t="shared" ca="1" si="195"/>
        <v>8.3819999999999997</v>
      </c>
      <c r="T434" s="357">
        <f t="shared" ca="1" si="175"/>
        <v>82.227419999999995</v>
      </c>
      <c r="U434" s="364">
        <f t="shared" ca="1" si="176"/>
        <v>0</v>
      </c>
      <c r="V434" s="359">
        <f t="shared" ca="1" si="177"/>
        <v>1.1225112130176713</v>
      </c>
      <c r="W434" s="357">
        <f t="shared" ca="1" si="178"/>
        <v>40.836341077835364</v>
      </c>
      <c r="X434" s="343"/>
      <c r="Y434" s="367" t="str">
        <f t="shared" ca="1" si="196"/>
        <v/>
      </c>
      <c r="Z434" s="368" t="str">
        <f t="shared" ca="1" si="197"/>
        <v/>
      </c>
      <c r="AA434" s="369" t="str">
        <f t="shared" ca="1" si="198"/>
        <v/>
      </c>
      <c r="AB434" s="344"/>
      <c r="AC434" s="363">
        <f t="shared" ca="1" si="199"/>
        <v>6.9999999999999485</v>
      </c>
      <c r="AD434" s="376">
        <f t="shared" ca="1" si="200"/>
        <v>220.09105689456291</v>
      </c>
      <c r="AE434" s="377">
        <f t="shared" ca="1" si="179"/>
        <v>873.16973323916022</v>
      </c>
      <c r="AF434" s="344"/>
      <c r="AG434" s="359">
        <f t="shared" ca="1" si="201"/>
        <v>-14.36434643149054</v>
      </c>
      <c r="AH434" s="357">
        <f t="shared" ca="1" si="202"/>
        <v>-4.9978324577868225</v>
      </c>
    </row>
    <row r="435" spans="1:34" x14ac:dyDescent="0.2">
      <c r="A435" s="402">
        <f t="shared" ca="1" si="180"/>
        <v>0.1</v>
      </c>
      <c r="B435" s="357">
        <f t="shared" ca="1" si="181"/>
        <v>7.0999999999999481</v>
      </c>
      <c r="C435" s="342"/>
      <c r="D435" s="359">
        <f t="shared" ca="1" si="182"/>
        <v>-1.4598749651151894</v>
      </c>
      <c r="E435" s="360">
        <f t="shared" ca="1" si="183"/>
        <v>-14.458038533007709</v>
      </c>
      <c r="F435" s="357">
        <f t="shared" ca="1" si="184"/>
        <v>14.531555771344848</v>
      </c>
      <c r="G435" s="359">
        <f t="shared" ca="1" si="185"/>
        <v>34.922305511036505</v>
      </c>
      <c r="H435" s="360">
        <f t="shared" ca="1" si="186"/>
        <v>110.20675618154219</v>
      </c>
      <c r="I435" s="357">
        <f t="shared" ca="1" si="187"/>
        <v>115.60751070005814</v>
      </c>
      <c r="J435" s="359">
        <f t="shared" ca="1" si="188"/>
        <v>223.59058682049215</v>
      </c>
      <c r="K435" s="360">
        <f t="shared" ca="1" si="189"/>
        <v>884.26269904997946</v>
      </c>
      <c r="L435" s="357">
        <f t="shared" ca="1" si="174"/>
        <v>912.09279760662866</v>
      </c>
      <c r="M435" s="359">
        <f t="shared" ca="1" si="190"/>
        <v>1.2639262227698056</v>
      </c>
      <c r="N435" s="357">
        <f t="shared" ca="1" si="191"/>
        <v>72.417638180621751</v>
      </c>
      <c r="O435" s="343"/>
      <c r="P435" s="363">
        <f t="shared" ca="1" si="192"/>
        <v>23</v>
      </c>
      <c r="Q435" s="357">
        <f t="shared" ca="1" si="193"/>
        <v>0</v>
      </c>
      <c r="R435" s="359">
        <f t="shared" ca="1" si="194"/>
        <v>0</v>
      </c>
      <c r="S435" s="360">
        <f t="shared" ca="1" si="195"/>
        <v>8.3819999999999997</v>
      </c>
      <c r="T435" s="357">
        <f t="shared" ca="1" si="175"/>
        <v>82.227419999999995</v>
      </c>
      <c r="U435" s="364">
        <f t="shared" ca="1" si="176"/>
        <v>0</v>
      </c>
      <c r="V435" s="359">
        <f t="shared" ca="1" si="177"/>
        <v>1.1212642998753792</v>
      </c>
      <c r="W435" s="357">
        <f t="shared" ca="1" si="178"/>
        <v>39.805214275836441</v>
      </c>
      <c r="X435" s="343"/>
      <c r="Y435" s="367" t="str">
        <f t="shared" ca="1" si="196"/>
        <v/>
      </c>
      <c r="Z435" s="368" t="str">
        <f t="shared" ca="1" si="197"/>
        <v/>
      </c>
      <c r="AA435" s="369" t="str">
        <f t="shared" ca="1" si="198"/>
        <v/>
      </c>
      <c r="AB435" s="344"/>
      <c r="AC435" s="363" t="e">
        <f t="shared" ca="1" si="199"/>
        <v>#N/A</v>
      </c>
      <c r="AD435" s="376" t="e">
        <f t="shared" ca="1" si="200"/>
        <v>#N/A</v>
      </c>
      <c r="AE435" s="377">
        <f t="shared" ca="1" si="179"/>
        <v>884.26269904997946</v>
      </c>
      <c r="AF435" s="344"/>
      <c r="AG435" s="359">
        <f t="shared" ca="1" si="201"/>
        <v>-14.231126935833746</v>
      </c>
      <c r="AH435" s="357">
        <f t="shared" ca="1" si="202"/>
        <v>-4.8719089808918357</v>
      </c>
    </row>
    <row r="436" spans="1:34" x14ac:dyDescent="0.2">
      <c r="A436" s="402">
        <f t="shared" ca="1" si="180"/>
        <v>0.1</v>
      </c>
      <c r="B436" s="357">
        <f t="shared" ca="1" si="181"/>
        <v>7.1999999999999478</v>
      </c>
      <c r="C436" s="342"/>
      <c r="D436" s="359">
        <f t="shared" ca="1" si="182"/>
        <v>-1.4345284544301946</v>
      </c>
      <c r="E436" s="360">
        <f t="shared" ca="1" si="183"/>
        <v>-14.337041536902834</v>
      </c>
      <c r="F436" s="357">
        <f t="shared" ca="1" si="184"/>
        <v>14.408630466406136</v>
      </c>
      <c r="G436" s="359">
        <f t="shared" ca="1" si="185"/>
        <v>34.778852665593483</v>
      </c>
      <c r="H436" s="360">
        <f t="shared" ca="1" si="186"/>
        <v>108.7730520278519</v>
      </c>
      <c r="I436" s="357">
        <f t="shared" ca="1" si="187"/>
        <v>114.19783465630526</v>
      </c>
      <c r="J436" s="359">
        <f t="shared" ca="1" si="188"/>
        <v>227.07564472932364</v>
      </c>
      <c r="K436" s="360">
        <f t="shared" ca="1" si="189"/>
        <v>895.21168946044918</v>
      </c>
      <c r="L436" s="357">
        <f t="shared" ca="1" si="174"/>
        <v>923.56229750670832</v>
      </c>
      <c r="M436" s="359">
        <f t="shared" ca="1" si="190"/>
        <v>1.2613312758239381</v>
      </c>
      <c r="N436" s="357">
        <f t="shared" ca="1" si="191"/>
        <v>72.268958672563187</v>
      </c>
      <c r="O436" s="343"/>
      <c r="P436" s="363">
        <f t="shared" ca="1" si="192"/>
        <v>23</v>
      </c>
      <c r="Q436" s="357">
        <f t="shared" ca="1" si="193"/>
        <v>0</v>
      </c>
      <c r="R436" s="359">
        <f t="shared" ca="1" si="194"/>
        <v>0</v>
      </c>
      <c r="S436" s="360">
        <f t="shared" ca="1" si="195"/>
        <v>8.3819999999999997</v>
      </c>
      <c r="T436" s="357">
        <f t="shared" ca="1" si="175"/>
        <v>82.227419999999995</v>
      </c>
      <c r="U436" s="364">
        <f t="shared" ca="1" si="176"/>
        <v>0</v>
      </c>
      <c r="V436" s="359">
        <f t="shared" ca="1" si="177"/>
        <v>1.1200348686687687</v>
      </c>
      <c r="W436" s="357">
        <f t="shared" ca="1" si="178"/>
        <v>38.797804748073005</v>
      </c>
      <c r="X436" s="343"/>
      <c r="Y436" s="367" t="str">
        <f t="shared" ca="1" si="196"/>
        <v/>
      </c>
      <c r="Z436" s="368" t="str">
        <f t="shared" ca="1" si="197"/>
        <v/>
      </c>
      <c r="AA436" s="369" t="str">
        <f t="shared" ca="1" si="198"/>
        <v/>
      </c>
      <c r="AB436" s="344"/>
      <c r="AC436" s="363" t="e">
        <f t="shared" ca="1" si="199"/>
        <v>#N/A</v>
      </c>
      <c r="AD436" s="376" t="e">
        <f t="shared" ca="1" si="200"/>
        <v>#N/A</v>
      </c>
      <c r="AE436" s="377">
        <f t="shared" ca="1" si="179"/>
        <v>895.21168946044918</v>
      </c>
      <c r="AF436" s="344"/>
      <c r="AG436" s="359">
        <f t="shared" ca="1" si="201"/>
        <v>-14.100605333518008</v>
      </c>
      <c r="AH436" s="357">
        <f t="shared" ca="1" si="202"/>
        <v>-4.748892182753095</v>
      </c>
    </row>
    <row r="437" spans="1:34" x14ac:dyDescent="0.2">
      <c r="A437" s="402">
        <f t="shared" ca="1" si="180"/>
        <v>0.1</v>
      </c>
      <c r="B437" s="357">
        <f t="shared" ca="1" si="181"/>
        <v>7.2999999999999474</v>
      </c>
      <c r="C437" s="342"/>
      <c r="D437" s="359">
        <f t="shared" ca="1" si="182"/>
        <v>-1.409668120069234</v>
      </c>
      <c r="E437" s="360">
        <f t="shared" ca="1" si="183"/>
        <v>-14.218825824147654</v>
      </c>
      <c r="F437" s="357">
        <f t="shared" ca="1" si="184"/>
        <v>14.288532885716005</v>
      </c>
      <c r="G437" s="359">
        <f t="shared" ca="1" si="185"/>
        <v>34.63788585358656</v>
      </c>
      <c r="H437" s="360">
        <f t="shared" ca="1" si="186"/>
        <v>107.35116944543714</v>
      </c>
      <c r="I437" s="357">
        <f t="shared" ca="1" si="187"/>
        <v>112.80096062405252</v>
      </c>
      <c r="J437" s="359">
        <f t="shared" ca="1" si="188"/>
        <v>230.54648165528263</v>
      </c>
      <c r="K437" s="360">
        <f t="shared" ca="1" si="189"/>
        <v>906.01790053411366</v>
      </c>
      <c r="L437" s="357">
        <f t="shared" ca="1" si="174"/>
        <v>934.89043009963075</v>
      </c>
      <c r="M437" s="359">
        <f t="shared" ca="1" si="190"/>
        <v>1.2586826897052033</v>
      </c>
      <c r="N437" s="357">
        <f t="shared" ca="1" si="191"/>
        <v>72.117205866282745</v>
      </c>
      <c r="O437" s="343"/>
      <c r="P437" s="363">
        <f t="shared" ca="1" si="192"/>
        <v>23</v>
      </c>
      <c r="Q437" s="357">
        <f t="shared" ca="1" si="193"/>
        <v>0</v>
      </c>
      <c r="R437" s="359">
        <f t="shared" ca="1" si="194"/>
        <v>0</v>
      </c>
      <c r="S437" s="360">
        <f t="shared" ca="1" si="195"/>
        <v>8.3819999999999997</v>
      </c>
      <c r="T437" s="357">
        <f t="shared" ca="1" si="175"/>
        <v>82.227419999999995</v>
      </c>
      <c r="U437" s="364">
        <f t="shared" ca="1" si="176"/>
        <v>0</v>
      </c>
      <c r="V437" s="359">
        <f t="shared" ca="1" si="177"/>
        <v>1.1188227324366797</v>
      </c>
      <c r="W437" s="357">
        <f t="shared" ca="1" si="178"/>
        <v>37.813488885939833</v>
      </c>
      <c r="X437" s="343"/>
      <c r="Y437" s="367" t="str">
        <f t="shared" ca="1" si="196"/>
        <v/>
      </c>
      <c r="Z437" s="368" t="str">
        <f t="shared" ca="1" si="197"/>
        <v/>
      </c>
      <c r="AA437" s="369" t="str">
        <f t="shared" ca="1" si="198"/>
        <v/>
      </c>
      <c r="AB437" s="344"/>
      <c r="AC437" s="363" t="e">
        <f t="shared" ca="1" si="199"/>
        <v>#N/A</v>
      </c>
      <c r="AD437" s="376" t="e">
        <f t="shared" ca="1" si="200"/>
        <v>#N/A</v>
      </c>
      <c r="AE437" s="377">
        <f t="shared" ca="1" si="179"/>
        <v>906.01790053411366</v>
      </c>
      <c r="AF437" s="344"/>
      <c r="AG437" s="359">
        <f t="shared" ca="1" si="201"/>
        <v>-13.972696818662026</v>
      </c>
      <c r="AH437" s="357">
        <f t="shared" ca="1" si="202"/>
        <v>-4.6287049329602725</v>
      </c>
    </row>
    <row r="438" spans="1:34" x14ac:dyDescent="0.2">
      <c r="A438" s="402">
        <f t="shared" ca="1" si="180"/>
        <v>0.1</v>
      </c>
      <c r="B438" s="357">
        <f t="shared" ca="1" si="181"/>
        <v>7.3999999999999471</v>
      </c>
      <c r="C438" s="342"/>
      <c r="D438" s="359">
        <f t="shared" ca="1" si="182"/>
        <v>-1.3852803431659839</v>
      </c>
      <c r="E438" s="360">
        <f t="shared" ca="1" si="183"/>
        <v>-14.103318174130038</v>
      </c>
      <c r="F438" s="357">
        <f t="shared" ca="1" si="184"/>
        <v>14.171188558124145</v>
      </c>
      <c r="G438" s="359">
        <f t="shared" ca="1" si="185"/>
        <v>34.49935781926996</v>
      </c>
      <c r="H438" s="360">
        <f t="shared" ca="1" si="186"/>
        <v>105.94083762802413</v>
      </c>
      <c r="I438" s="357">
        <f t="shared" ca="1" si="187"/>
        <v>111.416635953835</v>
      </c>
      <c r="J438" s="359">
        <f t="shared" ca="1" si="188"/>
        <v>234.00334383892545</v>
      </c>
      <c r="K438" s="360">
        <f t="shared" ca="1" si="189"/>
        <v>916.68250088778677</v>
      </c>
      <c r="L438" s="357">
        <f t="shared" ca="1" si="174"/>
        <v>946.07841765980766</v>
      </c>
      <c r="M438" s="359">
        <f t="shared" ca="1" si="190"/>
        <v>1.2559789923665836</v>
      </c>
      <c r="N438" s="357">
        <f t="shared" ca="1" si="191"/>
        <v>71.962295419699075</v>
      </c>
      <c r="O438" s="343"/>
      <c r="P438" s="363">
        <f t="shared" ca="1" si="192"/>
        <v>23</v>
      </c>
      <c r="Q438" s="357">
        <f t="shared" ca="1" si="193"/>
        <v>0</v>
      </c>
      <c r="R438" s="359">
        <f t="shared" ca="1" si="194"/>
        <v>0</v>
      </c>
      <c r="S438" s="360">
        <f t="shared" ca="1" si="195"/>
        <v>8.3819999999999997</v>
      </c>
      <c r="T438" s="357">
        <f t="shared" ca="1" si="175"/>
        <v>82.227419999999995</v>
      </c>
      <c r="U438" s="364">
        <f t="shared" ca="1" si="176"/>
        <v>0</v>
      </c>
      <c r="V438" s="359">
        <f t="shared" ca="1" si="177"/>
        <v>1.1176277086684396</v>
      </c>
      <c r="W438" s="357">
        <f t="shared" ca="1" si="178"/>
        <v>36.851665031955669</v>
      </c>
      <c r="X438" s="343"/>
      <c r="Y438" s="367" t="str">
        <f t="shared" ca="1" si="196"/>
        <v/>
      </c>
      <c r="Z438" s="368" t="str">
        <f t="shared" ca="1" si="197"/>
        <v/>
      </c>
      <c r="AA438" s="369" t="str">
        <f t="shared" ca="1" si="198"/>
        <v/>
      </c>
      <c r="AB438" s="344"/>
      <c r="AC438" s="363" t="e">
        <f t="shared" ca="1" si="199"/>
        <v>#N/A</v>
      </c>
      <c r="AD438" s="376" t="e">
        <f t="shared" ca="1" si="200"/>
        <v>#N/A</v>
      </c>
      <c r="AE438" s="377">
        <f t="shared" ca="1" si="179"/>
        <v>916.68250088778677</v>
      </c>
      <c r="AF438" s="344"/>
      <c r="AG438" s="359">
        <f t="shared" ca="1" si="201"/>
        <v>-13.84731896620643</v>
      </c>
      <c r="AH438" s="357">
        <f t="shared" ca="1" si="202"/>
        <v>-4.5112728329682454</v>
      </c>
    </row>
    <row r="439" spans="1:34" x14ac:dyDescent="0.2">
      <c r="A439" s="402">
        <f t="shared" ca="1" si="180"/>
        <v>0.1</v>
      </c>
      <c r="B439" s="357">
        <f t="shared" ca="1" si="181"/>
        <v>7.4999999999999467</v>
      </c>
      <c r="C439" s="342"/>
      <c r="D439" s="359">
        <f t="shared" ca="1" si="182"/>
        <v>-1.3613519820845972</v>
      </c>
      <c r="E439" s="360">
        <f t="shared" ca="1" si="183"/>
        <v>-13.990447938890505</v>
      </c>
      <c r="F439" s="357">
        <f t="shared" ca="1" si="184"/>
        <v>14.056525628686884</v>
      </c>
      <c r="G439" s="359">
        <f t="shared" ca="1" si="185"/>
        <v>34.363222621061503</v>
      </c>
      <c r="H439" s="360">
        <f t="shared" ca="1" si="186"/>
        <v>104.54179283413508</v>
      </c>
      <c r="I439" s="357">
        <f t="shared" ca="1" si="187"/>
        <v>110.04461603313379</v>
      </c>
      <c r="J439" s="359">
        <f t="shared" ca="1" si="188"/>
        <v>237.44647286094201</v>
      </c>
      <c r="K439" s="360">
        <f t="shared" ca="1" si="189"/>
        <v>927.20663241089471</v>
      </c>
      <c r="L439" s="357">
        <f t="shared" ca="1" si="174"/>
        <v>957.12745580766523</v>
      </c>
      <c r="M439" s="359">
        <f t="shared" ca="1" si="190"/>
        <v>1.2532186577676279</v>
      </c>
      <c r="N439" s="357">
        <f t="shared" ca="1" si="191"/>
        <v>71.804139897134974</v>
      </c>
      <c r="O439" s="343"/>
      <c r="P439" s="363">
        <f t="shared" ca="1" si="192"/>
        <v>23</v>
      </c>
      <c r="Q439" s="357">
        <f t="shared" ca="1" si="193"/>
        <v>0</v>
      </c>
      <c r="R439" s="359">
        <f t="shared" ca="1" si="194"/>
        <v>0</v>
      </c>
      <c r="S439" s="360">
        <f t="shared" ca="1" si="195"/>
        <v>8.3819999999999997</v>
      </c>
      <c r="T439" s="357">
        <f t="shared" ca="1" si="175"/>
        <v>82.227419999999995</v>
      </c>
      <c r="U439" s="364">
        <f t="shared" ca="1" si="176"/>
        <v>0</v>
      </c>
      <c r="V439" s="359">
        <f t="shared" ca="1" si="177"/>
        <v>1.1164496191819275</v>
      </c>
      <c r="W439" s="357">
        <f t="shared" ca="1" si="178"/>
        <v>35.911752578491473</v>
      </c>
      <c r="X439" s="343"/>
      <c r="Y439" s="367" t="str">
        <f t="shared" ca="1" si="196"/>
        <v/>
      </c>
      <c r="Z439" s="368" t="str">
        <f t="shared" ca="1" si="197"/>
        <v/>
      </c>
      <c r="AA439" s="369" t="str">
        <f t="shared" ca="1" si="198"/>
        <v/>
      </c>
      <c r="AB439" s="344"/>
      <c r="AC439" s="363" t="e">
        <f t="shared" ca="1" si="199"/>
        <v>#N/A</v>
      </c>
      <c r="AD439" s="376" t="e">
        <f t="shared" ca="1" si="200"/>
        <v>#N/A</v>
      </c>
      <c r="AE439" s="377">
        <f t="shared" ca="1" si="179"/>
        <v>927.20663241089471</v>
      </c>
      <c r="AF439" s="344"/>
      <c r="AG439" s="359">
        <f t="shared" ca="1" si="201"/>
        <v>-13.72439160000145</v>
      </c>
      <c r="AH439" s="357">
        <f t="shared" ca="1" si="202"/>
        <v>-4.3965241030727356</v>
      </c>
    </row>
    <row r="440" spans="1:34" x14ac:dyDescent="0.2">
      <c r="A440" s="402">
        <f t="shared" ca="1" si="180"/>
        <v>0.1</v>
      </c>
      <c r="B440" s="357">
        <f t="shared" ca="1" si="181"/>
        <v>7.5999999999999464</v>
      </c>
      <c r="C440" s="342"/>
      <c r="D440" s="359">
        <f t="shared" ca="1" si="182"/>
        <v>-1.3378703532074609</v>
      </c>
      <c r="E440" s="360">
        <f t="shared" ca="1" si="183"/>
        <v>-13.880146937214851</v>
      </c>
      <c r="F440" s="357">
        <f t="shared" ca="1" si="184"/>
        <v>13.944474750978118</v>
      </c>
      <c r="G440" s="359">
        <f t="shared" ca="1" si="185"/>
        <v>34.22943558574076</v>
      </c>
      <c r="H440" s="360">
        <f t="shared" ca="1" si="186"/>
        <v>103.15377814041359</v>
      </c>
      <c r="I440" s="357">
        <f t="shared" ca="1" si="187"/>
        <v>108.6846640752965</v>
      </c>
      <c r="J440" s="359">
        <f t="shared" ca="1" si="188"/>
        <v>240.87610577128211</v>
      </c>
      <c r="K440" s="360">
        <f t="shared" ca="1" si="189"/>
        <v>937.59141095962218</v>
      </c>
      <c r="L440" s="357">
        <f t="shared" ca="1" si="174"/>
        <v>968.03871422417456</v>
      </c>
      <c r="M440" s="359">
        <f t="shared" ca="1" si="190"/>
        <v>1.2504001034982448</v>
      </c>
      <c r="N440" s="357">
        <f t="shared" ca="1" si="191"/>
        <v>71.642648633170751</v>
      </c>
      <c r="O440" s="343"/>
      <c r="P440" s="363">
        <f t="shared" ca="1" si="192"/>
        <v>23</v>
      </c>
      <c r="Q440" s="357">
        <f t="shared" ca="1" si="193"/>
        <v>0</v>
      </c>
      <c r="R440" s="359">
        <f t="shared" ca="1" si="194"/>
        <v>0</v>
      </c>
      <c r="S440" s="360">
        <f t="shared" ca="1" si="195"/>
        <v>8.3819999999999997</v>
      </c>
      <c r="T440" s="357">
        <f t="shared" ca="1" si="175"/>
        <v>82.227419999999995</v>
      </c>
      <c r="U440" s="364">
        <f t="shared" ca="1" si="176"/>
        <v>0</v>
      </c>
      <c r="V440" s="359">
        <f t="shared" ca="1" si="177"/>
        <v>1.1152882900060475</v>
      </c>
      <c r="W440" s="357">
        <f t="shared" ca="1" si="178"/>
        <v>34.993191110054148</v>
      </c>
      <c r="X440" s="343"/>
      <c r="Y440" s="367" t="str">
        <f t="shared" ca="1" si="196"/>
        <v/>
      </c>
      <c r="Z440" s="368" t="str">
        <f t="shared" ca="1" si="197"/>
        <v/>
      </c>
      <c r="AA440" s="369" t="str">
        <f t="shared" ca="1" si="198"/>
        <v/>
      </c>
      <c r="AB440" s="344"/>
      <c r="AC440" s="363" t="e">
        <f t="shared" ca="1" si="199"/>
        <v>#N/A</v>
      </c>
      <c r="AD440" s="376" t="e">
        <f t="shared" ca="1" si="200"/>
        <v>#N/A</v>
      </c>
      <c r="AE440" s="377">
        <f t="shared" ca="1" si="179"/>
        <v>937.59141095962218</v>
      </c>
      <c r="AF440" s="344"/>
      <c r="AG440" s="359">
        <f t="shared" ca="1" si="201"/>
        <v>-13.603836665233207</v>
      </c>
      <c r="AH440" s="357">
        <f t="shared" ca="1" si="202"/>
        <v>-4.2843894748856446</v>
      </c>
    </row>
    <row r="441" spans="1:34" x14ac:dyDescent="0.2">
      <c r="A441" s="402">
        <f t="shared" ca="1" si="180"/>
        <v>0.1</v>
      </c>
      <c r="B441" s="357">
        <f t="shared" ca="1" si="181"/>
        <v>7.699999999999946</v>
      </c>
      <c r="C441" s="342"/>
      <c r="D441" s="359">
        <f t="shared" ca="1" si="182"/>
        <v>-1.3148232126831543</v>
      </c>
      <c r="E441" s="360">
        <f t="shared" ca="1" si="183"/>
        <v>-13.772349353825865</v>
      </c>
      <c r="F441" s="357">
        <f t="shared" ca="1" si="184"/>
        <v>13.834968984585334</v>
      </c>
      <c r="G441" s="359">
        <f t="shared" ca="1" si="185"/>
        <v>34.097953264472444</v>
      </c>
      <c r="H441" s="360">
        <f t="shared" ca="1" si="186"/>
        <v>101.776543205031</v>
      </c>
      <c r="I441" s="357">
        <f t="shared" ca="1" si="187"/>
        <v>107.33655092088478</v>
      </c>
      <c r="J441" s="359">
        <f t="shared" ca="1" si="188"/>
        <v>244.29247521379278</v>
      </c>
      <c r="K441" s="360">
        <f t="shared" ca="1" si="189"/>
        <v>947.83792702689436</v>
      </c>
      <c r="L441" s="357">
        <f t="shared" ca="1" si="174"/>
        <v>978.81333734104885</v>
      </c>
      <c r="M441" s="359">
        <f t="shared" ca="1" si="190"/>
        <v>1.2475216882815454</v>
      </c>
      <c r="N441" s="357">
        <f t="shared" ca="1" si="191"/>
        <v>71.477727589567635</v>
      </c>
      <c r="O441" s="343"/>
      <c r="P441" s="363">
        <f t="shared" ca="1" si="192"/>
        <v>23</v>
      </c>
      <c r="Q441" s="357">
        <f t="shared" ca="1" si="193"/>
        <v>0</v>
      </c>
      <c r="R441" s="359">
        <f t="shared" ca="1" si="194"/>
        <v>0</v>
      </c>
      <c r="S441" s="360">
        <f t="shared" ca="1" si="195"/>
        <v>8.3819999999999997</v>
      </c>
      <c r="T441" s="357">
        <f t="shared" ca="1" si="175"/>
        <v>82.227419999999995</v>
      </c>
      <c r="U441" s="364">
        <f t="shared" ca="1" si="176"/>
        <v>0</v>
      </c>
      <c r="V441" s="359">
        <f t="shared" ca="1" si="177"/>
        <v>1.114143551267418</v>
      </c>
      <c r="W441" s="357">
        <f t="shared" ca="1" si="178"/>
        <v>34.095439586738799</v>
      </c>
      <c r="X441" s="343"/>
      <c r="Y441" s="367" t="str">
        <f t="shared" ca="1" si="196"/>
        <v/>
      </c>
      <c r="Z441" s="368" t="str">
        <f t="shared" ca="1" si="197"/>
        <v/>
      </c>
      <c r="AA441" s="369" t="str">
        <f t="shared" ca="1" si="198"/>
        <v/>
      </c>
      <c r="AB441" s="344"/>
      <c r="AC441" s="363" t="e">
        <f t="shared" ca="1" si="199"/>
        <v>#N/A</v>
      </c>
      <c r="AD441" s="376" t="e">
        <f t="shared" ca="1" si="200"/>
        <v>#N/A</v>
      </c>
      <c r="AE441" s="377">
        <f t="shared" ca="1" si="179"/>
        <v>947.83792702689436</v>
      </c>
      <c r="AF441" s="344"/>
      <c r="AG441" s="359">
        <f t="shared" ca="1" si="201"/>
        <v>-13.485578104805841</v>
      </c>
      <c r="AH441" s="357">
        <f t="shared" ca="1" si="202"/>
        <v>-4.1748020890066986</v>
      </c>
    </row>
    <row r="442" spans="1:34" x14ac:dyDescent="0.2">
      <c r="A442" s="402">
        <f t="shared" ca="1" si="180"/>
        <v>0.1</v>
      </c>
      <c r="B442" s="357">
        <f t="shared" ca="1" si="181"/>
        <v>7.7999999999999456</v>
      </c>
      <c r="C442" s="342"/>
      <c r="D442" s="359">
        <f t="shared" ca="1" si="182"/>
        <v>-1.292198739084133</v>
      </c>
      <c r="E442" s="360">
        <f t="shared" ca="1" si="183"/>
        <v>-13.666991643393223</v>
      </c>
      <c r="F442" s="357">
        <f t="shared" ca="1" si="184"/>
        <v>13.727943697505129</v>
      </c>
      <c r="G442" s="359">
        <f t="shared" ca="1" si="185"/>
        <v>33.968733390564033</v>
      </c>
      <c r="H442" s="360">
        <f t="shared" ca="1" si="186"/>
        <v>100.40984404069168</v>
      </c>
      <c r="I442" s="357">
        <f t="shared" ca="1" si="187"/>
        <v>106.00005485109546</v>
      </c>
      <c r="J442" s="359">
        <f t="shared" ca="1" si="188"/>
        <v>247.69580954654461</v>
      </c>
      <c r="K442" s="360">
        <f t="shared" ca="1" si="189"/>
        <v>957.94724638918046</v>
      </c>
      <c r="L442" s="357">
        <f t="shared" ca="1" si="174"/>
        <v>989.45244500760691</v>
      </c>
      <c r="M442" s="359">
        <f t="shared" ca="1" si="190"/>
        <v>1.24458170934896</v>
      </c>
      <c r="N442" s="357">
        <f t="shared" ca="1" si="191"/>
        <v>71.309279204873121</v>
      </c>
      <c r="O442" s="343"/>
      <c r="P442" s="363">
        <f t="shared" ca="1" si="192"/>
        <v>23</v>
      </c>
      <c r="Q442" s="357">
        <f t="shared" ca="1" si="193"/>
        <v>0</v>
      </c>
      <c r="R442" s="359">
        <f t="shared" ca="1" si="194"/>
        <v>0</v>
      </c>
      <c r="S442" s="360">
        <f t="shared" ca="1" si="195"/>
        <v>8.3819999999999997</v>
      </c>
      <c r="T442" s="357">
        <f t="shared" ca="1" si="175"/>
        <v>82.227419999999995</v>
      </c>
      <c r="U442" s="364">
        <f t="shared" ca="1" si="176"/>
        <v>0</v>
      </c>
      <c r="V442" s="359">
        <f t="shared" ca="1" si="177"/>
        <v>1.1130152370811104</v>
      </c>
      <c r="W442" s="357">
        <f t="shared" ca="1" si="178"/>
        <v>33.217975566610981</v>
      </c>
      <c r="X442" s="343"/>
      <c r="Y442" s="367" t="str">
        <f t="shared" ca="1" si="196"/>
        <v/>
      </c>
      <c r="Z442" s="368" t="str">
        <f t="shared" ca="1" si="197"/>
        <v/>
      </c>
      <c r="AA442" s="369" t="str">
        <f t="shared" ca="1" si="198"/>
        <v/>
      </c>
      <c r="AB442" s="344"/>
      <c r="AC442" s="363" t="e">
        <f t="shared" ca="1" si="199"/>
        <v>#N/A</v>
      </c>
      <c r="AD442" s="376" t="e">
        <f t="shared" ca="1" si="200"/>
        <v>#N/A</v>
      </c>
      <c r="AE442" s="377">
        <f t="shared" ca="1" si="179"/>
        <v>957.94724638918046</v>
      </c>
      <c r="AF442" s="344"/>
      <c r="AG442" s="359">
        <f t="shared" ca="1" si="201"/>
        <v>-13.369541739309691</v>
      </c>
      <c r="AH442" s="357">
        <f t="shared" ca="1" si="202"/>
        <v>-4.0676973976066328</v>
      </c>
    </row>
    <row r="443" spans="1:34" x14ac:dyDescent="0.2">
      <c r="A443" s="402">
        <f t="shared" ca="1" si="180"/>
        <v>0.1</v>
      </c>
      <c r="B443" s="357">
        <f t="shared" ca="1" si="181"/>
        <v>7.8999999999999453</v>
      </c>
      <c r="C443" s="342"/>
      <c r="D443" s="359">
        <f t="shared" ca="1" si="182"/>
        <v>-1.2699855169270482</v>
      </c>
      <c r="E443" s="360">
        <f t="shared" ca="1" si="183"/>
        <v>-13.564012439098036</v>
      </c>
      <c r="F443" s="357">
        <f t="shared" ca="1" si="184"/>
        <v>13.623336473170246</v>
      </c>
      <c r="G443" s="359">
        <f t="shared" ca="1" si="185"/>
        <v>33.841734838871325</v>
      </c>
      <c r="H443" s="360">
        <f t="shared" ca="1" si="186"/>
        <v>99.05344279678188</v>
      </c>
      <c r="I443" s="357">
        <f t="shared" ca="1" si="187"/>
        <v>104.67496141293685</v>
      </c>
      <c r="J443" s="359">
        <f t="shared" ca="1" si="188"/>
        <v>251.08633295801638</v>
      </c>
      <c r="K443" s="360">
        <f t="shared" ca="1" si="189"/>
        <v>967.92041073105418</v>
      </c>
      <c r="L443" s="357">
        <f t="shared" ca="1" si="174"/>
        <v>999.95713313525425</v>
      </c>
      <c r="M443" s="359">
        <f t="shared" ca="1" si="190"/>
        <v>1.2415783996804757</v>
      </c>
      <c r="N443" s="357">
        <f t="shared" ca="1" si="191"/>
        <v>71.137202236298137</v>
      </c>
      <c r="O443" s="343"/>
      <c r="P443" s="363">
        <f t="shared" ca="1" si="192"/>
        <v>23</v>
      </c>
      <c r="Q443" s="357">
        <f t="shared" ca="1" si="193"/>
        <v>0</v>
      </c>
      <c r="R443" s="359">
        <f t="shared" ca="1" si="194"/>
        <v>0</v>
      </c>
      <c r="S443" s="360">
        <f t="shared" ca="1" si="195"/>
        <v>8.3819999999999997</v>
      </c>
      <c r="T443" s="357">
        <f t="shared" ca="1" si="175"/>
        <v>82.227419999999995</v>
      </c>
      <c r="U443" s="364">
        <f t="shared" ca="1" si="176"/>
        <v>0</v>
      </c>
      <c r="V443" s="359">
        <f t="shared" ca="1" si="177"/>
        <v>1.1119031854452559</v>
      </c>
      <c r="W443" s="357">
        <f t="shared" ca="1" si="178"/>
        <v>32.360294464915398</v>
      </c>
      <c r="X443" s="343"/>
      <c r="Y443" s="367" t="str">
        <f t="shared" ca="1" si="196"/>
        <v/>
      </c>
      <c r="Z443" s="368" t="str">
        <f t="shared" ca="1" si="197"/>
        <v/>
      </c>
      <c r="AA443" s="369" t="str">
        <f t="shared" ca="1" si="198"/>
        <v/>
      </c>
      <c r="AB443" s="344"/>
      <c r="AC443" s="363" t="e">
        <f t="shared" ca="1" si="199"/>
        <v>#N/A</v>
      </c>
      <c r="AD443" s="376" t="e">
        <f t="shared" ca="1" si="200"/>
        <v>#N/A</v>
      </c>
      <c r="AE443" s="377">
        <f t="shared" ca="1" si="179"/>
        <v>967.92041073105418</v>
      </c>
      <c r="AF443" s="344"/>
      <c r="AG443" s="359">
        <f t="shared" ca="1" si="201"/>
        <v>-13.255655150217002</v>
      </c>
      <c r="AH443" s="357">
        <f t="shared" ca="1" si="202"/>
        <v>-3.9630130716548537</v>
      </c>
    </row>
    <row r="444" spans="1:34" x14ac:dyDescent="0.2">
      <c r="A444" s="402">
        <f t="shared" ca="1" si="180"/>
        <v>0.1</v>
      </c>
      <c r="B444" s="357">
        <f t="shared" ca="1" si="181"/>
        <v>7.9999999999999449</v>
      </c>
      <c r="C444" s="342"/>
      <c r="D444" s="359">
        <f t="shared" ca="1" si="182"/>
        <v>-1.2481725210115286</v>
      </c>
      <c r="E444" s="360">
        <f t="shared" ca="1" si="183"/>
        <v>-13.463352465504215</v>
      </c>
      <c r="F444" s="357">
        <f t="shared" ca="1" si="184"/>
        <v>13.521087021856145</v>
      </c>
      <c r="G444" s="359">
        <f t="shared" ca="1" si="185"/>
        <v>33.716917586770172</v>
      </c>
      <c r="H444" s="360">
        <f t="shared" ca="1" si="186"/>
        <v>97.707107550231456</v>
      </c>
      <c r="I444" s="357">
        <f t="shared" ca="1" si="187"/>
        <v>103.3610632558777</v>
      </c>
      <c r="J444" s="359">
        <f t="shared" ca="1" si="188"/>
        <v>254.46426557929846</v>
      </c>
      <c r="K444" s="360">
        <f t="shared" ca="1" si="189"/>
        <v>977.7584382484049</v>
      </c>
      <c r="L444" s="357">
        <f t="shared" ca="1" si="174"/>
        <v>1010.3284743204913</v>
      </c>
      <c r="M444" s="359">
        <f t="shared" ca="1" si="190"/>
        <v>1.2385099251024174</v>
      </c>
      <c r="N444" s="357">
        <f t="shared" ca="1" si="191"/>
        <v>70.961391593432211</v>
      </c>
      <c r="O444" s="343"/>
      <c r="P444" s="363">
        <f t="shared" ca="1" si="192"/>
        <v>23</v>
      </c>
      <c r="Q444" s="357">
        <f t="shared" ca="1" si="193"/>
        <v>0</v>
      </c>
      <c r="R444" s="359">
        <f t="shared" ca="1" si="194"/>
        <v>0</v>
      </c>
      <c r="S444" s="360">
        <f t="shared" ca="1" si="195"/>
        <v>8.3819999999999997</v>
      </c>
      <c r="T444" s="357">
        <f t="shared" ca="1" si="175"/>
        <v>82.227419999999995</v>
      </c>
      <c r="U444" s="364">
        <f t="shared" ca="1" si="176"/>
        <v>0</v>
      </c>
      <c r="V444" s="359">
        <f t="shared" ca="1" si="177"/>
        <v>1.1108072381393761</v>
      </c>
      <c r="W444" s="357">
        <f t="shared" ca="1" si="178"/>
        <v>31.521908848136022</v>
      </c>
      <c r="X444" s="343"/>
      <c r="Y444" s="367" t="str">
        <f t="shared" ca="1" si="196"/>
        <v/>
      </c>
      <c r="Z444" s="368" t="str">
        <f t="shared" ca="1" si="197"/>
        <v>Para</v>
      </c>
      <c r="AA444" s="369" t="str">
        <f t="shared" ca="1" si="198"/>
        <v/>
      </c>
      <c r="AB444" s="344"/>
      <c r="AC444" s="363">
        <f t="shared" ca="1" si="199"/>
        <v>7.9999999999999449</v>
      </c>
      <c r="AD444" s="376">
        <f t="shared" ca="1" si="200"/>
        <v>254.46426557929846</v>
      </c>
      <c r="AE444" s="377">
        <f t="shared" ca="1" si="179"/>
        <v>977.7584382484049</v>
      </c>
      <c r="AF444" s="344"/>
      <c r="AG444" s="359">
        <f t="shared" ca="1" si="201"/>
        <v>-13.143847565956033</v>
      </c>
      <c r="AH444" s="357">
        <f t="shared" ca="1" si="202"/>
        <v>-3.8606889125406108</v>
      </c>
    </row>
    <row r="445" spans="1:34" x14ac:dyDescent="0.2">
      <c r="A445" s="402">
        <f t="shared" ca="1" si="180"/>
        <v>0.1</v>
      </c>
      <c r="B445" s="357">
        <f t="shared" ca="1" si="181"/>
        <v>8.0999999999999446</v>
      </c>
      <c r="C445" s="342"/>
      <c r="D445" s="359">
        <f t="shared" ca="1" si="182"/>
        <v>-1.2267491015361927</v>
      </c>
      <c r="E445" s="360">
        <f t="shared" ca="1" si="183"/>
        <v>-13.364954455503904</v>
      </c>
      <c r="F445" s="357">
        <f t="shared" ca="1" si="184"/>
        <v>13.421137096230465</v>
      </c>
      <c r="G445" s="359">
        <f t="shared" ca="1" si="185"/>
        <v>33.594242676616553</v>
      </c>
      <c r="H445" s="360">
        <f t="shared" ca="1" si="186"/>
        <v>96.370612104681072</v>
      </c>
      <c r="I445" s="357">
        <f t="shared" ca="1" si="187"/>
        <v>102.05815997972091</v>
      </c>
      <c r="J445" s="359">
        <f t="shared" ca="1" si="188"/>
        <v>257.82982359246779</v>
      </c>
      <c r="K445" s="360">
        <f t="shared" ca="1" si="189"/>
        <v>987.46232423115055</v>
      </c>
      <c r="L445" s="357">
        <f t="shared" ca="1" si="174"/>
        <v>1020.5675184473141</v>
      </c>
      <c r="M445" s="359">
        <f t="shared" ca="1" si="190"/>
        <v>1.2353743812347568</v>
      </c>
      <c r="N445" s="357">
        <f t="shared" ca="1" si="191"/>
        <v>70.781738163337138</v>
      </c>
      <c r="O445" s="343"/>
      <c r="P445" s="363">
        <f t="shared" ca="1" si="192"/>
        <v>23</v>
      </c>
      <c r="Q445" s="357">
        <f t="shared" ca="1" si="193"/>
        <v>0</v>
      </c>
      <c r="R445" s="359">
        <f t="shared" ca="1" si="194"/>
        <v>0</v>
      </c>
      <c r="S445" s="360">
        <f t="shared" ca="1" si="195"/>
        <v>8.3819999999999997</v>
      </c>
      <c r="T445" s="357">
        <f t="shared" ca="1" si="175"/>
        <v>82.227419999999995</v>
      </c>
      <c r="U445" s="364">
        <f t="shared" ca="1" si="176"/>
        <v>0</v>
      </c>
      <c r="V445" s="359">
        <f t="shared" ca="1" si="177"/>
        <v>1.1097272406262702</v>
      </c>
      <c r="W445" s="357">
        <f t="shared" ca="1" si="178"/>
        <v>30.702347761051193</v>
      </c>
      <c r="X445" s="343"/>
      <c r="Y445" s="367" t="str">
        <f t="shared" ca="1" si="196"/>
        <v/>
      </c>
      <c r="Z445" s="368" t="str">
        <f t="shared" ca="1" si="197"/>
        <v/>
      </c>
      <c r="AA445" s="369" t="str">
        <f t="shared" ca="1" si="198"/>
        <v/>
      </c>
      <c r="AB445" s="344"/>
      <c r="AC445" s="363" t="e">
        <f t="shared" ca="1" si="199"/>
        <v>#N/A</v>
      </c>
      <c r="AD445" s="376" t="e">
        <f t="shared" ca="1" si="200"/>
        <v>#N/A</v>
      </c>
      <c r="AE445" s="377" t="e">
        <f t="shared" ca="1" si="179"/>
        <v>#N/A</v>
      </c>
      <c r="AF445" s="344"/>
      <c r="AG445" s="359">
        <f t="shared" ca="1" si="201"/>
        <v>-13.034049750522424</v>
      </c>
      <c r="AH445" s="357">
        <f t="shared" ca="1" si="202"/>
        <v>-3.7606667678520669</v>
      </c>
    </row>
    <row r="446" spans="1:34" x14ac:dyDescent="0.2">
      <c r="A446" s="402">
        <f t="shared" ca="1" si="180"/>
        <v>0.1</v>
      </c>
      <c r="B446" s="357">
        <f t="shared" ca="1" si="181"/>
        <v>8.1999999999999442</v>
      </c>
      <c r="C446" s="342"/>
      <c r="D446" s="359">
        <f t="shared" ca="1" si="182"/>
        <v>-1.2057049699532982</v>
      </c>
      <c r="E446" s="360">
        <f t="shared" ca="1" si="183"/>
        <v>-13.268763071117935</v>
      </c>
      <c r="F446" s="357">
        <f t="shared" ca="1" si="184"/>
        <v>13.323430410822626</v>
      </c>
      <c r="G446" s="359">
        <f t="shared" ca="1" si="185"/>
        <v>33.473672179621225</v>
      </c>
      <c r="H446" s="360">
        <f t="shared" ca="1" si="186"/>
        <v>95.043735797569283</v>
      </c>
      <c r="I446" s="357">
        <f t="shared" ca="1" si="187"/>
        <v>100.76605799348758</v>
      </c>
      <c r="J446" s="359">
        <f t="shared" ca="1" si="188"/>
        <v>261.18321933527966</v>
      </c>
      <c r="K446" s="360">
        <f t="shared" ca="1" si="189"/>
        <v>997.03304162626307</v>
      </c>
      <c r="L446" s="357">
        <f t="shared" ca="1" si="174"/>
        <v>1030.6752932698341</v>
      </c>
      <c r="M446" s="359">
        <f t="shared" ca="1" si="190"/>
        <v>1.2321697902794795</v>
      </c>
      <c r="N446" s="357">
        <f t="shared" ca="1" si="191"/>
        <v>70.598128626533949</v>
      </c>
      <c r="O446" s="343"/>
      <c r="P446" s="363">
        <f t="shared" ca="1" si="192"/>
        <v>23</v>
      </c>
      <c r="Q446" s="357">
        <f t="shared" ca="1" si="193"/>
        <v>0</v>
      </c>
      <c r="R446" s="359">
        <f t="shared" ca="1" si="194"/>
        <v>0</v>
      </c>
      <c r="S446" s="360">
        <f t="shared" ca="1" si="195"/>
        <v>8.3819999999999997</v>
      </c>
      <c r="T446" s="357">
        <f t="shared" ca="1" si="175"/>
        <v>82.227419999999995</v>
      </c>
      <c r="U446" s="364">
        <f t="shared" ca="1" si="176"/>
        <v>0</v>
      </c>
      <c r="V446" s="359">
        <f t="shared" ca="1" si="177"/>
        <v>1.1086630419573247</v>
      </c>
      <c r="W446" s="357">
        <f t="shared" ca="1" si="178"/>
        <v>29.901156085038274</v>
      </c>
      <c r="X446" s="343"/>
      <c r="Y446" s="367" t="str">
        <f t="shared" ca="1" si="196"/>
        <v/>
      </c>
      <c r="Z446" s="368" t="str">
        <f t="shared" ca="1" si="197"/>
        <v/>
      </c>
      <c r="AA446" s="369" t="str">
        <f t="shared" ca="1" si="198"/>
        <v/>
      </c>
      <c r="AB446" s="344"/>
      <c r="AC446" s="363" t="e">
        <f t="shared" ca="1" si="199"/>
        <v>#N/A</v>
      </c>
      <c r="AD446" s="376" t="e">
        <f t="shared" ca="1" si="200"/>
        <v>#N/A</v>
      </c>
      <c r="AE446" s="377" t="e">
        <f t="shared" ca="1" si="179"/>
        <v>#N/A</v>
      </c>
      <c r="AF446" s="344"/>
      <c r="AG446" s="359">
        <f t="shared" ca="1" si="201"/>
        <v>-12.926193894292906</v>
      </c>
      <c r="AH446" s="357">
        <f t="shared" ca="1" si="202"/>
        <v>-3.6628904510917675</v>
      </c>
    </row>
    <row r="447" spans="1:34" x14ac:dyDescent="0.2">
      <c r="A447" s="402">
        <f t="shared" ca="1" si="180"/>
        <v>0.1</v>
      </c>
      <c r="B447" s="357">
        <f t="shared" ca="1" si="181"/>
        <v>8.2999999999999439</v>
      </c>
      <c r="C447" s="342"/>
      <c r="D447" s="359">
        <f t="shared" ca="1" si="182"/>
        <v>-1.1850301855259606</v>
      </c>
      <c r="E447" s="360">
        <f t="shared" ca="1" si="183"/>
        <v>-13.174724827945315</v>
      </c>
      <c r="F447" s="357">
        <f t="shared" ca="1" si="184"/>
        <v>13.227912565204171</v>
      </c>
      <c r="G447" s="359">
        <f t="shared" ca="1" si="185"/>
        <v>33.355169161068631</v>
      </c>
      <c r="H447" s="360">
        <f t="shared" ca="1" si="186"/>
        <v>93.726263314774755</v>
      </c>
      <c r="I447" s="357">
        <f t="shared" ca="1" si="187"/>
        <v>99.484570385130553</v>
      </c>
      <c r="J447" s="359">
        <f t="shared" ca="1" si="188"/>
        <v>264.52466140231417</v>
      </c>
      <c r="K447" s="360">
        <f t="shared" ca="1" si="189"/>
        <v>1006.4715415818803</v>
      </c>
      <c r="L447" s="357">
        <f t="shared" ca="1" si="174"/>
        <v>1040.6528049759033</v>
      </c>
      <c r="M447" s="359">
        <f t="shared" ca="1" si="190"/>
        <v>1.2288940976410518</v>
      </c>
      <c r="N447" s="357">
        <f t="shared" ca="1" si="191"/>
        <v>70.410445263369965</v>
      </c>
      <c r="O447" s="343"/>
      <c r="P447" s="363">
        <f t="shared" ca="1" si="192"/>
        <v>23</v>
      </c>
      <c r="Q447" s="357">
        <f t="shared" ca="1" si="193"/>
        <v>0</v>
      </c>
      <c r="R447" s="359">
        <f t="shared" ca="1" si="194"/>
        <v>0</v>
      </c>
      <c r="S447" s="360">
        <f t="shared" ca="1" si="195"/>
        <v>8.3819999999999997</v>
      </c>
      <c r="T447" s="357">
        <f t="shared" ca="1" si="175"/>
        <v>82.227419999999995</v>
      </c>
      <c r="U447" s="364">
        <f t="shared" ca="1" si="176"/>
        <v>0</v>
      </c>
      <c r="V447" s="359">
        <f t="shared" ca="1" si="177"/>
        <v>1.1076144946811037</v>
      </c>
      <c r="W447" s="357">
        <f t="shared" ca="1" si="178"/>
        <v>29.117893925985989</v>
      </c>
      <c r="X447" s="343"/>
      <c r="Y447" s="367" t="str">
        <f t="shared" ca="1" si="196"/>
        <v/>
      </c>
      <c r="Z447" s="368" t="str">
        <f t="shared" ca="1" si="197"/>
        <v/>
      </c>
      <c r="AA447" s="369" t="str">
        <f t="shared" ca="1" si="198"/>
        <v/>
      </c>
      <c r="AB447" s="344"/>
      <c r="AC447" s="363" t="e">
        <f t="shared" ca="1" si="199"/>
        <v>#N/A</v>
      </c>
      <c r="AD447" s="376" t="e">
        <f t="shared" ca="1" si="200"/>
        <v>#N/A</v>
      </c>
      <c r="AE447" s="377" t="e">
        <f t="shared" ca="1" si="179"/>
        <v>#N/A</v>
      </c>
      <c r="AF447" s="344"/>
      <c r="AG447" s="359">
        <f t="shared" ca="1" si="201"/>
        <v>-12.820213506711289</v>
      </c>
      <c r="AH447" s="357">
        <f t="shared" ca="1" si="202"/>
        <v>-3.5673056651202906</v>
      </c>
    </row>
    <row r="448" spans="1:34" x14ac:dyDescent="0.2">
      <c r="A448" s="402">
        <f t="shared" ca="1" si="180"/>
        <v>0.1</v>
      </c>
      <c r="B448" s="357">
        <f t="shared" ca="1" si="181"/>
        <v>8.3999999999999435</v>
      </c>
      <c r="C448" s="342"/>
      <c r="D448" s="359">
        <f t="shared" ca="1" si="182"/>
        <v>-1.1647151425542128</v>
      </c>
      <c r="E448" s="360">
        <f t="shared" ca="1" si="183"/>
        <v>-13.082788023067673</v>
      </c>
      <c r="F448" s="357">
        <f t="shared" ca="1" si="184"/>
        <v>13.13453097068251</v>
      </c>
      <c r="G448" s="359">
        <f t="shared" ca="1" si="185"/>
        <v>33.238697646813208</v>
      </c>
      <c r="H448" s="360">
        <f t="shared" ca="1" si="186"/>
        <v>92.417984512467982</v>
      </c>
      <c r="I448" s="357">
        <f t="shared" ca="1" si="187"/>
        <v>98.213516801930254</v>
      </c>
      <c r="J448" s="359">
        <f t="shared" ca="1" si="188"/>
        <v>267.85435474270827</v>
      </c>
      <c r="K448" s="360">
        <f t="shared" ca="1" si="189"/>
        <v>1015.7787539732424</v>
      </c>
      <c r="L448" s="357">
        <f t="shared" ca="1" si="174"/>
        <v>1050.5010387325019</v>
      </c>
      <c r="M448" s="359">
        <f t="shared" ca="1" si="190"/>
        <v>1.2255451683695207</v>
      </c>
      <c r="N448" s="357">
        <f t="shared" ca="1" si="191"/>
        <v>70.218565750223405</v>
      </c>
      <c r="O448" s="343"/>
      <c r="P448" s="363">
        <f t="shared" ca="1" si="192"/>
        <v>23</v>
      </c>
      <c r="Q448" s="357">
        <f t="shared" ca="1" si="193"/>
        <v>0</v>
      </c>
      <c r="R448" s="359">
        <f t="shared" ca="1" si="194"/>
        <v>0</v>
      </c>
      <c r="S448" s="360">
        <f t="shared" ca="1" si="195"/>
        <v>8.3819999999999997</v>
      </c>
      <c r="T448" s="357">
        <f t="shared" ca="1" si="175"/>
        <v>82.227419999999995</v>
      </c>
      <c r="U448" s="364">
        <f t="shared" ca="1" si="176"/>
        <v>0</v>
      </c>
      <c r="V448" s="359">
        <f t="shared" ca="1" si="177"/>
        <v>1.1065814547550881</v>
      </c>
      <c r="W448" s="357">
        <f t="shared" ca="1" si="178"/>
        <v>28.352136030269843</v>
      </c>
      <c r="X448" s="343"/>
      <c r="Y448" s="367" t="str">
        <f t="shared" ca="1" si="196"/>
        <v/>
      </c>
      <c r="Z448" s="368" t="str">
        <f t="shared" ca="1" si="197"/>
        <v/>
      </c>
      <c r="AA448" s="369" t="str">
        <f t="shared" ca="1" si="198"/>
        <v/>
      </c>
      <c r="AB448" s="344"/>
      <c r="AC448" s="363" t="e">
        <f t="shared" ca="1" si="199"/>
        <v>#N/A</v>
      </c>
      <c r="AD448" s="376" t="e">
        <f t="shared" ca="1" si="200"/>
        <v>#N/A</v>
      </c>
      <c r="AE448" s="377" t="e">
        <f t="shared" ca="1" si="179"/>
        <v>#N/A</v>
      </c>
      <c r="AF448" s="344"/>
      <c r="AG448" s="359">
        <f t="shared" ca="1" si="201"/>
        <v>-12.716043310519805</v>
      </c>
      <c r="AH448" s="357">
        <f t="shared" ca="1" si="202"/>
        <v>-3.4738599291321868</v>
      </c>
    </row>
    <row r="449" spans="1:34" x14ac:dyDescent="0.2">
      <c r="A449" s="402">
        <f t="shared" ca="1" si="180"/>
        <v>0.1</v>
      </c>
      <c r="B449" s="357">
        <f t="shared" ca="1" si="181"/>
        <v>8.4999999999999432</v>
      </c>
      <c r="C449" s="342"/>
      <c r="D449" s="359">
        <f t="shared" ca="1" si="182"/>
        <v>-1.1447505582384521</v>
      </c>
      <c r="E449" s="360">
        <f t="shared" ca="1" si="183"/>
        <v>-12.992902666225961</v>
      </c>
      <c r="F449" s="357">
        <f t="shared" ca="1" si="184"/>
        <v>13.043234780322285</v>
      </c>
      <c r="G449" s="359">
        <f t="shared" ca="1" si="185"/>
        <v>33.124222590989362</v>
      </c>
      <c r="H449" s="360">
        <f t="shared" ca="1" si="186"/>
        <v>91.11869424584539</v>
      </c>
      <c r="I449" s="357">
        <f t="shared" ca="1" si="187"/>
        <v>96.952723341457855</v>
      </c>
      <c r="J449" s="359">
        <f t="shared" ca="1" si="188"/>
        <v>271.17250075459839</v>
      </c>
      <c r="K449" s="360">
        <f t="shared" ca="1" si="189"/>
        <v>1024.9555879111581</v>
      </c>
      <c r="L449" s="357">
        <f t="shared" ca="1" si="174"/>
        <v>1060.2209592136021</v>
      </c>
      <c r="M449" s="359">
        <f t="shared" ca="1" si="190"/>
        <v>1.2221207834162549</v>
      </c>
      <c r="N449" s="357">
        <f t="shared" ca="1" si="191"/>
        <v>70.022362944973167</v>
      </c>
      <c r="O449" s="343"/>
      <c r="P449" s="363">
        <f t="shared" ca="1" si="192"/>
        <v>23</v>
      </c>
      <c r="Q449" s="357">
        <f t="shared" ca="1" si="193"/>
        <v>0</v>
      </c>
      <c r="R449" s="359">
        <f t="shared" ca="1" si="194"/>
        <v>0</v>
      </c>
      <c r="S449" s="360">
        <f t="shared" ca="1" si="195"/>
        <v>8.3819999999999997</v>
      </c>
      <c r="T449" s="357">
        <f t="shared" ca="1" si="175"/>
        <v>82.227419999999995</v>
      </c>
      <c r="U449" s="364">
        <f t="shared" ca="1" si="176"/>
        <v>0</v>
      </c>
      <c r="V449" s="359">
        <f t="shared" ca="1" si="177"/>
        <v>1.1055637814604384</v>
      </c>
      <c r="W449" s="357">
        <f t="shared" ca="1" si="178"/>
        <v>27.60347122733593</v>
      </c>
      <c r="X449" s="343"/>
      <c r="Y449" s="367" t="str">
        <f t="shared" ca="1" si="196"/>
        <v/>
      </c>
      <c r="Z449" s="368" t="str">
        <f t="shared" ca="1" si="197"/>
        <v/>
      </c>
      <c r="AA449" s="369" t="str">
        <f t="shared" ca="1" si="198"/>
        <v/>
      </c>
      <c r="AB449" s="344"/>
      <c r="AC449" s="363" t="e">
        <f t="shared" ca="1" si="199"/>
        <v>#N/A</v>
      </c>
      <c r="AD449" s="376" t="e">
        <f t="shared" ca="1" si="200"/>
        <v>#N/A</v>
      </c>
      <c r="AE449" s="377" t="e">
        <f t="shared" ca="1" si="179"/>
        <v>#N/A</v>
      </c>
      <c r="AF449" s="344"/>
      <c r="AG449" s="359">
        <f t="shared" ca="1" si="201"/>
        <v>-12.613619137210609</v>
      </c>
      <c r="AH449" s="357">
        <f t="shared" ca="1" si="202"/>
        <v>-3.3825025089799383</v>
      </c>
    </row>
    <row r="450" spans="1:34" x14ac:dyDescent="0.2">
      <c r="A450" s="402">
        <f t="shared" ca="1" si="180"/>
        <v>0.1</v>
      </c>
      <c r="B450" s="357">
        <f t="shared" ca="1" si="181"/>
        <v>8.5999999999999428</v>
      </c>
      <c r="C450" s="342"/>
      <c r="D450" s="359">
        <f t="shared" ca="1" si="182"/>
        <v>-1.1251274611508464</v>
      </c>
      <c r="E450" s="360">
        <f t="shared" ca="1" si="183"/>
        <v>-12.905020414097095</v>
      </c>
      <c r="F450" s="357">
        <f t="shared" ca="1" si="184"/>
        <v>12.953974822119214</v>
      </c>
      <c r="G450" s="359">
        <f t="shared" ca="1" si="185"/>
        <v>33.011709844874275</v>
      </c>
      <c r="H450" s="360">
        <f t="shared" ca="1" si="186"/>
        <v>89.82819220443568</v>
      </c>
      <c r="I450" s="357">
        <f t="shared" ca="1" si="187"/>
        <v>95.702022453024512</v>
      </c>
      <c r="J450" s="359">
        <f t="shared" ca="1" si="188"/>
        <v>274.47929737639157</v>
      </c>
      <c r="K450" s="360">
        <f t="shared" ca="1" si="189"/>
        <v>1034.0029322336723</v>
      </c>
      <c r="L450" s="357">
        <f t="shared" ca="1" si="174"/>
        <v>1069.8135111111983</v>
      </c>
      <c r="M450" s="359">
        <f t="shared" ca="1" si="190"/>
        <v>1.2186186356917732</v>
      </c>
      <c r="N450" s="357">
        <f t="shared" ca="1" si="191"/>
        <v>69.821704661129033</v>
      </c>
      <c r="O450" s="343"/>
      <c r="P450" s="363">
        <f t="shared" ca="1" si="192"/>
        <v>23</v>
      </c>
      <c r="Q450" s="357">
        <f t="shared" ca="1" si="193"/>
        <v>0</v>
      </c>
      <c r="R450" s="359">
        <f t="shared" ca="1" si="194"/>
        <v>0</v>
      </c>
      <c r="S450" s="360">
        <f t="shared" ca="1" si="195"/>
        <v>8.3819999999999997</v>
      </c>
      <c r="T450" s="357">
        <f t="shared" ca="1" si="175"/>
        <v>82.227419999999995</v>
      </c>
      <c r="U450" s="364">
        <f t="shared" ca="1" si="176"/>
        <v>0</v>
      </c>
      <c r="V450" s="359">
        <f t="shared" ca="1" si="177"/>
        <v>1.1045613373196639</v>
      </c>
      <c r="W450" s="357">
        <f t="shared" ca="1" si="178"/>
        <v>26.871501897523551</v>
      </c>
      <c r="X450" s="343"/>
      <c r="Y450" s="367" t="str">
        <f t="shared" ca="1" si="196"/>
        <v/>
      </c>
      <c r="Z450" s="368" t="str">
        <f t="shared" ca="1" si="197"/>
        <v/>
      </c>
      <c r="AA450" s="369" t="str">
        <f t="shared" ca="1" si="198"/>
        <v/>
      </c>
      <c r="AB450" s="344"/>
      <c r="AC450" s="363" t="e">
        <f t="shared" ca="1" si="199"/>
        <v>#N/A</v>
      </c>
      <c r="AD450" s="376" t="e">
        <f t="shared" ca="1" si="200"/>
        <v>#N/A</v>
      </c>
      <c r="AE450" s="377" t="e">
        <f t="shared" ca="1" si="179"/>
        <v>#N/A</v>
      </c>
      <c r="AF450" s="344"/>
      <c r="AG450" s="359">
        <f t="shared" ca="1" si="201"/>
        <v>-12.512877823372541</v>
      </c>
      <c r="AH450" s="357">
        <f t="shared" ca="1" si="202"/>
        <v>-3.293184350672385</v>
      </c>
    </row>
    <row r="451" spans="1:34" x14ac:dyDescent="0.2">
      <c r="A451" s="402">
        <f t="shared" ca="1" si="180"/>
        <v>0.1</v>
      </c>
      <c r="B451" s="357">
        <f t="shared" ca="1" si="181"/>
        <v>8.6999999999999424</v>
      </c>
      <c r="C451" s="342"/>
      <c r="D451" s="359">
        <f t="shared" ca="1" si="182"/>
        <v>-1.1058371802873159</v>
      </c>
      <c r="E451" s="360">
        <f t="shared" ca="1" si="183"/>
        <v>-12.819094507508037</v>
      </c>
      <c r="F451" s="357">
        <f t="shared" ca="1" si="184"/>
        <v>12.866703535161152</v>
      </c>
      <c r="G451" s="359">
        <f t="shared" ca="1" si="185"/>
        <v>32.901126126845547</v>
      </c>
      <c r="H451" s="360">
        <f t="shared" ca="1" si="186"/>
        <v>88.546282753684878</v>
      </c>
      <c r="I451" s="357">
        <f t="shared" ca="1" si="187"/>
        <v>94.461252849568481</v>
      </c>
      <c r="J451" s="359">
        <f t="shared" ca="1" si="188"/>
        <v>277.77493917497759</v>
      </c>
      <c r="K451" s="360">
        <f t="shared" ca="1" si="189"/>
        <v>1042.9216559815782</v>
      </c>
      <c r="L451" s="357">
        <f t="shared" ca="1" si="174"/>
        <v>1079.2796196301585</v>
      </c>
      <c r="M451" s="359">
        <f t="shared" ca="1" si="190"/>
        <v>1.2150363259145323</v>
      </c>
      <c r="N451" s="357">
        <f t="shared" ca="1" si="191"/>
        <v>69.616453429984674</v>
      </c>
      <c r="O451" s="343"/>
      <c r="P451" s="363">
        <f t="shared" ca="1" si="192"/>
        <v>23</v>
      </c>
      <c r="Q451" s="357">
        <f t="shared" ca="1" si="193"/>
        <v>0</v>
      </c>
      <c r="R451" s="359">
        <f t="shared" ca="1" si="194"/>
        <v>0</v>
      </c>
      <c r="S451" s="360">
        <f t="shared" ca="1" si="195"/>
        <v>8.3819999999999997</v>
      </c>
      <c r="T451" s="357">
        <f t="shared" ca="1" si="175"/>
        <v>82.227419999999995</v>
      </c>
      <c r="U451" s="364">
        <f t="shared" ca="1" si="176"/>
        <v>0</v>
      </c>
      <c r="V451" s="359">
        <f t="shared" ca="1" si="177"/>
        <v>1.1035739880170798</v>
      </c>
      <c r="W451" s="357">
        <f t="shared" ca="1" si="178"/>
        <v>26.155843463836298</v>
      </c>
      <c r="X451" s="343"/>
      <c r="Y451" s="367" t="str">
        <f t="shared" ca="1" si="196"/>
        <v/>
      </c>
      <c r="Z451" s="368" t="str">
        <f t="shared" ca="1" si="197"/>
        <v/>
      </c>
      <c r="AA451" s="369" t="str">
        <f t="shared" ca="1" si="198"/>
        <v/>
      </c>
      <c r="AB451" s="344"/>
      <c r="AC451" s="363" t="e">
        <f t="shared" ca="1" si="199"/>
        <v>#N/A</v>
      </c>
      <c r="AD451" s="376" t="e">
        <f t="shared" ca="1" si="200"/>
        <v>#N/A</v>
      </c>
      <c r="AE451" s="377" t="e">
        <f t="shared" ca="1" si="179"/>
        <v>#N/A</v>
      </c>
      <c r="AF451" s="344"/>
      <c r="AG451" s="359">
        <f t="shared" ca="1" si="201"/>
        <v>-12.413757107606777</v>
      </c>
      <c r="AH451" s="357">
        <f t="shared" ca="1" si="202"/>
        <v>-3.2058580168842226</v>
      </c>
    </row>
    <row r="452" spans="1:34" x14ac:dyDescent="0.2">
      <c r="A452" s="402">
        <f t="shared" ca="1" si="180"/>
        <v>0.1</v>
      </c>
      <c r="B452" s="357">
        <f t="shared" ca="1" si="181"/>
        <v>8.7999999999999421</v>
      </c>
      <c r="C452" s="342"/>
      <c r="D452" s="359">
        <f t="shared" ca="1" si="182"/>
        <v>-1.0868713346745487</v>
      </c>
      <c r="E452" s="360">
        <f t="shared" ca="1" si="183"/>
        <v>-12.735079711434015</v>
      </c>
      <c r="F452" s="357">
        <f t="shared" ca="1" si="184"/>
        <v>12.78137490862057</v>
      </c>
      <c r="G452" s="359">
        <f t="shared" ca="1" si="185"/>
        <v>32.792438993378092</v>
      </c>
      <c r="H452" s="360">
        <f t="shared" ca="1" si="186"/>
        <v>87.272774782541475</v>
      </c>
      <c r="I452" s="357">
        <f t="shared" ca="1" si="187"/>
        <v>93.230259429965287</v>
      </c>
      <c r="J452" s="359">
        <f t="shared" ca="1" si="188"/>
        <v>281.05961743098879</v>
      </c>
      <c r="K452" s="360">
        <f t="shared" ca="1" si="189"/>
        <v>1051.7126088583896</v>
      </c>
      <c r="L452" s="357">
        <f t="shared" ref="L452:L515" ca="1" si="203">SQRT(pos_x^2+pos_z^2)</f>
        <v>1088.6201909675265</v>
      </c>
      <c r="M452" s="359">
        <f t="shared" ca="1" si="190"/>
        <v>1.2113713582389434</v>
      </c>
      <c r="N452" s="357">
        <f t="shared" ca="1" si="191"/>
        <v>69.406466250121554</v>
      </c>
      <c r="O452" s="343"/>
      <c r="P452" s="363">
        <f t="shared" ca="1" si="192"/>
        <v>23</v>
      </c>
      <c r="Q452" s="357">
        <f t="shared" ca="1" si="193"/>
        <v>0</v>
      </c>
      <c r="R452" s="359">
        <f t="shared" ca="1" si="194"/>
        <v>0</v>
      </c>
      <c r="S452" s="360">
        <f t="shared" ca="1" si="195"/>
        <v>8.3819999999999997</v>
      </c>
      <c r="T452" s="357">
        <f t="shared" ref="T452:T515" ca="1" si="204">m*g</f>
        <v>82.227419999999995</v>
      </c>
      <c r="U452" s="364">
        <f t="shared" ref="U452:U515" ca="1" si="205">IF(pos_xz&lt;L_rampe,Poids*COS(Beta),0)</f>
        <v>0</v>
      </c>
      <c r="V452" s="359">
        <f t="shared" ref="V452:V515" ca="1" si="206">Rho_moyen*(20000-Alt_rampe-pos_z)/(20000+Alt_rampe+pos_z)</f>
        <v>1.1026016023219507</v>
      </c>
      <c r="W452" s="357">
        <f t="shared" ref="W452:W515" ca="1" si="207">1/2*Rho*Sref*Cx*vit_xz^2</f>
        <v>25.456123906445008</v>
      </c>
      <c r="X452" s="343"/>
      <c r="Y452" s="367" t="str">
        <f t="shared" ca="1" si="196"/>
        <v/>
      </c>
      <c r="Z452" s="368" t="str">
        <f t="shared" ca="1" si="197"/>
        <v/>
      </c>
      <c r="AA452" s="369" t="str">
        <f t="shared" ca="1" si="198"/>
        <v/>
      </c>
      <c r="AB452" s="344"/>
      <c r="AC452" s="363" t="e">
        <f t="shared" ca="1" si="199"/>
        <v>#N/A</v>
      </c>
      <c r="AD452" s="376" t="e">
        <f t="shared" ca="1" si="200"/>
        <v>#N/A</v>
      </c>
      <c r="AE452" s="377" t="e">
        <f t="shared" ref="AE452:AE515" ca="1" si="208">IF(t&lt;T_para, pos_z, NA())</f>
        <v>#N/A</v>
      </c>
      <c r="AF452" s="344"/>
      <c r="AG452" s="359">
        <f t="shared" ca="1" si="201"/>
        <v>-12.316195527682403</v>
      </c>
      <c r="AH452" s="357">
        <f t="shared" ca="1" si="202"/>
        <v>-3.1204776263226317</v>
      </c>
    </row>
    <row r="453" spans="1:34" x14ac:dyDescent="0.2">
      <c r="A453" s="402">
        <f t="shared" ref="A453:A516" ca="1" si="209">IF(B452+0.01&lt;=T_ini+ROUNDUP(Temps_fin_propu,0), 0.01, IF(K452&gt;0, 0.1, 0.0001))</f>
        <v>0.1</v>
      </c>
      <c r="B453" s="357">
        <f t="shared" ref="B453:B516" ca="1" si="210">B452+pas</f>
        <v>8.8999999999999417</v>
      </c>
      <c r="C453" s="342"/>
      <c r="D453" s="359">
        <f t="shared" ref="D453:D516" ca="1" si="211">IF(AND(L452&lt;L_rampe,Poussee&lt;Poids*SIN(M452)),0,(-W452+Poussee)/m*COS(M452)-U452/m*SIN(M452))</f>
        <v>-1.0682218235082799</v>
      </c>
      <c r="E453" s="360">
        <f t="shared" ref="E453:E516" ca="1" si="212">IF(AND(L452&lt;L_rampe,Poussee&lt;Poids*SIN(M452)),0,(-W452+Poussee)/m*SIN(M452)+U452/m*COS(M452)-Poids/m)</f>
        <v>-12.65293225763596</v>
      </c>
      <c r="F453" s="357">
        <f t="shared" ref="F453:F516" ca="1" si="213">SQRT(acc_x^2+acc_z^2)</f>
        <v>12.697944423431061</v>
      </c>
      <c r="G453" s="359">
        <f t="shared" ref="G453:G516" ca="1" si="214">G452+acc_x*pas</f>
        <v>32.685616811027266</v>
      </c>
      <c r="H453" s="360">
        <f t="shared" ref="H453:H516" ca="1" si="215">H452+acc_z*pas</f>
        <v>86.007481556777876</v>
      </c>
      <c r="I453" s="357">
        <f t="shared" ref="I453:I516" ca="1" si="216">SQRT(vit_x^2+vit_z^2)</f>
        <v>92.008893211780318</v>
      </c>
      <c r="J453" s="359">
        <f t="shared" ref="J453:J516" ca="1" si="217">J452+0.5*(vit_x+G452)*pas*(K452&gt;=0)</f>
        <v>284.33352022120908</v>
      </c>
      <c r="K453" s="360">
        <f t="shared" ref="K453:K516" ca="1" si="218">K452+0.5*(vit_z+H452)*pas</f>
        <v>1060.3766216753556</v>
      </c>
      <c r="L453" s="357">
        <f t="shared" ca="1" si="203"/>
        <v>1097.8361127768685</v>
      </c>
      <c r="M453" s="359">
        <f t="shared" ref="M453:M516" ca="1" si="219">IF(AND(L452&gt;L_rampe,G453&gt;0),ATAN2(G453,H453),$M$4)</f>
        <v>1.2076211356502646</v>
      </c>
      <c r="N453" s="357">
        <f t="shared" ref="N453:N516" ca="1" si="220">DEGREES(Beta)</f>
        <v>69.191594323555634</v>
      </c>
      <c r="O453" s="343"/>
      <c r="P453" s="363">
        <f t="shared" ref="P453:P516" ca="1" si="221">MATCH(t-pas/2-T_ini,CdP_t)</f>
        <v>23</v>
      </c>
      <c r="Q453" s="357">
        <f t="shared" ref="Q453:Q516" ca="1" si="222">(INDEX(CdP,2,i_P+1)-INDEX(CdP,2,i_P+0))/(INDEX(CdP,1,i_P+1)-INDEX(CdP,1,i_P+0))*(t-pas/2-T_ini-INDEX(CdP,1,i_P+0))+INDEX(CdP,2,i_P+0)</f>
        <v>0</v>
      </c>
      <c r="R453" s="359">
        <f t="shared" ref="R453:R516" ca="1" si="223">Poussee/(g*ISP)</f>
        <v>0</v>
      </c>
      <c r="S453" s="360">
        <f t="shared" ref="S453:S516" ca="1" si="224">S452-Débit*pas</f>
        <v>8.3819999999999997</v>
      </c>
      <c r="T453" s="357">
        <f t="shared" ca="1" si="204"/>
        <v>82.227419999999995</v>
      </c>
      <c r="U453" s="364">
        <f t="shared" ca="1" si="205"/>
        <v>0</v>
      </c>
      <c r="V453" s="359">
        <f t="shared" ca="1" si="206"/>
        <v>1.1016440520142057</v>
      </c>
      <c r="W453" s="357">
        <f t="shared" ca="1" si="207"/>
        <v>24.77198329877573</v>
      </c>
      <c r="X453" s="343"/>
      <c r="Y453" s="367" t="str">
        <f t="shared" ref="Y453:Y516" ca="1" si="225">IF(AND(pos_z&lt;=0,K452&gt;0),"Impact balistique","") &amp; IF(AND(H454&lt;0,vit_z&gt;=0),"Apogée","") &amp; IF(AND(Poussee=0,Q452&gt;0),"Fin de propulsion","") &amp; IF(AND(L454&gt;L_rampe,pos_xz&lt;=L_rampe),"Sortie de rampe","")</f>
        <v/>
      </c>
      <c r="Z453" s="368" t="str">
        <f t="shared" ref="Z453:Z516" ca="1" si="226">IF(ABS(t-T_para)&lt;pas/2,"Para","")</f>
        <v/>
      </c>
      <c r="AA453" s="369" t="str">
        <f t="shared" ref="AA453:AA516" ca="1" si="227">IF(ABS(t-T_satellite)&lt;pas/2,"Satellite","")</f>
        <v/>
      </c>
      <c r="AB453" s="344"/>
      <c r="AC453" s="363" t="e">
        <f t="shared" ref="AC453:AC516" ca="1" si="228">IF(ABS(t-ROUND(t,0))&lt;0.001,t,NA())</f>
        <v>#N/A</v>
      </c>
      <c r="AD453" s="376" t="e">
        <f t="shared" ref="AD453:AD516" ca="1" si="229">IF(ABS(t-ROUND(t,0))&lt;0.001,pos_x,NA())</f>
        <v>#N/A</v>
      </c>
      <c r="AE453" s="377" t="e">
        <f t="shared" ca="1" si="208"/>
        <v>#N/A</v>
      </c>
      <c r="AF453" s="344"/>
      <c r="AG453" s="359">
        <f t="shared" ref="AG453:AG516" ca="1" si="230">IF(AND(L452&lt;L_rampe,Poussee&lt;Poids*SIN(M452)),0,(-W452+Poussee)/m-Poids*SIN(M452)/m)</f>
        <v>-12.220132317598463</v>
      </c>
      <c r="AH453" s="357">
        <f t="shared" ref="AH453:AH516" ca="1" si="231">IF(AND(L452&lt;L_rampe,Poussee&lt;Poids*SIN(M452)), g*SIN(M452), (-W452+Poussee)/m)</f>
        <v>-3.0369987958058946</v>
      </c>
    </row>
    <row r="454" spans="1:34" x14ac:dyDescent="0.2">
      <c r="A454" s="402">
        <f t="shared" ca="1" si="209"/>
        <v>0.1</v>
      </c>
      <c r="B454" s="357">
        <f t="shared" ca="1" si="210"/>
        <v>8.9999999999999414</v>
      </c>
      <c r="C454" s="342"/>
      <c r="D454" s="359">
        <f t="shared" ca="1" si="211"/>
        <v>-1.0498808168007694</v>
      </c>
      <c r="E454" s="360">
        <f t="shared" ca="1" si="212"/>
        <v>-12.572609789800357</v>
      </c>
      <c r="F454" s="357">
        <f t="shared" ca="1" si="213"/>
        <v>12.616368996508863</v>
      </c>
      <c r="G454" s="359">
        <f t="shared" ca="1" si="214"/>
        <v>32.58062872934719</v>
      </c>
      <c r="H454" s="360">
        <f t="shared" ca="1" si="215"/>
        <v>84.750220577797833</v>
      </c>
      <c r="I454" s="357">
        <f t="shared" ca="1" si="216"/>
        <v>90.797011274518013</v>
      </c>
      <c r="J454" s="359">
        <f t="shared" ca="1" si="217"/>
        <v>287.5968324982278</v>
      </c>
      <c r="K454" s="360">
        <f t="shared" ca="1" si="218"/>
        <v>1068.9145067820843</v>
      </c>
      <c r="L454" s="357">
        <f t="shared" ca="1" si="203"/>
        <v>1106.9282546182478</v>
      </c>
      <c r="M454" s="359">
        <f t="shared" ca="1" si="219"/>
        <v>1.2037829551133719</v>
      </c>
      <c r="N454" s="357">
        <f t="shared" ca="1" si="220"/>
        <v>68.971682777782434</v>
      </c>
      <c r="O454" s="343"/>
      <c r="P454" s="363">
        <f t="shared" ca="1" si="221"/>
        <v>23</v>
      </c>
      <c r="Q454" s="357">
        <f t="shared" ca="1" si="222"/>
        <v>0</v>
      </c>
      <c r="R454" s="359">
        <f t="shared" ca="1" si="223"/>
        <v>0</v>
      </c>
      <c r="S454" s="360">
        <f t="shared" ca="1" si="224"/>
        <v>8.3819999999999997</v>
      </c>
      <c r="T454" s="357">
        <f t="shared" ca="1" si="204"/>
        <v>82.227419999999995</v>
      </c>
      <c r="U454" s="364">
        <f t="shared" ca="1" si="205"/>
        <v>0</v>
      </c>
      <c r="V454" s="359">
        <f t="shared" ca="1" si="206"/>
        <v>1.10070121181264</v>
      </c>
      <c r="W454" s="357">
        <f t="shared" ca="1" si="207"/>
        <v>24.103073364100968</v>
      </c>
      <c r="X454" s="343"/>
      <c r="Y454" s="367" t="str">
        <f t="shared" ca="1" si="225"/>
        <v/>
      </c>
      <c r="Z454" s="368" t="str">
        <f t="shared" ca="1" si="226"/>
        <v/>
      </c>
      <c r="AA454" s="369" t="str">
        <f t="shared" ca="1" si="227"/>
        <v/>
      </c>
      <c r="AB454" s="344"/>
      <c r="AC454" s="363">
        <f t="shared" ca="1" si="228"/>
        <v>8.9999999999999414</v>
      </c>
      <c r="AD454" s="376">
        <f t="shared" ca="1" si="229"/>
        <v>287.5968324982278</v>
      </c>
      <c r="AE454" s="377" t="e">
        <f t="shared" ca="1" si="208"/>
        <v>#N/A</v>
      </c>
      <c r="AF454" s="344"/>
      <c r="AG454" s="359">
        <f t="shared" ca="1" si="230"/>
        <v>-12.125507304213231</v>
      </c>
      <c r="AH454" s="357">
        <f t="shared" ca="1" si="231"/>
        <v>-2.9553785849171716</v>
      </c>
    </row>
    <row r="455" spans="1:34" x14ac:dyDescent="0.2">
      <c r="A455" s="402">
        <f t="shared" ca="1" si="209"/>
        <v>0.1</v>
      </c>
      <c r="B455" s="357">
        <f t="shared" ca="1" si="210"/>
        <v>9.099999999999941</v>
      </c>
      <c r="C455" s="342"/>
      <c r="D455" s="359">
        <f t="shared" ca="1" si="211"/>
        <v>-1.0318407465170103</v>
      </c>
      <c r="E455" s="360">
        <f t="shared" ca="1" si="212"/>
        <v>-12.494071311051965</v>
      </c>
      <c r="F455" s="357">
        <f t="shared" ca="1" si="213"/>
        <v>12.53660692738767</v>
      </c>
      <c r="G455" s="359">
        <f t="shared" ca="1" si="214"/>
        <v>32.477444654695489</v>
      </c>
      <c r="H455" s="360">
        <f t="shared" ca="1" si="215"/>
        <v>83.500813446692632</v>
      </c>
      <c r="I455" s="357">
        <f t="shared" ca="1" si="216"/>
        <v>89.594476713456913</v>
      </c>
      <c r="J455" s="359">
        <f t="shared" ca="1" si="217"/>
        <v>290.84973616742991</v>
      </c>
      <c r="K455" s="360">
        <f t="shared" ca="1" si="218"/>
        <v>1077.327058483309</v>
      </c>
      <c r="L455" s="357">
        <f t="shared" ca="1" si="203"/>
        <v>1115.8974683943693</v>
      </c>
      <c r="M455" s="359">
        <f t="shared" ca="1" si="219"/>
        <v>1.199854002461751</v>
      </c>
      <c r="N455" s="357">
        <f t="shared" ca="1" si="220"/>
        <v>68.746570372937825</v>
      </c>
      <c r="O455" s="343"/>
      <c r="P455" s="363">
        <f t="shared" ca="1" si="221"/>
        <v>23</v>
      </c>
      <c r="Q455" s="357">
        <f t="shared" ca="1" si="222"/>
        <v>0</v>
      </c>
      <c r="R455" s="359">
        <f t="shared" ca="1" si="223"/>
        <v>0</v>
      </c>
      <c r="S455" s="360">
        <f t="shared" ca="1" si="224"/>
        <v>8.3819999999999997</v>
      </c>
      <c r="T455" s="357">
        <f t="shared" ca="1" si="204"/>
        <v>82.227419999999995</v>
      </c>
      <c r="U455" s="364">
        <f t="shared" ca="1" si="205"/>
        <v>0</v>
      </c>
      <c r="V455" s="359">
        <f t="shared" ca="1" si="206"/>
        <v>1.0997729593054939</v>
      </c>
      <c r="W455" s="357">
        <f t="shared" ca="1" si="207"/>
        <v>23.449057051612925</v>
      </c>
      <c r="X455" s="343"/>
      <c r="Y455" s="367" t="str">
        <f t="shared" ca="1" si="225"/>
        <v/>
      </c>
      <c r="Z455" s="368" t="str">
        <f t="shared" ca="1" si="226"/>
        <v/>
      </c>
      <c r="AA455" s="369" t="str">
        <f t="shared" ca="1" si="227"/>
        <v/>
      </c>
      <c r="AB455" s="344"/>
      <c r="AC455" s="363" t="e">
        <f t="shared" ca="1" si="228"/>
        <v>#N/A</v>
      </c>
      <c r="AD455" s="376" t="e">
        <f t="shared" ca="1" si="229"/>
        <v>#N/A</v>
      </c>
      <c r="AE455" s="377" t="e">
        <f t="shared" ca="1" si="208"/>
        <v>#N/A</v>
      </c>
      <c r="AF455" s="344"/>
      <c r="AG455" s="359">
        <f t="shared" ca="1" si="230"/>
        <v>-12.032260803094063</v>
      </c>
      <c r="AH455" s="357">
        <f t="shared" ca="1" si="231"/>
        <v>-2.8755754431043865</v>
      </c>
    </row>
    <row r="456" spans="1:34" x14ac:dyDescent="0.2">
      <c r="A456" s="402">
        <f t="shared" ca="1" si="209"/>
        <v>0.1</v>
      </c>
      <c r="B456" s="357">
        <f t="shared" ca="1" si="210"/>
        <v>9.1999999999999407</v>
      </c>
      <c r="C456" s="342"/>
      <c r="D456" s="359">
        <f t="shared" ca="1" si="211"/>
        <v>-1.0140942981807259</v>
      </c>
      <c r="E456" s="360">
        <f t="shared" ca="1" si="212"/>
        <v>-12.417277133716894</v>
      </c>
      <c r="F456" s="357">
        <f t="shared" ca="1" si="213"/>
        <v>12.458617847142238</v>
      </c>
      <c r="G456" s="359">
        <f t="shared" ca="1" si="214"/>
        <v>32.37603522487742</v>
      </c>
      <c r="H456" s="360">
        <f t="shared" ca="1" si="215"/>
        <v>82.259085733320944</v>
      </c>
      <c r="I456" s="357">
        <f t="shared" ca="1" si="216"/>
        <v>88.401158604196752</v>
      </c>
      <c r="J456" s="359">
        <f t="shared" ca="1" si="217"/>
        <v>294.09241016140857</v>
      </c>
      <c r="K456" s="360">
        <f t="shared" ca="1" si="218"/>
        <v>1085.6150534423095</v>
      </c>
      <c r="L456" s="357">
        <f t="shared" ca="1" si="203"/>
        <v>1124.7445887734223</v>
      </c>
      <c r="M456" s="359">
        <f t="shared" ca="1" si="219"/>
        <v>1.19583134701238</v>
      </c>
      <c r="N456" s="357">
        <f t="shared" ca="1" si="220"/>
        <v>68.516089193253563</v>
      </c>
      <c r="O456" s="343"/>
      <c r="P456" s="363">
        <f t="shared" ca="1" si="221"/>
        <v>23</v>
      </c>
      <c r="Q456" s="357">
        <f t="shared" ca="1" si="222"/>
        <v>0</v>
      </c>
      <c r="R456" s="359">
        <f t="shared" ca="1" si="223"/>
        <v>0</v>
      </c>
      <c r="S456" s="360">
        <f t="shared" ca="1" si="224"/>
        <v>8.3819999999999997</v>
      </c>
      <c r="T456" s="357">
        <f t="shared" ca="1" si="204"/>
        <v>82.227419999999995</v>
      </c>
      <c r="U456" s="364">
        <f t="shared" ca="1" si="205"/>
        <v>0</v>
      </c>
      <c r="V456" s="359">
        <f t="shared" ca="1" si="206"/>
        <v>1.0988591748833314</v>
      </c>
      <c r="W456" s="357">
        <f t="shared" ca="1" si="207"/>
        <v>22.809608131015366</v>
      </c>
      <c r="X456" s="343"/>
      <c r="Y456" s="367" t="str">
        <f t="shared" ca="1" si="225"/>
        <v/>
      </c>
      <c r="Z456" s="368" t="str">
        <f t="shared" ca="1" si="226"/>
        <v/>
      </c>
      <c r="AA456" s="369" t="str">
        <f t="shared" ca="1" si="227"/>
        <v/>
      </c>
      <c r="AB456" s="344"/>
      <c r="AC456" s="363" t="e">
        <f t="shared" ca="1" si="228"/>
        <v>#N/A</v>
      </c>
      <c r="AD456" s="376" t="e">
        <f t="shared" ca="1" si="229"/>
        <v>#N/A</v>
      </c>
      <c r="AE456" s="377" t="e">
        <f t="shared" ca="1" si="208"/>
        <v>#N/A</v>
      </c>
      <c r="AF456" s="344"/>
      <c r="AG456" s="359">
        <f t="shared" ca="1" si="230"/>
        <v>-11.940333513232106</v>
      </c>
      <c r="AH456" s="357">
        <f t="shared" ca="1" si="231"/>
        <v>-2.7975491591043817</v>
      </c>
    </row>
    <row r="457" spans="1:34" x14ac:dyDescent="0.2">
      <c r="A457" s="402">
        <f t="shared" ca="1" si="209"/>
        <v>0.1</v>
      </c>
      <c r="B457" s="357">
        <f t="shared" ca="1" si="210"/>
        <v>9.2999999999999403</v>
      </c>
      <c r="C457" s="342"/>
      <c r="D457" s="359">
        <f t="shared" ca="1" si="211"/>
        <v>-0.9966344029326939</v>
      </c>
      <c r="E457" s="360">
        <f t="shared" ca="1" si="212"/>
        <v>-12.342188831219929</v>
      </c>
      <c r="F457" s="357">
        <f t="shared" ca="1" si="213"/>
        <v>12.38236266948271</v>
      </c>
      <c r="G457" s="359">
        <f t="shared" ca="1" si="214"/>
        <v>32.27637178458415</v>
      </c>
      <c r="H457" s="360">
        <f t="shared" ca="1" si="215"/>
        <v>81.024866850198947</v>
      </c>
      <c r="I457" s="357">
        <f t="shared" ca="1" si="216"/>
        <v>87.21693197808078</v>
      </c>
      <c r="J457" s="359">
        <f t="shared" ca="1" si="217"/>
        <v>297.32503051188166</v>
      </c>
      <c r="K457" s="360">
        <f t="shared" ca="1" si="218"/>
        <v>1093.7792510714855</v>
      </c>
      <c r="L457" s="357">
        <f t="shared" ca="1" si="203"/>
        <v>1133.4704335991262</v>
      </c>
      <c r="M457" s="359">
        <f t="shared" ca="1" si="219"/>
        <v>1.1917119358914803</v>
      </c>
      <c r="N457" s="357">
        <f t="shared" ca="1" si="220"/>
        <v>68.280064321946753</v>
      </c>
      <c r="O457" s="343"/>
      <c r="P457" s="363">
        <f t="shared" ca="1" si="221"/>
        <v>23</v>
      </c>
      <c r="Q457" s="357">
        <f t="shared" ca="1" si="222"/>
        <v>0</v>
      </c>
      <c r="R457" s="359">
        <f t="shared" ca="1" si="223"/>
        <v>0</v>
      </c>
      <c r="S457" s="360">
        <f t="shared" ca="1" si="224"/>
        <v>8.3819999999999997</v>
      </c>
      <c r="T457" s="357">
        <f t="shared" ca="1" si="204"/>
        <v>82.227419999999995</v>
      </c>
      <c r="U457" s="364">
        <f t="shared" ca="1" si="205"/>
        <v>0</v>
      </c>
      <c r="V457" s="359">
        <f t="shared" ca="1" si="206"/>
        <v>1.0979597416741234</v>
      </c>
      <c r="W457" s="357">
        <f t="shared" ca="1" si="207"/>
        <v>22.184410804723409</v>
      </c>
      <c r="X457" s="343"/>
      <c r="Y457" s="367" t="str">
        <f t="shared" ca="1" si="225"/>
        <v/>
      </c>
      <c r="Z457" s="368" t="str">
        <f t="shared" ca="1" si="226"/>
        <v/>
      </c>
      <c r="AA457" s="369" t="str">
        <f t="shared" ca="1" si="227"/>
        <v/>
      </c>
      <c r="AB457" s="344"/>
      <c r="AC457" s="363" t="e">
        <f t="shared" ca="1" si="228"/>
        <v>#N/A</v>
      </c>
      <c r="AD457" s="376" t="e">
        <f t="shared" ca="1" si="229"/>
        <v>#N/A</v>
      </c>
      <c r="AE457" s="377" t="e">
        <f t="shared" ca="1" si="208"/>
        <v>#N/A</v>
      </c>
      <c r="AF457" s="344"/>
      <c r="AG457" s="359">
        <f t="shared" ca="1" si="230"/>
        <v>-11.849666410255621</v>
      </c>
      <c r="AH457" s="357">
        <f t="shared" ca="1" si="231"/>
        <v>-2.7212608125763977</v>
      </c>
    </row>
    <row r="458" spans="1:34" x14ac:dyDescent="0.2">
      <c r="A458" s="402">
        <f t="shared" ca="1" si="209"/>
        <v>0.1</v>
      </c>
      <c r="B458" s="357">
        <f t="shared" ca="1" si="210"/>
        <v>9.39999999999994</v>
      </c>
      <c r="C458" s="342"/>
      <c r="D458" s="359">
        <f t="shared" ca="1" si="211"/>
        <v>-0.97945423002532395</v>
      </c>
      <c r="E458" s="360">
        <f t="shared" ca="1" si="212"/>
        <v>-12.268769192005962</v>
      </c>
      <c r="F458" s="357">
        <f t="shared" ca="1" si="213"/>
        <v>12.30780354390779</v>
      </c>
      <c r="G458" s="359">
        <f t="shared" ca="1" si="214"/>
        <v>32.178426361581614</v>
      </c>
      <c r="H458" s="360">
        <f t="shared" ca="1" si="215"/>
        <v>79.797989930998355</v>
      </c>
      <c r="I458" s="357">
        <f t="shared" ca="1" si="216"/>
        <v>86.041677808695965</v>
      </c>
      <c r="J458" s="359">
        <f t="shared" ca="1" si="217"/>
        <v>300.54777041918993</v>
      </c>
      <c r="K458" s="360">
        <f t="shared" ca="1" si="218"/>
        <v>1101.8203939105454</v>
      </c>
      <c r="L458" s="357">
        <f t="shared" ca="1" si="203"/>
        <v>1142.0758042884611</v>
      </c>
      <c r="M458" s="359">
        <f t="shared" ca="1" si="219"/>
        <v>1.1874925880554299</v>
      </c>
      <c r="N458" s="357">
        <f t="shared" ca="1" si="220"/>
        <v>68.038313498643404</v>
      </c>
      <c r="O458" s="343"/>
      <c r="P458" s="363">
        <f t="shared" ca="1" si="221"/>
        <v>23</v>
      </c>
      <c r="Q458" s="357">
        <f t="shared" ca="1" si="222"/>
        <v>0</v>
      </c>
      <c r="R458" s="359">
        <f t="shared" ca="1" si="223"/>
        <v>0</v>
      </c>
      <c r="S458" s="360">
        <f t="shared" ca="1" si="224"/>
        <v>8.3819999999999997</v>
      </c>
      <c r="T458" s="357">
        <f t="shared" ca="1" si="204"/>
        <v>82.227419999999995</v>
      </c>
      <c r="U458" s="364">
        <f t="shared" ca="1" si="205"/>
        <v>0</v>
      </c>
      <c r="V458" s="359">
        <f t="shared" ca="1" si="206"/>
        <v>1.097074545480454</v>
      </c>
      <c r="W458" s="357">
        <f t="shared" ca="1" si="207"/>
        <v>21.573159336811738</v>
      </c>
      <c r="X458" s="343"/>
      <c r="Y458" s="367" t="str">
        <f t="shared" ca="1" si="225"/>
        <v/>
      </c>
      <c r="Z458" s="368" t="str">
        <f t="shared" ca="1" si="226"/>
        <v/>
      </c>
      <c r="AA458" s="369" t="str">
        <f t="shared" ca="1" si="227"/>
        <v/>
      </c>
      <c r="AB458" s="344"/>
      <c r="AC458" s="363" t="e">
        <f t="shared" ca="1" si="228"/>
        <v>#N/A</v>
      </c>
      <c r="AD458" s="376" t="e">
        <f t="shared" ca="1" si="229"/>
        <v>#N/A</v>
      </c>
      <c r="AE458" s="377" t="e">
        <f t="shared" ca="1" si="208"/>
        <v>#N/A</v>
      </c>
      <c r="AF458" s="344"/>
      <c r="AG458" s="359">
        <f t="shared" ca="1" si="230"/>
        <v>-11.760200637763337</v>
      </c>
      <c r="AH458" s="357">
        <f t="shared" ca="1" si="231"/>
        <v>-2.6466727278362456</v>
      </c>
    </row>
    <row r="459" spans="1:34" x14ac:dyDescent="0.2">
      <c r="A459" s="402">
        <f t="shared" ca="1" si="209"/>
        <v>0.1</v>
      </c>
      <c r="B459" s="357">
        <f t="shared" ca="1" si="210"/>
        <v>9.4999999999999396</v>
      </c>
      <c r="C459" s="342"/>
      <c r="D459" s="359">
        <f t="shared" ca="1" si="211"/>
        <v>-0.96254717973878412</v>
      </c>
      <c r="E459" s="360">
        <f t="shared" ca="1" si="212"/>
        <v>-12.196982175381031</v>
      </c>
      <c r="F459" s="357">
        <f t="shared" ca="1" si="213"/>
        <v>12.234903810810515</v>
      </c>
      <c r="G459" s="359">
        <f t="shared" ca="1" si="214"/>
        <v>32.082171643607737</v>
      </c>
      <c r="H459" s="360">
        <f t="shared" ca="1" si="215"/>
        <v>78.578291713460246</v>
      </c>
      <c r="I459" s="357">
        <f t="shared" ca="1" si="216"/>
        <v>84.87528300969349</v>
      </c>
      <c r="J459" s="359">
        <f t="shared" ca="1" si="217"/>
        <v>303.7608003194494</v>
      </c>
      <c r="K459" s="360">
        <f t="shared" ca="1" si="218"/>
        <v>1109.7392079927683</v>
      </c>
      <c r="L459" s="357">
        <f t="shared" ca="1" si="203"/>
        <v>1150.5614862175464</v>
      </c>
      <c r="M459" s="359">
        <f t="shared" ca="1" si="219"/>
        <v>1.1831699879904349</v>
      </c>
      <c r="N459" s="357">
        <f t="shared" ca="1" si="220"/>
        <v>67.790646758396221</v>
      </c>
      <c r="O459" s="343"/>
      <c r="P459" s="363">
        <f t="shared" ca="1" si="221"/>
        <v>23</v>
      </c>
      <c r="Q459" s="357">
        <f t="shared" ca="1" si="222"/>
        <v>0</v>
      </c>
      <c r="R459" s="359">
        <f t="shared" ca="1" si="223"/>
        <v>0</v>
      </c>
      <c r="S459" s="360">
        <f t="shared" ca="1" si="224"/>
        <v>8.3819999999999997</v>
      </c>
      <c r="T459" s="357">
        <f t="shared" ca="1" si="204"/>
        <v>82.227419999999995</v>
      </c>
      <c r="U459" s="364">
        <f t="shared" ca="1" si="205"/>
        <v>0</v>
      </c>
      <c r="V459" s="359">
        <f t="shared" ca="1" si="206"/>
        <v>1.0962034747187763</v>
      </c>
      <c r="W459" s="357">
        <f t="shared" ca="1" si="207"/>
        <v>20.975557697898306</v>
      </c>
      <c r="X459" s="343"/>
      <c r="Y459" s="367" t="str">
        <f t="shared" ca="1" si="225"/>
        <v/>
      </c>
      <c r="Z459" s="368" t="str">
        <f t="shared" ca="1" si="226"/>
        <v/>
      </c>
      <c r="AA459" s="369" t="str">
        <f t="shared" ca="1" si="227"/>
        <v/>
      </c>
      <c r="AB459" s="344"/>
      <c r="AC459" s="363" t="e">
        <f t="shared" ca="1" si="228"/>
        <v>#N/A</v>
      </c>
      <c r="AD459" s="376" t="e">
        <f t="shared" ca="1" si="229"/>
        <v>#N/A</v>
      </c>
      <c r="AE459" s="377" t="e">
        <f t="shared" ca="1" si="208"/>
        <v>#N/A</v>
      </c>
      <c r="AF459" s="344"/>
      <c r="AG459" s="359">
        <f t="shared" ca="1" si="230"/>
        <v>-11.671877396385405</v>
      </c>
      <c r="AH459" s="357">
        <f t="shared" ca="1" si="231"/>
        <v>-2.5737484295886111</v>
      </c>
    </row>
    <row r="460" spans="1:34" x14ac:dyDescent="0.2">
      <c r="A460" s="402">
        <f t="shared" ca="1" si="209"/>
        <v>0.1</v>
      </c>
      <c r="B460" s="357">
        <f t="shared" ca="1" si="210"/>
        <v>9.5999999999999392</v>
      </c>
      <c r="C460" s="342"/>
      <c r="D460" s="359">
        <f t="shared" ca="1" si="211"/>
        <v>-0.94590687670527251</v>
      </c>
      <c r="E460" s="360">
        <f t="shared" ca="1" si="212"/>
        <v>-12.126792869173634</v>
      </c>
      <c r="F460" s="357">
        <f t="shared" ca="1" si="213"/>
        <v>12.163627958435708</v>
      </c>
      <c r="G460" s="359">
        <f t="shared" ca="1" si="214"/>
        <v>31.987580955937208</v>
      </c>
      <c r="H460" s="360">
        <f t="shared" ca="1" si="215"/>
        <v>77.365612426542882</v>
      </c>
      <c r="I460" s="357">
        <f t="shared" ca="1" si="216"/>
        <v>83.717640444213927</v>
      </c>
      <c r="J460" s="359">
        <f t="shared" ca="1" si="217"/>
        <v>306.96428794942665</v>
      </c>
      <c r="K460" s="360">
        <f t="shared" ca="1" si="218"/>
        <v>1117.5364031997685</v>
      </c>
      <c r="L460" s="357">
        <f t="shared" ca="1" si="203"/>
        <v>1158.9282490961095</v>
      </c>
      <c r="M460" s="359">
        <f t="shared" ca="1" si="219"/>
        <v>1.1787406790738804</v>
      </c>
      <c r="N460" s="357">
        <f t="shared" ca="1" si="220"/>
        <v>67.536866051317986</v>
      </c>
      <c r="O460" s="343"/>
      <c r="P460" s="363">
        <f t="shared" ca="1" si="221"/>
        <v>23</v>
      </c>
      <c r="Q460" s="357">
        <f t="shared" ca="1" si="222"/>
        <v>0</v>
      </c>
      <c r="R460" s="359">
        <f t="shared" ca="1" si="223"/>
        <v>0</v>
      </c>
      <c r="S460" s="360">
        <f t="shared" ca="1" si="224"/>
        <v>8.3819999999999997</v>
      </c>
      <c r="T460" s="357">
        <f t="shared" ca="1" si="204"/>
        <v>82.227419999999995</v>
      </c>
      <c r="U460" s="364">
        <f t="shared" ca="1" si="205"/>
        <v>0</v>
      </c>
      <c r="V460" s="359">
        <f t="shared" ca="1" si="206"/>
        <v>1.095346420360636</v>
      </c>
      <c r="W460" s="357">
        <f t="shared" ca="1" si="207"/>
        <v>20.391319225195133</v>
      </c>
      <c r="X460" s="343"/>
      <c r="Y460" s="367" t="str">
        <f t="shared" ca="1" si="225"/>
        <v/>
      </c>
      <c r="Z460" s="368" t="str">
        <f t="shared" ca="1" si="226"/>
        <v/>
      </c>
      <c r="AA460" s="369" t="str">
        <f t="shared" ca="1" si="227"/>
        <v/>
      </c>
      <c r="AB460" s="344"/>
      <c r="AC460" s="363" t="e">
        <f t="shared" ca="1" si="228"/>
        <v>#N/A</v>
      </c>
      <c r="AD460" s="376" t="e">
        <f t="shared" ca="1" si="229"/>
        <v>#N/A</v>
      </c>
      <c r="AE460" s="377" t="e">
        <f t="shared" ca="1" si="208"/>
        <v>#N/A</v>
      </c>
      <c r="AF460" s="344"/>
      <c r="AG460" s="359">
        <f t="shared" ca="1" si="230"/>
        <v>-11.584637830163906</v>
      </c>
      <c r="AH460" s="357">
        <f t="shared" ca="1" si="231"/>
        <v>-2.5024526005605234</v>
      </c>
    </row>
    <row r="461" spans="1:34" x14ac:dyDescent="0.2">
      <c r="A461" s="402">
        <f t="shared" ca="1" si="209"/>
        <v>0.1</v>
      </c>
      <c r="B461" s="357">
        <f t="shared" ca="1" si="210"/>
        <v>9.6999999999999389</v>
      </c>
      <c r="C461" s="342"/>
      <c r="D461" s="359">
        <f t="shared" ca="1" si="211"/>
        <v>-0.92952716362928334</v>
      </c>
      <c r="E461" s="360">
        <f t="shared" ca="1" si="212"/>
        <v>-12.058167449121814</v>
      </c>
      <c r="F461" s="357">
        <f t="shared" ca="1" si="213"/>
        <v>12.093941581593057</v>
      </c>
      <c r="G461" s="359">
        <f t="shared" ca="1" si="214"/>
        <v>31.894628239574281</v>
      </c>
      <c r="H461" s="360">
        <f t="shared" ca="1" si="215"/>
        <v>76.159795681630698</v>
      </c>
      <c r="I461" s="357">
        <f t="shared" ca="1" si="216"/>
        <v>82.56864894624583</v>
      </c>
      <c r="J461" s="359">
        <f t="shared" ca="1" si="217"/>
        <v>310.15839840920222</v>
      </c>
      <c r="K461" s="360">
        <f t="shared" ca="1" si="218"/>
        <v>1125.2126736051773</v>
      </c>
      <c r="L461" s="357">
        <f t="shared" ca="1" si="203"/>
        <v>1167.1768473309744</v>
      </c>
      <c r="M461" s="359">
        <f t="shared" ca="1" si="219"/>
        <v>1.1742010565796142</v>
      </c>
      <c r="N461" s="357">
        <f t="shared" ca="1" si="220"/>
        <v>67.276764841813872</v>
      </c>
      <c r="O461" s="343"/>
      <c r="P461" s="363">
        <f t="shared" ca="1" si="221"/>
        <v>23</v>
      </c>
      <c r="Q461" s="357">
        <f t="shared" ca="1" si="222"/>
        <v>0</v>
      </c>
      <c r="R461" s="359">
        <f t="shared" ca="1" si="223"/>
        <v>0</v>
      </c>
      <c r="S461" s="360">
        <f t="shared" ca="1" si="224"/>
        <v>8.3819999999999997</v>
      </c>
      <c r="T461" s="357">
        <f t="shared" ca="1" si="204"/>
        <v>82.227419999999995</v>
      </c>
      <c r="U461" s="364">
        <f t="shared" ca="1" si="205"/>
        <v>0</v>
      </c>
      <c r="V461" s="359">
        <f t="shared" ca="1" si="206"/>
        <v>1.094503275875792</v>
      </c>
      <c r="W461" s="357">
        <f t="shared" ca="1" si="207"/>
        <v>19.82016629699956</v>
      </c>
      <c r="X461" s="343"/>
      <c r="Y461" s="367" t="str">
        <f t="shared" ca="1" si="225"/>
        <v/>
      </c>
      <c r="Z461" s="368" t="str">
        <f t="shared" ca="1" si="226"/>
        <v/>
      </c>
      <c r="AA461" s="369" t="str">
        <f t="shared" ca="1" si="227"/>
        <v/>
      </c>
      <c r="AB461" s="344"/>
      <c r="AC461" s="363" t="e">
        <f t="shared" ca="1" si="228"/>
        <v>#N/A</v>
      </c>
      <c r="AD461" s="376" t="e">
        <f t="shared" ca="1" si="229"/>
        <v>#N/A</v>
      </c>
      <c r="AE461" s="377" t="e">
        <f t="shared" ca="1" si="208"/>
        <v>#N/A</v>
      </c>
      <c r="AF461" s="344"/>
      <c r="AG461" s="359">
        <f t="shared" ca="1" si="230"/>
        <v>-11.498422909827466</v>
      </c>
      <c r="AH461" s="357">
        <f t="shared" ca="1" si="231"/>
        <v>-2.4327510409443014</v>
      </c>
    </row>
    <row r="462" spans="1:34" x14ac:dyDescent="0.2">
      <c r="A462" s="402">
        <f t="shared" ca="1" si="209"/>
        <v>0.1</v>
      </c>
      <c r="B462" s="357">
        <f t="shared" ca="1" si="210"/>
        <v>9.7999999999999385</v>
      </c>
      <c r="C462" s="342"/>
      <c r="D462" s="359">
        <f t="shared" ca="1" si="211"/>
        <v>-0.9134020953929648</v>
      </c>
      <c r="E462" s="360">
        <f t="shared" ca="1" si="212"/>
        <v>-11.991073139895928</v>
      </c>
      <c r="F462" s="357">
        <f t="shared" ca="1" si="213"/>
        <v>12.025811342034343</v>
      </c>
      <c r="G462" s="359">
        <f t="shared" ca="1" si="214"/>
        <v>31.803288030034985</v>
      </c>
      <c r="H462" s="360">
        <f t="shared" ca="1" si="215"/>
        <v>74.960688367641112</v>
      </c>
      <c r="I462" s="357">
        <f t="shared" ca="1" si="216"/>
        <v>81.428213354291231</v>
      </c>
      <c r="J462" s="359">
        <f t="shared" ca="1" si="217"/>
        <v>313.34329422268269</v>
      </c>
      <c r="K462" s="360">
        <f t="shared" ca="1" si="218"/>
        <v>1132.7686978076408</v>
      </c>
      <c r="L462" s="357">
        <f t="shared" ca="1" si="203"/>
        <v>1175.3080203789732</v>
      </c>
      <c r="M462" s="359">
        <f t="shared" ca="1" si="219"/>
        <v>1.1695473603087927</v>
      </c>
      <c r="N462" s="357">
        <f t="shared" ca="1" si="220"/>
        <v>67.010127686360036</v>
      </c>
      <c r="O462" s="343"/>
      <c r="P462" s="363">
        <f t="shared" ca="1" si="221"/>
        <v>23</v>
      </c>
      <c r="Q462" s="357">
        <f t="shared" ca="1" si="222"/>
        <v>0</v>
      </c>
      <c r="R462" s="359">
        <f t="shared" ca="1" si="223"/>
        <v>0</v>
      </c>
      <c r="S462" s="360">
        <f t="shared" ca="1" si="224"/>
        <v>8.3819999999999997</v>
      </c>
      <c r="T462" s="357">
        <f t="shared" ca="1" si="204"/>
        <v>82.227419999999995</v>
      </c>
      <c r="U462" s="364">
        <f t="shared" ca="1" si="205"/>
        <v>0</v>
      </c>
      <c r="V462" s="359">
        <f t="shared" ca="1" si="206"/>
        <v>1.0936739371771653</v>
      </c>
      <c r="W462" s="357">
        <f t="shared" ca="1" si="207"/>
        <v>19.261830020938188</v>
      </c>
      <c r="X462" s="343"/>
      <c r="Y462" s="367" t="str">
        <f t="shared" ca="1" si="225"/>
        <v/>
      </c>
      <c r="Z462" s="368" t="str">
        <f t="shared" ca="1" si="226"/>
        <v/>
      </c>
      <c r="AA462" s="369" t="str">
        <f t="shared" ca="1" si="227"/>
        <v/>
      </c>
      <c r="AB462" s="344"/>
      <c r="AC462" s="363" t="e">
        <f t="shared" ca="1" si="228"/>
        <v>#N/A</v>
      </c>
      <c r="AD462" s="376" t="e">
        <f t="shared" ca="1" si="229"/>
        <v>#N/A</v>
      </c>
      <c r="AE462" s="377" t="e">
        <f t="shared" ca="1" si="208"/>
        <v>#N/A</v>
      </c>
      <c r="AF462" s="344"/>
      <c r="AG462" s="359">
        <f t="shared" ca="1" si="230"/>
        <v>-11.413173312515699</v>
      </c>
      <c r="AH462" s="357">
        <f t="shared" ca="1" si="231"/>
        <v>-2.3646106295632974</v>
      </c>
    </row>
    <row r="463" spans="1:34" x14ac:dyDescent="0.2">
      <c r="A463" s="402">
        <f t="shared" ca="1" si="209"/>
        <v>0.1</v>
      </c>
      <c r="B463" s="357">
        <f t="shared" ca="1" si="210"/>
        <v>9.8999999999999382</v>
      </c>
      <c r="C463" s="342"/>
      <c r="D463" s="359">
        <f t="shared" ca="1" si="211"/>
        <v>-0.89752593353684362</v>
      </c>
      <c r="E463" s="360">
        <f t="shared" ca="1" si="212"/>
        <v>-11.925478177671225</v>
      </c>
      <c r="F463" s="357">
        <f t="shared" ca="1" si="213"/>
        <v>11.95920493040753</v>
      </c>
      <c r="G463" s="359">
        <f t="shared" ca="1" si="214"/>
        <v>31.713535436681301</v>
      </c>
      <c r="H463" s="360">
        <f t="shared" ca="1" si="215"/>
        <v>73.768140549873991</v>
      </c>
      <c r="I463" s="357">
        <f t="shared" ca="1" si="216"/>
        <v>80.296244557760005</v>
      </c>
      <c r="J463" s="359">
        <f t="shared" ca="1" si="217"/>
        <v>316.5191353960185</v>
      </c>
      <c r="K463" s="360">
        <f t="shared" ca="1" si="218"/>
        <v>1140.2051392535166</v>
      </c>
      <c r="L463" s="357">
        <f t="shared" ca="1" si="203"/>
        <v>1183.3224930896793</v>
      </c>
      <c r="M463" s="359">
        <f t="shared" ca="1" si="219"/>
        <v>1.1647756668273292</v>
      </c>
      <c r="N463" s="357">
        <f t="shared" ca="1" si="220"/>
        <v>66.736729788742096</v>
      </c>
      <c r="O463" s="343"/>
      <c r="P463" s="363">
        <f t="shared" ca="1" si="221"/>
        <v>23</v>
      </c>
      <c r="Q463" s="357">
        <f t="shared" ca="1" si="222"/>
        <v>0</v>
      </c>
      <c r="R463" s="359">
        <f t="shared" ca="1" si="223"/>
        <v>0</v>
      </c>
      <c r="S463" s="360">
        <f t="shared" ca="1" si="224"/>
        <v>8.3819999999999997</v>
      </c>
      <c r="T463" s="357">
        <f t="shared" ca="1" si="204"/>
        <v>82.227419999999995</v>
      </c>
      <c r="U463" s="364">
        <f t="shared" ca="1" si="205"/>
        <v>0</v>
      </c>
      <c r="V463" s="359">
        <f t="shared" ca="1" si="206"/>
        <v>1.0928583025675522</v>
      </c>
      <c r="W463" s="357">
        <f t="shared" ca="1" si="207"/>
        <v>18.716049935312732</v>
      </c>
      <c r="X463" s="343"/>
      <c r="Y463" s="367" t="str">
        <f t="shared" ca="1" si="225"/>
        <v/>
      </c>
      <c r="Z463" s="368" t="str">
        <f t="shared" ca="1" si="226"/>
        <v/>
      </c>
      <c r="AA463" s="369" t="str">
        <f t="shared" ca="1" si="227"/>
        <v/>
      </c>
      <c r="AB463" s="344"/>
      <c r="AC463" s="363" t="e">
        <f t="shared" ca="1" si="228"/>
        <v>#N/A</v>
      </c>
      <c r="AD463" s="376" t="e">
        <f t="shared" ca="1" si="229"/>
        <v>#N/A</v>
      </c>
      <c r="AE463" s="377" t="e">
        <f t="shared" ca="1" si="208"/>
        <v>#N/A</v>
      </c>
      <c r="AF463" s="344"/>
      <c r="AG463" s="359">
        <f t="shared" ca="1" si="230"/>
        <v>-11.328829297488216</v>
      </c>
      <c r="AH463" s="357">
        <f t="shared" ca="1" si="231"/>
        <v>-2.2979992866783809</v>
      </c>
    </row>
    <row r="464" spans="1:34" x14ac:dyDescent="0.2">
      <c r="A464" s="402">
        <f t="shared" ca="1" si="209"/>
        <v>0.1</v>
      </c>
      <c r="B464" s="357">
        <f t="shared" ca="1" si="210"/>
        <v>9.9999999999999378</v>
      </c>
      <c r="C464" s="342"/>
      <c r="D464" s="359">
        <f t="shared" ca="1" si="211"/>
        <v>-0.88189314110737083</v>
      </c>
      <c r="E464" s="360">
        <f t="shared" ca="1" si="212"/>
        <v>-11.861351774168078</v>
      </c>
      <c r="F464" s="357">
        <f t="shared" ca="1" si="213"/>
        <v>11.894091029704304</v>
      </c>
      <c r="G464" s="359">
        <f t="shared" ca="1" si="214"/>
        <v>31.625346122570566</v>
      </c>
      <c r="H464" s="360">
        <f t="shared" ca="1" si="215"/>
        <v>72.582005372457189</v>
      </c>
      <c r="I464" s="357">
        <f t="shared" ca="1" si="216"/>
        <v>79.172659556565307</v>
      </c>
      <c r="J464" s="359">
        <f t="shared" ca="1" si="217"/>
        <v>319.68607947398107</v>
      </c>
      <c r="K464" s="360">
        <f t="shared" ca="1" si="218"/>
        <v>1147.522646549633</v>
      </c>
      <c r="L464" s="357">
        <f t="shared" ca="1" si="203"/>
        <v>1191.220976038333</v>
      </c>
      <c r="M464" s="359">
        <f t="shared" ca="1" si="219"/>
        <v>1.1598818812904692</v>
      </c>
      <c r="N464" s="357">
        <f t="shared" ca="1" si="220"/>
        <v>66.456336531637845</v>
      </c>
      <c r="O464" s="343"/>
      <c r="P464" s="363">
        <f t="shared" ca="1" si="221"/>
        <v>23</v>
      </c>
      <c r="Q464" s="357">
        <f t="shared" ca="1" si="222"/>
        <v>0</v>
      </c>
      <c r="R464" s="359">
        <f t="shared" ca="1" si="223"/>
        <v>0</v>
      </c>
      <c r="S464" s="360">
        <f t="shared" ca="1" si="224"/>
        <v>8.3819999999999997</v>
      </c>
      <c r="T464" s="357">
        <f t="shared" ca="1" si="204"/>
        <v>82.227419999999995</v>
      </c>
      <c r="U464" s="364">
        <f t="shared" ca="1" si="205"/>
        <v>0</v>
      </c>
      <c r="V464" s="359">
        <f t="shared" ca="1" si="206"/>
        <v>1.0920562726880301</v>
      </c>
      <c r="W464" s="357">
        <f t="shared" ca="1" si="207"/>
        <v>18.182573722931448</v>
      </c>
      <c r="X464" s="343"/>
      <c r="Y464" s="367" t="str">
        <f t="shared" ca="1" si="225"/>
        <v/>
      </c>
      <c r="Z464" s="368" t="str">
        <f t="shared" ca="1" si="226"/>
        <v/>
      </c>
      <c r="AA464" s="369" t="str">
        <f t="shared" ca="1" si="227"/>
        <v/>
      </c>
      <c r="AB464" s="344"/>
      <c r="AC464" s="363">
        <f t="shared" ca="1" si="228"/>
        <v>9.9999999999999378</v>
      </c>
      <c r="AD464" s="376">
        <f t="shared" ca="1" si="229"/>
        <v>319.68607947398107</v>
      </c>
      <c r="AE464" s="377" t="e">
        <f t="shared" ca="1" si="208"/>
        <v>#N/A</v>
      </c>
      <c r="AF464" s="344"/>
      <c r="AG464" s="359">
        <f t="shared" ca="1" si="230"/>
        <v>-11.245330577330702</v>
      </c>
      <c r="AH464" s="357">
        <f t="shared" ca="1" si="231"/>
        <v>-2.2328859383575201</v>
      </c>
    </row>
    <row r="465" spans="1:34" x14ac:dyDescent="0.2">
      <c r="A465" s="402">
        <f t="shared" ca="1" si="209"/>
        <v>0.1</v>
      </c>
      <c r="B465" s="357">
        <f t="shared" ca="1" si="210"/>
        <v>10.099999999999937</v>
      </c>
      <c r="C465" s="342"/>
      <c r="D465" s="359">
        <f t="shared" ca="1" si="211"/>
        <v>-0.86649837786389594</v>
      </c>
      <c r="E465" s="360">
        <f t="shared" ca="1" si="212"/>
        <v>-11.798664082081222</v>
      </c>
      <c r="F465" s="357">
        <f t="shared" ca="1" si="213"/>
        <v>11.830439280121185</v>
      </c>
      <c r="G465" s="359">
        <f t="shared" ca="1" si="214"/>
        <v>31.538696284784177</v>
      </c>
      <c r="H465" s="360">
        <f t="shared" ca="1" si="215"/>
        <v>71.402138964249062</v>
      </c>
      <c r="I465" s="357">
        <f t="shared" ca="1" si="216"/>
        <v>78.057381534444218</v>
      </c>
      <c r="J465" s="359">
        <f t="shared" ca="1" si="217"/>
        <v>322.84428159434879</v>
      </c>
      <c r="K465" s="360">
        <f t="shared" ca="1" si="218"/>
        <v>1154.7218537664683</v>
      </c>
      <c r="L465" s="357">
        <f t="shared" ca="1" si="203"/>
        <v>1199.0041658493269</v>
      </c>
      <c r="M465" s="359">
        <f t="shared" ca="1" si="219"/>
        <v>1.1548617288345857</v>
      </c>
      <c r="N465" s="357">
        <f t="shared" ca="1" si="220"/>
        <v>66.168702983403492</v>
      </c>
      <c r="O465" s="343"/>
      <c r="P465" s="363">
        <f t="shared" ca="1" si="221"/>
        <v>23</v>
      </c>
      <c r="Q465" s="357">
        <f t="shared" ca="1" si="222"/>
        <v>0</v>
      </c>
      <c r="R465" s="359">
        <f t="shared" ca="1" si="223"/>
        <v>0</v>
      </c>
      <c r="S465" s="360">
        <f t="shared" ca="1" si="224"/>
        <v>8.3819999999999997</v>
      </c>
      <c r="T465" s="357">
        <f t="shared" ca="1" si="204"/>
        <v>82.227419999999995</v>
      </c>
      <c r="U465" s="364">
        <f t="shared" ca="1" si="205"/>
        <v>0</v>
      </c>
      <c r="V465" s="359">
        <f t="shared" ca="1" si="206"/>
        <v>1.0912677504680053</v>
      </c>
      <c r="W465" s="357">
        <f t="shared" ca="1" si="207"/>
        <v>17.661156936842371</v>
      </c>
      <c r="X465" s="343"/>
      <c r="Y465" s="367" t="str">
        <f t="shared" ca="1" si="225"/>
        <v/>
      </c>
      <c r="Z465" s="368" t="str">
        <f t="shared" ca="1" si="226"/>
        <v/>
      </c>
      <c r="AA465" s="369" t="str">
        <f t="shared" ca="1" si="227"/>
        <v/>
      </c>
      <c r="AB465" s="344"/>
      <c r="AC465" s="363" t="e">
        <f t="shared" ca="1" si="228"/>
        <v>#N/A</v>
      </c>
      <c r="AD465" s="376" t="e">
        <f t="shared" ca="1" si="229"/>
        <v>#N/A</v>
      </c>
      <c r="AE465" s="377" t="e">
        <f t="shared" ca="1" si="208"/>
        <v>#N/A</v>
      </c>
      <c r="AF465" s="344"/>
      <c r="AG465" s="359">
        <f t="shared" ca="1" si="230"/>
        <v>-11.16261618414639</v>
      </c>
      <c r="AH465" s="357">
        <f t="shared" ca="1" si="231"/>
        <v>-2.1692404823349376</v>
      </c>
    </row>
    <row r="466" spans="1:34" x14ac:dyDescent="0.2">
      <c r="A466" s="402">
        <f t="shared" ca="1" si="209"/>
        <v>0.1</v>
      </c>
      <c r="B466" s="357">
        <f t="shared" ca="1" si="210"/>
        <v>10.199999999999937</v>
      </c>
      <c r="C466" s="342"/>
      <c r="D466" s="359">
        <f t="shared" ca="1" si="211"/>
        <v>-0.85133649583879456</v>
      </c>
      <c r="E466" s="360">
        <f t="shared" ca="1" si="212"/>
        <v>-11.737386161822588</v>
      </c>
      <c r="F466" s="357">
        <f t="shared" ca="1" si="213"/>
        <v>11.768220245257627</v>
      </c>
      <c r="G466" s="359">
        <f t="shared" ca="1" si="214"/>
        <v>31.453562635200296</v>
      </c>
      <c r="H466" s="360">
        <f t="shared" ca="1" si="215"/>
        <v>70.228400348066799</v>
      </c>
      <c r="I466" s="357">
        <f t="shared" ca="1" si="216"/>
        <v>76.950339946583853</v>
      </c>
      <c r="J466" s="359">
        <f t="shared" ca="1" si="217"/>
        <v>325.99389454034804</v>
      </c>
      <c r="K466" s="360">
        <f t="shared" ca="1" si="218"/>
        <v>1161.803380732084</v>
      </c>
      <c r="L466" s="357">
        <f t="shared" ca="1" si="203"/>
        <v>1206.6727455105975</v>
      </c>
      <c r="M466" s="359">
        <f t="shared" ca="1" si="219"/>
        <v>1.1497107455159719</v>
      </c>
      <c r="N466" s="357">
        <f t="shared" ca="1" si="220"/>
        <v>65.873573378904624</v>
      </c>
      <c r="O466" s="343"/>
      <c r="P466" s="363">
        <f t="shared" ca="1" si="221"/>
        <v>23</v>
      </c>
      <c r="Q466" s="357">
        <f t="shared" ca="1" si="222"/>
        <v>0</v>
      </c>
      <c r="R466" s="359">
        <f t="shared" ca="1" si="223"/>
        <v>0</v>
      </c>
      <c r="S466" s="360">
        <f t="shared" ca="1" si="224"/>
        <v>8.3819999999999997</v>
      </c>
      <c r="T466" s="357">
        <f t="shared" ca="1" si="204"/>
        <v>82.227419999999995</v>
      </c>
      <c r="U466" s="364">
        <f t="shared" ca="1" si="205"/>
        <v>0</v>
      </c>
      <c r="V466" s="359">
        <f t="shared" ca="1" si="206"/>
        <v>1.0904926410768339</v>
      </c>
      <c r="W466" s="357">
        <f t="shared" ca="1" si="207"/>
        <v>17.151562737415173</v>
      </c>
      <c r="X466" s="343"/>
      <c r="Y466" s="367" t="str">
        <f t="shared" ca="1" si="225"/>
        <v/>
      </c>
      <c r="Z466" s="368" t="str">
        <f t="shared" ca="1" si="226"/>
        <v/>
      </c>
      <c r="AA466" s="369" t="str">
        <f t="shared" ca="1" si="227"/>
        <v/>
      </c>
      <c r="AB466" s="344"/>
      <c r="AC466" s="363" t="e">
        <f t="shared" ca="1" si="228"/>
        <v>#N/A</v>
      </c>
      <c r="AD466" s="376" t="e">
        <f t="shared" ca="1" si="229"/>
        <v>#N/A</v>
      </c>
      <c r="AE466" s="377" t="e">
        <f t="shared" ca="1" si="208"/>
        <v>#N/A</v>
      </c>
      <c r="AF466" s="344"/>
      <c r="AG466" s="359">
        <f t="shared" ca="1" si="230"/>
        <v>-11.080624330195587</v>
      </c>
      <c r="AH466" s="357">
        <f t="shared" ca="1" si="231"/>
        <v>-2.1070337552901899</v>
      </c>
    </row>
    <row r="467" spans="1:34" x14ac:dyDescent="0.2">
      <c r="A467" s="402">
        <f t="shared" ca="1" si="209"/>
        <v>0.1</v>
      </c>
      <c r="B467" s="357">
        <f t="shared" ca="1" si="210"/>
        <v>10.299999999999937</v>
      </c>
      <c r="C467" s="342"/>
      <c r="D467" s="359">
        <f t="shared" ca="1" si="211"/>
        <v>-0.8364025352456036</v>
      </c>
      <c r="E467" s="360">
        <f t="shared" ca="1" si="212"/>
        <v>-11.677489949505119</v>
      </c>
      <c r="F467" s="357">
        <f t="shared" ca="1" si="213"/>
        <v>11.707405379577422</v>
      </c>
      <c r="G467" s="359">
        <f t="shared" ca="1" si="214"/>
        <v>31.369922381675735</v>
      </c>
      <c r="H467" s="360">
        <f t="shared" ca="1" si="215"/>
        <v>69.060651353116285</v>
      </c>
      <c r="I467" s="357">
        <f t="shared" ca="1" si="216"/>
        <v>75.85147062219059</v>
      </c>
      <c r="J467" s="359">
        <f t="shared" ca="1" si="217"/>
        <v>329.13506879119183</v>
      </c>
      <c r="K467" s="360">
        <f t="shared" ca="1" si="218"/>
        <v>1168.7678333171432</v>
      </c>
      <c r="L467" s="357">
        <f t="shared" ca="1" si="203"/>
        <v>1214.2273846792584</v>
      </c>
      <c r="M467" s="359">
        <f t="shared" ca="1" si="219"/>
        <v>1.1444242687762309</v>
      </c>
      <c r="N467" s="357">
        <f t="shared" ca="1" si="220"/>
        <v>65.570680573223385</v>
      </c>
      <c r="O467" s="343"/>
      <c r="P467" s="363">
        <f t="shared" ca="1" si="221"/>
        <v>23</v>
      </c>
      <c r="Q467" s="357">
        <f t="shared" ca="1" si="222"/>
        <v>0</v>
      </c>
      <c r="R467" s="359">
        <f t="shared" ca="1" si="223"/>
        <v>0</v>
      </c>
      <c r="S467" s="360">
        <f t="shared" ca="1" si="224"/>
        <v>8.3819999999999997</v>
      </c>
      <c r="T467" s="357">
        <f t="shared" ca="1" si="204"/>
        <v>82.227419999999995</v>
      </c>
      <c r="U467" s="364">
        <f t="shared" ca="1" si="205"/>
        <v>0</v>
      </c>
      <c r="V467" s="359">
        <f t="shared" ca="1" si="206"/>
        <v>1.0897308518769706</v>
      </c>
      <c r="W467" s="357">
        <f t="shared" ca="1" si="207"/>
        <v>16.653561640247318</v>
      </c>
      <c r="X467" s="343"/>
      <c r="Y467" s="367" t="str">
        <f t="shared" ca="1" si="225"/>
        <v/>
      </c>
      <c r="Z467" s="368" t="str">
        <f t="shared" ca="1" si="226"/>
        <v/>
      </c>
      <c r="AA467" s="369" t="str">
        <f t="shared" ca="1" si="227"/>
        <v/>
      </c>
      <c r="AB467" s="344"/>
      <c r="AC467" s="363" t="e">
        <f t="shared" ca="1" si="228"/>
        <v>#N/A</v>
      </c>
      <c r="AD467" s="376" t="e">
        <f t="shared" ca="1" si="229"/>
        <v>#N/A</v>
      </c>
      <c r="AE467" s="377" t="e">
        <f t="shared" ca="1" si="208"/>
        <v>#N/A</v>
      </c>
      <c r="AF467" s="344"/>
      <c r="AG467" s="359">
        <f t="shared" ca="1" si="230"/>
        <v>-10.99929226241885</v>
      </c>
      <c r="AH467" s="357">
        <f t="shared" ca="1" si="231"/>
        <v>-2.0462375014811709</v>
      </c>
    </row>
    <row r="468" spans="1:34" x14ac:dyDescent="0.2">
      <c r="A468" s="402">
        <f t="shared" ca="1" si="209"/>
        <v>0.1</v>
      </c>
      <c r="B468" s="357">
        <f t="shared" ca="1" si="210"/>
        <v>10.399999999999936</v>
      </c>
      <c r="C468" s="342"/>
      <c r="D468" s="359">
        <f t="shared" ca="1" si="211"/>
        <v>-0.82169172073113039</v>
      </c>
      <c r="E468" s="360">
        <f t="shared" ca="1" si="212"/>
        <v>-11.618948226097698</v>
      </c>
      <c r="F468" s="357">
        <f t="shared" ca="1" si="213"/>
        <v>11.64796699706249</v>
      </c>
      <c r="G468" s="359">
        <f t="shared" ca="1" si="214"/>
        <v>31.287753209602624</v>
      </c>
      <c r="H468" s="360">
        <f t="shared" ca="1" si="215"/>
        <v>67.898756530506517</v>
      </c>
      <c r="I468" s="357">
        <f t="shared" ca="1" si="216"/>
        <v>74.76071588270139</v>
      </c>
      <c r="J468" s="359">
        <f t="shared" ca="1" si="217"/>
        <v>332.26795257075577</v>
      </c>
      <c r="K468" s="360">
        <f t="shared" ca="1" si="218"/>
        <v>1175.6158037113244</v>
      </c>
      <c r="L468" s="357">
        <f t="shared" ca="1" si="203"/>
        <v>1221.6687399787984</v>
      </c>
      <c r="M468" s="359">
        <f t="shared" ca="1" si="219"/>
        <v>1.1389974274138825</v>
      </c>
      <c r="N468" s="357">
        <f t="shared" ca="1" si="220"/>
        <v>65.259745467073799</v>
      </c>
      <c r="O468" s="343"/>
      <c r="P468" s="363">
        <f t="shared" ca="1" si="221"/>
        <v>23</v>
      </c>
      <c r="Q468" s="357">
        <f t="shared" ca="1" si="222"/>
        <v>0</v>
      </c>
      <c r="R468" s="359">
        <f t="shared" ca="1" si="223"/>
        <v>0</v>
      </c>
      <c r="S468" s="360">
        <f t="shared" ca="1" si="224"/>
        <v>8.3819999999999997</v>
      </c>
      <c r="T468" s="357">
        <f t="shared" ca="1" si="204"/>
        <v>82.227419999999995</v>
      </c>
      <c r="U468" s="364">
        <f t="shared" ca="1" si="205"/>
        <v>0</v>
      </c>
      <c r="V468" s="359">
        <f t="shared" ca="1" si="206"/>
        <v>1.0889822923785795</v>
      </c>
      <c r="W468" s="357">
        <f t="shared" ca="1" si="207"/>
        <v>16.166931274397122</v>
      </c>
      <c r="X468" s="343"/>
      <c r="Y468" s="367" t="str">
        <f t="shared" ca="1" si="225"/>
        <v/>
      </c>
      <c r="Z468" s="368" t="str">
        <f t="shared" ca="1" si="226"/>
        <v/>
      </c>
      <c r="AA468" s="369" t="str">
        <f t="shared" ca="1" si="227"/>
        <v/>
      </c>
      <c r="AB468" s="344"/>
      <c r="AC468" s="363" t="e">
        <f t="shared" ca="1" si="228"/>
        <v>#N/A</v>
      </c>
      <c r="AD468" s="376" t="e">
        <f t="shared" ca="1" si="229"/>
        <v>#N/A</v>
      </c>
      <c r="AE468" s="377" t="e">
        <f t="shared" ca="1" si="208"/>
        <v>#N/A</v>
      </c>
      <c r="AF468" s="344"/>
      <c r="AG468" s="359">
        <f t="shared" ca="1" si="230"/>
        <v>-10.918556110251</v>
      </c>
      <c r="AH468" s="357">
        <f t="shared" ca="1" si="231"/>
        <v>-1.9868243426684942</v>
      </c>
    </row>
    <row r="469" spans="1:34" x14ac:dyDescent="0.2">
      <c r="A469" s="402">
        <f t="shared" ca="1" si="209"/>
        <v>0.1</v>
      </c>
      <c r="B469" s="357">
        <f t="shared" ca="1" si="210"/>
        <v>10.499999999999936</v>
      </c>
      <c r="C469" s="342"/>
      <c r="D469" s="359">
        <f t="shared" ca="1" si="211"/>
        <v>-0.80719945796858739</v>
      </c>
      <c r="E469" s="360">
        <f t="shared" ca="1" si="212"/>
        <v>-11.561734587683487</v>
      </c>
      <c r="F469" s="357">
        <f t="shared" ca="1" si="213"/>
        <v>11.589878240990345</v>
      </c>
      <c r="G469" s="359">
        <f t="shared" ca="1" si="214"/>
        <v>31.207033263805766</v>
      </c>
      <c r="H469" s="360">
        <f t="shared" ca="1" si="215"/>
        <v>66.742583071738167</v>
      </c>
      <c r="I469" s="357">
        <f t="shared" ca="1" si="216"/>
        <v>73.678024676399616</v>
      </c>
      <c r="J469" s="359">
        <f t="shared" ca="1" si="217"/>
        <v>335.39269189442621</v>
      </c>
      <c r="K469" s="360">
        <f t="shared" ca="1" si="218"/>
        <v>1182.3478706914366</v>
      </c>
      <c r="L469" s="357">
        <f t="shared" ca="1" si="203"/>
        <v>1228.9974552881563</v>
      </c>
      <c r="M469" s="359">
        <f t="shared" ca="1" si="219"/>
        <v>1.1334251310420413</v>
      </c>
      <c r="N469" s="357">
        <f t="shared" ca="1" si="220"/>
        <v>64.940476402771239</v>
      </c>
      <c r="O469" s="343"/>
      <c r="P469" s="363">
        <f t="shared" ca="1" si="221"/>
        <v>23</v>
      </c>
      <c r="Q469" s="357">
        <f t="shared" ca="1" si="222"/>
        <v>0</v>
      </c>
      <c r="R469" s="359">
        <f t="shared" ca="1" si="223"/>
        <v>0</v>
      </c>
      <c r="S469" s="360">
        <f t="shared" ca="1" si="224"/>
        <v>8.3819999999999997</v>
      </c>
      <c r="T469" s="357">
        <f t="shared" ca="1" si="204"/>
        <v>82.227419999999995</v>
      </c>
      <c r="U469" s="364">
        <f t="shared" ca="1" si="205"/>
        <v>0</v>
      </c>
      <c r="V469" s="359">
        <f t="shared" ca="1" si="206"/>
        <v>1.0882468741955629</v>
      </c>
      <c r="W469" s="357">
        <f t="shared" ca="1" si="207"/>
        <v>15.691456150471911</v>
      </c>
      <c r="X469" s="343"/>
      <c r="Y469" s="367" t="str">
        <f t="shared" ca="1" si="225"/>
        <v/>
      </c>
      <c r="Z469" s="368" t="str">
        <f t="shared" ca="1" si="226"/>
        <v/>
      </c>
      <c r="AA469" s="369" t="str">
        <f t="shared" ca="1" si="227"/>
        <v/>
      </c>
      <c r="AB469" s="344"/>
      <c r="AC469" s="363" t="e">
        <f t="shared" ca="1" si="228"/>
        <v>#N/A</v>
      </c>
      <c r="AD469" s="376" t="e">
        <f t="shared" ca="1" si="229"/>
        <v>#N/A</v>
      </c>
      <c r="AE469" s="377" t="e">
        <f t="shared" ca="1" si="208"/>
        <v>#N/A</v>
      </c>
      <c r="AF469" s="344"/>
      <c r="AG469" s="359">
        <f t="shared" ca="1" si="230"/>
        <v>-10.838350726103624</v>
      </c>
      <c r="AH469" s="357">
        <f t="shared" ca="1" si="231"/>
        <v>-1.9287677492719069</v>
      </c>
    </row>
    <row r="470" spans="1:34" x14ac:dyDescent="0.2">
      <c r="A470" s="402">
        <f t="shared" ca="1" si="209"/>
        <v>0.1</v>
      </c>
      <c r="B470" s="357">
        <f t="shared" ca="1" si="210"/>
        <v>10.599999999999936</v>
      </c>
      <c r="C470" s="342"/>
      <c r="D470" s="359">
        <f t="shared" ca="1" si="211"/>
        <v>-0.79292133058991221</v>
      </c>
      <c r="E470" s="360">
        <f t="shared" ca="1" si="212"/>
        <v>-11.505823416756165</v>
      </c>
      <c r="F470" s="357">
        <f t="shared" ca="1" si="213"/>
        <v>11.533113054768821</v>
      </c>
      <c r="G470" s="359">
        <f t="shared" ca="1" si="214"/>
        <v>31.127741130746774</v>
      </c>
      <c r="H470" s="360">
        <f t="shared" ca="1" si="215"/>
        <v>65.592000730062551</v>
      </c>
      <c r="I470" s="357">
        <f t="shared" ca="1" si="216"/>
        <v>72.603352730265229</v>
      </c>
      <c r="J470" s="359">
        <f t="shared" ca="1" si="217"/>
        <v>338.50943061415381</v>
      </c>
      <c r="K470" s="360">
        <f t="shared" ca="1" si="218"/>
        <v>1188.9645998815265</v>
      </c>
      <c r="L470" s="357">
        <f t="shared" ca="1" si="203"/>
        <v>1236.2141620229713</v>
      </c>
      <c r="M470" s="359">
        <f t="shared" ca="1" si="219"/>
        <v>1.1277020590125495</v>
      </c>
      <c r="N470" s="357">
        <f t="shared" ca="1" si="220"/>
        <v>64.612568529631986</v>
      </c>
      <c r="O470" s="343"/>
      <c r="P470" s="363">
        <f t="shared" ca="1" si="221"/>
        <v>23</v>
      </c>
      <c r="Q470" s="357">
        <f t="shared" ca="1" si="222"/>
        <v>0</v>
      </c>
      <c r="R470" s="359">
        <f t="shared" ca="1" si="223"/>
        <v>0</v>
      </c>
      <c r="S470" s="360">
        <f t="shared" ca="1" si="224"/>
        <v>8.3819999999999997</v>
      </c>
      <c r="T470" s="357">
        <f t="shared" ca="1" si="204"/>
        <v>82.227419999999995</v>
      </c>
      <c r="U470" s="364">
        <f t="shared" ca="1" si="205"/>
        <v>0</v>
      </c>
      <c r="V470" s="359">
        <f t="shared" ca="1" si="206"/>
        <v>1.0875245110029574</v>
      </c>
      <c r="W470" s="357">
        <f t="shared" ca="1" si="207"/>
        <v>15.226927438123649</v>
      </c>
      <c r="X470" s="343"/>
      <c r="Y470" s="367" t="str">
        <f t="shared" ca="1" si="225"/>
        <v/>
      </c>
      <c r="Z470" s="368" t="str">
        <f t="shared" ca="1" si="226"/>
        <v/>
      </c>
      <c r="AA470" s="369" t="str">
        <f t="shared" ca="1" si="227"/>
        <v/>
      </c>
      <c r="AB470" s="344"/>
      <c r="AC470" s="363" t="e">
        <f t="shared" ca="1" si="228"/>
        <v>#N/A</v>
      </c>
      <c r="AD470" s="376" t="e">
        <f t="shared" ca="1" si="229"/>
        <v>#N/A</v>
      </c>
      <c r="AE470" s="377" t="e">
        <f t="shared" ca="1" si="208"/>
        <v>#N/A</v>
      </c>
      <c r="AF470" s="344"/>
      <c r="AG470" s="359">
        <f t="shared" ca="1" si="230"/>
        <v>-10.758609517863562</v>
      </c>
      <c r="AH470" s="357">
        <f t="shared" ca="1" si="231"/>
        <v>-1.8720420127024471</v>
      </c>
    </row>
    <row r="471" spans="1:34" x14ac:dyDescent="0.2">
      <c r="A471" s="402">
        <f t="shared" ca="1" si="209"/>
        <v>0.1</v>
      </c>
      <c r="B471" s="357">
        <f t="shared" ca="1" si="210"/>
        <v>10.699999999999935</v>
      </c>
      <c r="C471" s="342"/>
      <c r="D471" s="359">
        <f t="shared" ca="1" si="211"/>
        <v>-0.77885309745653908</v>
      </c>
      <c r="E471" s="360">
        <f t="shared" ca="1" si="212"/>
        <v>-11.451189854490261</v>
      </c>
      <c r="F471" s="357">
        <f t="shared" ca="1" si="213"/>
        <v>11.477646153763338</v>
      </c>
      <c r="G471" s="359">
        <f t="shared" ca="1" si="214"/>
        <v>31.04985582100112</v>
      </c>
      <c r="H471" s="360">
        <f t="shared" ca="1" si="215"/>
        <v>64.44688174461352</v>
      </c>
      <c r="I471" s="357">
        <f t="shared" ca="1" si="216"/>
        <v>71.536662719958898</v>
      </c>
      <c r="J471" s="359">
        <f t="shared" ca="1" si="217"/>
        <v>341.6183104617412</v>
      </c>
      <c r="K471" s="360">
        <f t="shared" ca="1" si="218"/>
        <v>1195.4665440052604</v>
      </c>
      <c r="L471" s="357">
        <f t="shared" ca="1" si="203"/>
        <v>1243.3194794093013</v>
      </c>
      <c r="M471" s="359">
        <f t="shared" ca="1" si="219"/>
        <v>1.1218226487878156</v>
      </c>
      <c r="N471" s="357">
        <f t="shared" ca="1" si="220"/>
        <v>64.275703137728669</v>
      </c>
      <c r="O471" s="343"/>
      <c r="P471" s="363">
        <f t="shared" ca="1" si="221"/>
        <v>23</v>
      </c>
      <c r="Q471" s="357">
        <f t="shared" ca="1" si="222"/>
        <v>0</v>
      </c>
      <c r="R471" s="359">
        <f t="shared" ca="1" si="223"/>
        <v>0</v>
      </c>
      <c r="S471" s="360">
        <f t="shared" ca="1" si="224"/>
        <v>8.3819999999999997</v>
      </c>
      <c r="T471" s="357">
        <f t="shared" ca="1" si="204"/>
        <v>82.227419999999995</v>
      </c>
      <c r="U471" s="364">
        <f t="shared" ca="1" si="205"/>
        <v>0</v>
      </c>
      <c r="V471" s="359">
        <f t="shared" ca="1" si="206"/>
        <v>1.0868151184956452</v>
      </c>
      <c r="W471" s="357">
        <f t="shared" ca="1" si="207"/>
        <v>14.773142752526724</v>
      </c>
      <c r="X471" s="343"/>
      <c r="Y471" s="367" t="str">
        <f t="shared" ca="1" si="225"/>
        <v/>
      </c>
      <c r="Z471" s="368" t="str">
        <f t="shared" ca="1" si="226"/>
        <v/>
      </c>
      <c r="AA471" s="369" t="str">
        <f t="shared" ca="1" si="227"/>
        <v/>
      </c>
      <c r="AB471" s="344"/>
      <c r="AC471" s="363" t="e">
        <f t="shared" ca="1" si="228"/>
        <v>#N/A</v>
      </c>
      <c r="AD471" s="376" t="e">
        <f t="shared" ca="1" si="229"/>
        <v>#N/A</v>
      </c>
      <c r="AE471" s="377" t="e">
        <f t="shared" ca="1" si="208"/>
        <v>#N/A</v>
      </c>
      <c r="AF471" s="344"/>
      <c r="AG471" s="359">
        <f t="shared" ca="1" si="230"/>
        <v>-10.679264272724243</v>
      </c>
      <c r="AH471" s="357">
        <f t="shared" ca="1" si="231"/>
        <v>-1.816622218816947</v>
      </c>
    </row>
    <row r="472" spans="1:34" x14ac:dyDescent="0.2">
      <c r="A472" s="402">
        <f t="shared" ca="1" si="209"/>
        <v>0.1</v>
      </c>
      <c r="B472" s="357">
        <f t="shared" ca="1" si="210"/>
        <v>10.799999999999935</v>
      </c>
      <c r="C472" s="342"/>
      <c r="D472" s="359">
        <f t="shared" ca="1" si="211"/>
        <v>-0.7649906902689666</v>
      </c>
      <c r="E472" s="360">
        <f t="shared" ca="1" si="212"/>
        <v>-11.397809773923285</v>
      </c>
      <c r="F472" s="357">
        <f t="shared" ca="1" si="213"/>
        <v>11.423452998053582</v>
      </c>
      <c r="G472" s="359">
        <f t="shared" ca="1" si="214"/>
        <v>30.973356751974222</v>
      </c>
      <c r="H472" s="360">
        <f t="shared" ca="1" si="215"/>
        <v>63.307100767221193</v>
      </c>
      <c r="I472" s="357">
        <f t="shared" ca="1" si="216"/>
        <v>70.477924458912412</v>
      </c>
      <c r="J472" s="359">
        <f t="shared" ca="1" si="217"/>
        <v>344.71947109038996</v>
      </c>
      <c r="K472" s="360">
        <f t="shared" ca="1" si="218"/>
        <v>1201.8542431308522</v>
      </c>
      <c r="L472" s="357">
        <f t="shared" ca="1" si="203"/>
        <v>1250.3140147500833</v>
      </c>
      <c r="M472" s="359">
        <f t="shared" ca="1" si="219"/>
        <v>1.1157810837429099</v>
      </c>
      <c r="N472" s="357">
        <f t="shared" ca="1" si="220"/>
        <v>63.929546959001804</v>
      </c>
      <c r="O472" s="343"/>
      <c r="P472" s="363">
        <f t="shared" ca="1" si="221"/>
        <v>23</v>
      </c>
      <c r="Q472" s="357">
        <f t="shared" ca="1" si="222"/>
        <v>0</v>
      </c>
      <c r="R472" s="359">
        <f t="shared" ca="1" si="223"/>
        <v>0</v>
      </c>
      <c r="S472" s="360">
        <f t="shared" ca="1" si="224"/>
        <v>8.3819999999999997</v>
      </c>
      <c r="T472" s="357">
        <f t="shared" ca="1" si="204"/>
        <v>82.227419999999995</v>
      </c>
      <c r="U472" s="364">
        <f t="shared" ca="1" si="205"/>
        <v>0</v>
      </c>
      <c r="V472" s="359">
        <f t="shared" ca="1" si="206"/>
        <v>1.0861186143483377</v>
      </c>
      <c r="W472" s="357">
        <f t="shared" ca="1" si="207"/>
        <v>14.329905949434107</v>
      </c>
      <c r="X472" s="343"/>
      <c r="Y472" s="367" t="str">
        <f t="shared" ca="1" si="225"/>
        <v/>
      </c>
      <c r="Z472" s="368" t="str">
        <f t="shared" ca="1" si="226"/>
        <v/>
      </c>
      <c r="AA472" s="369" t="str">
        <f t="shared" ca="1" si="227"/>
        <v/>
      </c>
      <c r="AB472" s="344"/>
      <c r="AC472" s="363" t="e">
        <f t="shared" ca="1" si="228"/>
        <v>#N/A</v>
      </c>
      <c r="AD472" s="376" t="e">
        <f t="shared" ca="1" si="229"/>
        <v>#N/A</v>
      </c>
      <c r="AE472" s="377" t="e">
        <f t="shared" ca="1" si="208"/>
        <v>#N/A</v>
      </c>
      <c r="AF472" s="344"/>
      <c r="AG472" s="359">
        <f t="shared" ca="1" si="230"/>
        <v>-10.600244971636402</v>
      </c>
      <c r="AH472" s="357">
        <f t="shared" ca="1" si="231"/>
        <v>-1.7624842224441331</v>
      </c>
    </row>
    <row r="473" spans="1:34" x14ac:dyDescent="0.2">
      <c r="A473" s="402">
        <f t="shared" ca="1" si="209"/>
        <v>0.1</v>
      </c>
      <c r="B473" s="357">
        <f t="shared" ca="1" si="210"/>
        <v>10.899999999999935</v>
      </c>
      <c r="C473" s="342"/>
      <c r="D473" s="359">
        <f t="shared" ca="1" si="211"/>
        <v>-0.7513302115165772</v>
      </c>
      <c r="E473" s="360">
        <f t="shared" ca="1" si="212"/>
        <v>-11.34565975398859</v>
      </c>
      <c r="F473" s="357">
        <f t="shared" ca="1" si="213"/>
        <v>11.370509766057719</v>
      </c>
      <c r="G473" s="359">
        <f t="shared" ca="1" si="214"/>
        <v>30.898223730822565</v>
      </c>
      <c r="H473" s="360">
        <f t="shared" ca="1" si="215"/>
        <v>62.172534791822336</v>
      </c>
      <c r="I473" s="357">
        <f t="shared" ca="1" si="216"/>
        <v>69.427115107573968</v>
      </c>
      <c r="J473" s="359">
        <f t="shared" ca="1" si="217"/>
        <v>347.8130501145298</v>
      </c>
      <c r="K473" s="360">
        <f t="shared" ca="1" si="218"/>
        <v>1208.1282249088044</v>
      </c>
      <c r="L473" s="357">
        <f t="shared" ca="1" si="203"/>
        <v>1257.1983636846142</v>
      </c>
      <c r="M473" s="359">
        <f t="shared" ca="1" si="219"/>
        <v>1.1095712803822648</v>
      </c>
      <c r="N473" s="357">
        <f t="shared" ca="1" si="220"/>
        <v>63.57375143483069</v>
      </c>
      <c r="O473" s="343"/>
      <c r="P473" s="363">
        <f t="shared" ca="1" si="221"/>
        <v>23</v>
      </c>
      <c r="Q473" s="357">
        <f t="shared" ca="1" si="222"/>
        <v>0</v>
      </c>
      <c r="R473" s="359">
        <f t="shared" ca="1" si="223"/>
        <v>0</v>
      </c>
      <c r="S473" s="360">
        <f t="shared" ca="1" si="224"/>
        <v>8.3819999999999997</v>
      </c>
      <c r="T473" s="357">
        <f t="shared" ca="1" si="204"/>
        <v>82.227419999999995</v>
      </c>
      <c r="U473" s="364">
        <f t="shared" ca="1" si="205"/>
        <v>0</v>
      </c>
      <c r="V473" s="359">
        <f t="shared" ca="1" si="206"/>
        <v>1.0854349181767882</v>
      </c>
      <c r="W473" s="357">
        <f t="shared" ca="1" si="207"/>
        <v>13.897026928428094</v>
      </c>
      <c r="X473" s="343"/>
      <c r="Y473" s="367" t="str">
        <f t="shared" ca="1" si="225"/>
        <v/>
      </c>
      <c r="Z473" s="368" t="str">
        <f t="shared" ca="1" si="226"/>
        <v/>
      </c>
      <c r="AA473" s="369" t="str">
        <f t="shared" ca="1" si="227"/>
        <v/>
      </c>
      <c r="AB473" s="344"/>
      <c r="AC473" s="363" t="e">
        <f t="shared" ca="1" si="228"/>
        <v>#N/A</v>
      </c>
      <c r="AD473" s="376" t="e">
        <f t="shared" ca="1" si="229"/>
        <v>#N/A</v>
      </c>
      <c r="AE473" s="377" t="e">
        <f t="shared" ca="1" si="208"/>
        <v>#N/A</v>
      </c>
      <c r="AF473" s="344"/>
      <c r="AG473" s="359">
        <f t="shared" ca="1" si="230"/>
        <v>-10.521479593635071</v>
      </c>
      <c r="AH473" s="357">
        <f t="shared" ca="1" si="231"/>
        <v>-1.7096046229341573</v>
      </c>
    </row>
    <row r="474" spans="1:34" x14ac:dyDescent="0.2">
      <c r="A474" s="402">
        <f t="shared" ca="1" si="209"/>
        <v>0.1</v>
      </c>
      <c r="B474" s="357">
        <f t="shared" ca="1" si="210"/>
        <v>10.999999999999934</v>
      </c>
      <c r="C474" s="342"/>
      <c r="D474" s="359">
        <f t="shared" ca="1" si="211"/>
        <v>-0.73786793277026896</v>
      </c>
      <c r="E474" s="360">
        <f t="shared" ca="1" si="212"/>
        <v>-11.294717054338848</v>
      </c>
      <c r="F474" s="357">
        <f t="shared" ca="1" si="213"/>
        <v>11.318793328963274</v>
      </c>
      <c r="G474" s="359">
        <f t="shared" ca="1" si="214"/>
        <v>30.824436937545538</v>
      </c>
      <c r="H474" s="360">
        <f t="shared" ca="1" si="215"/>
        <v>61.04306308638845</v>
      </c>
      <c r="I474" s="357">
        <f t="shared" ca="1" si="216"/>
        <v>68.38421940393502</v>
      </c>
      <c r="J474" s="359">
        <f t="shared" ca="1" si="217"/>
        <v>350.89918314794818</v>
      </c>
      <c r="K474" s="360">
        <f t="shared" ca="1" si="218"/>
        <v>1214.289004802715</v>
      </c>
      <c r="L474" s="357">
        <f t="shared" ca="1" si="203"/>
        <v>1263.9731104413042</v>
      </c>
      <c r="M474" s="359">
        <f t="shared" ca="1" si="219"/>
        <v>1.1031868749577649</v>
      </c>
      <c r="N474" s="357">
        <f t="shared" ca="1" si="220"/>
        <v>63.20795194930642</v>
      </c>
      <c r="O474" s="343"/>
      <c r="P474" s="363">
        <f t="shared" ca="1" si="221"/>
        <v>23</v>
      </c>
      <c r="Q474" s="357">
        <f t="shared" ca="1" si="222"/>
        <v>0</v>
      </c>
      <c r="R474" s="359">
        <f t="shared" ca="1" si="223"/>
        <v>0</v>
      </c>
      <c r="S474" s="360">
        <f t="shared" ca="1" si="224"/>
        <v>8.3819999999999997</v>
      </c>
      <c r="T474" s="357">
        <f t="shared" ca="1" si="204"/>
        <v>82.227419999999995</v>
      </c>
      <c r="U474" s="364">
        <f t="shared" ca="1" si="205"/>
        <v>0</v>
      </c>
      <c r="V474" s="359">
        <f t="shared" ca="1" si="206"/>
        <v>1.084763951500183</v>
      </c>
      <c r="W474" s="357">
        <f t="shared" ca="1" si="207"/>
        <v>13.474321444000603</v>
      </c>
      <c r="X474" s="343"/>
      <c r="Y474" s="367" t="str">
        <f t="shared" ca="1" si="225"/>
        <v/>
      </c>
      <c r="Z474" s="368" t="str">
        <f t="shared" ca="1" si="226"/>
        <v/>
      </c>
      <c r="AA474" s="369" t="str">
        <f t="shared" ca="1" si="227"/>
        <v/>
      </c>
      <c r="AB474" s="344"/>
      <c r="AC474" s="363">
        <f t="shared" ca="1" si="228"/>
        <v>10.999999999999934</v>
      </c>
      <c r="AD474" s="376">
        <f t="shared" ca="1" si="229"/>
        <v>350.89918314794818</v>
      </c>
      <c r="AE474" s="377" t="e">
        <f t="shared" ca="1" si="208"/>
        <v>#N/A</v>
      </c>
      <c r="AF474" s="344"/>
      <c r="AG474" s="359">
        <f t="shared" ca="1" si="230"/>
        <v>-10.442893909271945</v>
      </c>
      <c r="AH474" s="357">
        <f t="shared" ca="1" si="231"/>
        <v>-1.6579607406857664</v>
      </c>
    </row>
    <row r="475" spans="1:34" x14ac:dyDescent="0.2">
      <c r="A475" s="402">
        <f t="shared" ca="1" si="209"/>
        <v>0.1</v>
      </c>
      <c r="B475" s="357">
        <f t="shared" ca="1" si="210"/>
        <v>11.099999999999934</v>
      </c>
      <c r="C475" s="342"/>
      <c r="D475" s="359">
        <f t="shared" ca="1" si="211"/>
        <v>-0.72460029332154119</v>
      </c>
      <c r="E475" s="360">
        <f t="shared" ca="1" si="212"/>
        <v>-11.244959590900624</v>
      </c>
      <c r="F475" s="357">
        <f t="shared" ca="1" si="213"/>
        <v>11.268281225904401</v>
      </c>
      <c r="G475" s="359">
        <f t="shared" ca="1" si="214"/>
        <v>30.751976908213383</v>
      </c>
      <c r="H475" s="360">
        <f t="shared" ca="1" si="215"/>
        <v>59.918567127298388</v>
      </c>
      <c r="I475" s="357">
        <f t="shared" ca="1" si="216"/>
        <v>67.349229916546577</v>
      </c>
      <c r="J475" s="359">
        <f t="shared" ca="1" si="217"/>
        <v>353.97800384023611</v>
      </c>
      <c r="K475" s="360">
        <f t="shared" ca="1" si="218"/>
        <v>1220.3370863133994</v>
      </c>
      <c r="L475" s="357">
        <f t="shared" ca="1" si="203"/>
        <v>1270.6388280839665</v>
      </c>
      <c r="M475" s="359">
        <f t="shared" ca="1" si="219"/>
        <v>1.0966212094781558</v>
      </c>
      <c r="N475" s="357">
        <f t="shared" ca="1" si="220"/>
        <v>62.831767027630079</v>
      </c>
      <c r="O475" s="343"/>
      <c r="P475" s="363">
        <f t="shared" ca="1" si="221"/>
        <v>23</v>
      </c>
      <c r="Q475" s="357">
        <f t="shared" ca="1" si="222"/>
        <v>0</v>
      </c>
      <c r="R475" s="359">
        <f t="shared" ca="1" si="223"/>
        <v>0</v>
      </c>
      <c r="S475" s="360">
        <f t="shared" ca="1" si="224"/>
        <v>8.3819999999999997</v>
      </c>
      <c r="T475" s="357">
        <f t="shared" ca="1" si="204"/>
        <v>82.227419999999995</v>
      </c>
      <c r="U475" s="364">
        <f t="shared" ca="1" si="205"/>
        <v>0</v>
      </c>
      <c r="V475" s="359">
        <f t="shared" ca="1" si="206"/>
        <v>1.0841056377046812</v>
      </c>
      <c r="W475" s="357">
        <f t="shared" ca="1" si="207"/>
        <v>13.061610924116113</v>
      </c>
      <c r="X475" s="343"/>
      <c r="Y475" s="367" t="str">
        <f t="shared" ca="1" si="225"/>
        <v/>
      </c>
      <c r="Z475" s="368" t="str">
        <f t="shared" ca="1" si="226"/>
        <v/>
      </c>
      <c r="AA475" s="369" t="str">
        <f t="shared" ca="1" si="227"/>
        <v/>
      </c>
      <c r="AB475" s="344"/>
      <c r="AC475" s="363" t="e">
        <f t="shared" ca="1" si="228"/>
        <v>#N/A</v>
      </c>
      <c r="AD475" s="376" t="e">
        <f t="shared" ca="1" si="229"/>
        <v>#N/A</v>
      </c>
      <c r="AE475" s="377" t="e">
        <f t="shared" ca="1" si="208"/>
        <v>#N/A</v>
      </c>
      <c r="AF475" s="344"/>
      <c r="AG475" s="359">
        <f t="shared" ca="1" si="230"/>
        <v>-10.364411262357239</v>
      </c>
      <c r="AH475" s="357">
        <f t="shared" ca="1" si="231"/>
        <v>-1.6075305946075642</v>
      </c>
    </row>
    <row r="476" spans="1:34" x14ac:dyDescent="0.2">
      <c r="A476" s="402">
        <f t="shared" ca="1" si="209"/>
        <v>0.1</v>
      </c>
      <c r="B476" s="357">
        <f t="shared" ca="1" si="210"/>
        <v>11.199999999999934</v>
      </c>
      <c r="C476" s="342"/>
      <c r="D476" s="359">
        <f t="shared" ca="1" si="211"/>
        <v>-0.71152389917281422</v>
      </c>
      <c r="E476" s="360">
        <f t="shared" ca="1" si="212"/>
        <v>-11.196365912100974</v>
      </c>
      <c r="F476" s="357">
        <f t="shared" ca="1" si="213"/>
        <v>11.218951639825834</v>
      </c>
      <c r="G476" s="359">
        <f t="shared" ca="1" si="214"/>
        <v>30.680824518296102</v>
      </c>
      <c r="H476" s="360">
        <f t="shared" ca="1" si="215"/>
        <v>58.798930536088292</v>
      </c>
      <c r="I476" s="357">
        <f t="shared" ca="1" si="216"/>
        <v>66.322147321315029</v>
      </c>
      <c r="J476" s="359">
        <f t="shared" ca="1" si="217"/>
        <v>357.04964391156159</v>
      </c>
      <c r="K476" s="360">
        <f t="shared" ca="1" si="218"/>
        <v>1226.2729611965688</v>
      </c>
      <c r="L476" s="357">
        <f t="shared" ca="1" si="203"/>
        <v>1277.1960787518783</v>
      </c>
      <c r="M476" s="359">
        <f t="shared" ca="1" si="219"/>
        <v>1.0898673171037707</v>
      </c>
      <c r="N476" s="357">
        <f t="shared" ca="1" si="220"/>
        <v>62.444797499292221</v>
      </c>
      <c r="O476" s="343"/>
      <c r="P476" s="363">
        <f t="shared" ca="1" si="221"/>
        <v>23</v>
      </c>
      <c r="Q476" s="357">
        <f t="shared" ca="1" si="222"/>
        <v>0</v>
      </c>
      <c r="R476" s="359">
        <f t="shared" ca="1" si="223"/>
        <v>0</v>
      </c>
      <c r="S476" s="360">
        <f t="shared" ca="1" si="224"/>
        <v>8.3819999999999997</v>
      </c>
      <c r="T476" s="357">
        <f t="shared" ca="1" si="204"/>
        <v>82.227419999999995</v>
      </c>
      <c r="U476" s="364">
        <f t="shared" ca="1" si="205"/>
        <v>0</v>
      </c>
      <c r="V476" s="359">
        <f t="shared" ca="1" si="206"/>
        <v>1.0834599020080522</v>
      </c>
      <c r="W476" s="357">
        <f t="shared" ca="1" si="207"/>
        <v>12.658722295926678</v>
      </c>
      <c r="X476" s="343"/>
      <c r="Y476" s="367" t="str">
        <f t="shared" ca="1" si="225"/>
        <v/>
      </c>
      <c r="Z476" s="368" t="str">
        <f t="shared" ca="1" si="226"/>
        <v/>
      </c>
      <c r="AA476" s="369" t="str">
        <f t="shared" ca="1" si="227"/>
        <v/>
      </c>
      <c r="AB476" s="344"/>
      <c r="AC476" s="363" t="e">
        <f t="shared" ca="1" si="228"/>
        <v>#N/A</v>
      </c>
      <c r="AD476" s="376" t="e">
        <f t="shared" ca="1" si="229"/>
        <v>#N/A</v>
      </c>
      <c r="AE476" s="377" t="e">
        <f t="shared" ca="1" si="208"/>
        <v>#N/A</v>
      </c>
      <c r="AF476" s="344"/>
      <c r="AG476" s="359">
        <f t="shared" ca="1" si="230"/>
        <v>-10.285952339194079</v>
      </c>
      <c r="AH476" s="357">
        <f t="shared" ca="1" si="231"/>
        <v>-1.5582928804719773</v>
      </c>
    </row>
    <row r="477" spans="1:34" x14ac:dyDescent="0.2">
      <c r="A477" s="402">
        <f t="shared" ca="1" si="209"/>
        <v>0.1</v>
      </c>
      <c r="B477" s="357">
        <f t="shared" ca="1" si="210"/>
        <v>11.299999999999933</v>
      </c>
      <c r="C477" s="342"/>
      <c r="D477" s="359">
        <f t="shared" ca="1" si="211"/>
        <v>-0.69863552238481375</v>
      </c>
      <c r="E477" s="360">
        <f t="shared" ca="1" si="212"/>
        <v>-11.148915175706946</v>
      </c>
      <c r="F477" s="357">
        <f t="shared" ca="1" si="213"/>
        <v>11.170783373973668</v>
      </c>
      <c r="G477" s="359">
        <f t="shared" ca="1" si="214"/>
        <v>30.610960966057622</v>
      </c>
      <c r="H477" s="360">
        <f t="shared" ca="1" si="215"/>
        <v>57.684039018517595</v>
      </c>
      <c r="I477" s="357">
        <f t="shared" ca="1" si="216"/>
        <v>65.302980703451539</v>
      </c>
      <c r="J477" s="359">
        <f t="shared" ca="1" si="217"/>
        <v>360.11423318577926</v>
      </c>
      <c r="K477" s="360">
        <f t="shared" ca="1" si="218"/>
        <v>1232.097109674299</v>
      </c>
      <c r="L477" s="357">
        <f t="shared" ca="1" si="203"/>
        <v>1283.6454138938616</v>
      </c>
      <c r="M477" s="359">
        <f t="shared" ca="1" si="219"/>
        <v>1.0829179069256538</v>
      </c>
      <c r="N477" s="357">
        <f t="shared" ca="1" si="220"/>
        <v>62.046625625980866</v>
      </c>
      <c r="O477" s="343"/>
      <c r="P477" s="363">
        <f t="shared" ca="1" si="221"/>
        <v>23</v>
      </c>
      <c r="Q477" s="357">
        <f t="shared" ca="1" si="222"/>
        <v>0</v>
      </c>
      <c r="R477" s="359">
        <f t="shared" ca="1" si="223"/>
        <v>0</v>
      </c>
      <c r="S477" s="360">
        <f t="shared" ca="1" si="224"/>
        <v>8.3819999999999997</v>
      </c>
      <c r="T477" s="357">
        <f t="shared" ca="1" si="204"/>
        <v>82.227419999999995</v>
      </c>
      <c r="U477" s="364">
        <f t="shared" ca="1" si="205"/>
        <v>0</v>
      </c>
      <c r="V477" s="359">
        <f t="shared" ca="1" si="206"/>
        <v>1.0828266714253769</v>
      </c>
      <c r="W477" s="357">
        <f t="shared" ca="1" si="207"/>
        <v>12.265487818324486</v>
      </c>
      <c r="X477" s="343"/>
      <c r="Y477" s="367" t="str">
        <f t="shared" ca="1" si="225"/>
        <v/>
      </c>
      <c r="Z477" s="368" t="str">
        <f t="shared" ca="1" si="226"/>
        <v/>
      </c>
      <c r="AA477" s="369" t="str">
        <f t="shared" ca="1" si="227"/>
        <v/>
      </c>
      <c r="AB477" s="344"/>
      <c r="AC477" s="363" t="e">
        <f t="shared" ca="1" si="228"/>
        <v>#N/A</v>
      </c>
      <c r="AD477" s="376" t="e">
        <f t="shared" ca="1" si="229"/>
        <v>#N/A</v>
      </c>
      <c r="AE477" s="377" t="e">
        <f t="shared" ca="1" si="208"/>
        <v>#N/A</v>
      </c>
      <c r="AF477" s="344"/>
      <c r="AG477" s="359">
        <f t="shared" ca="1" si="230"/>
        <v>-10.207434924473535</v>
      </c>
      <c r="AH477" s="357">
        <f t="shared" ca="1" si="231"/>
        <v>-1.5102269501224861</v>
      </c>
    </row>
    <row r="478" spans="1:34" x14ac:dyDescent="0.2">
      <c r="A478" s="402">
        <f t="shared" ca="1" si="209"/>
        <v>0.1</v>
      </c>
      <c r="B478" s="357">
        <f t="shared" ca="1" si="210"/>
        <v>11.399999999999933</v>
      </c>
      <c r="C478" s="342"/>
      <c r="D478" s="359">
        <f t="shared" ca="1" si="211"/>
        <v>-0.68593210078797628</v>
      </c>
      <c r="E478" s="360">
        <f t="shared" ca="1" si="212"/>
        <v>-11.102587126218641</v>
      </c>
      <c r="F478" s="357">
        <f t="shared" ca="1" si="213"/>
        <v>11.123755828953065</v>
      </c>
      <c r="G478" s="359">
        <f t="shared" ca="1" si="214"/>
        <v>30.542367755978823</v>
      </c>
      <c r="H478" s="360">
        <f t="shared" ca="1" si="215"/>
        <v>56.573780305895731</v>
      </c>
      <c r="I478" s="357">
        <f t="shared" ca="1" si="216"/>
        <v>64.291747886032852</v>
      </c>
      <c r="J478" s="359">
        <f t="shared" ca="1" si="217"/>
        <v>363.1718996218811</v>
      </c>
      <c r="K478" s="360">
        <f t="shared" ca="1" si="218"/>
        <v>1237.8100006405195</v>
      </c>
      <c r="L478" s="357">
        <f t="shared" ca="1" si="203"/>
        <v>1289.9873744966069</v>
      </c>
      <c r="M478" s="359">
        <f t="shared" ca="1" si="219"/>
        <v>1.0757653481345284</v>
      </c>
      <c r="N478" s="357">
        <f t="shared" ca="1" si="220"/>
        <v>61.636814194530189</v>
      </c>
      <c r="O478" s="343"/>
      <c r="P478" s="363">
        <f t="shared" ca="1" si="221"/>
        <v>23</v>
      </c>
      <c r="Q478" s="357">
        <f t="shared" ca="1" si="222"/>
        <v>0</v>
      </c>
      <c r="R478" s="359">
        <f t="shared" ca="1" si="223"/>
        <v>0</v>
      </c>
      <c r="S478" s="360">
        <f t="shared" ca="1" si="224"/>
        <v>8.3819999999999997</v>
      </c>
      <c r="T478" s="357">
        <f t="shared" ca="1" si="204"/>
        <v>82.227419999999995</v>
      </c>
      <c r="U478" s="364">
        <f t="shared" ca="1" si="205"/>
        <v>0</v>
      </c>
      <c r="V478" s="359">
        <f t="shared" ca="1" si="206"/>
        <v>1.0822058747357752</v>
      </c>
      <c r="W478" s="357">
        <f t="shared" ca="1" si="207"/>
        <v>11.881744921032137</v>
      </c>
      <c r="X478" s="343"/>
      <c r="Y478" s="367" t="str">
        <f t="shared" ca="1" si="225"/>
        <v/>
      </c>
      <c r="Z478" s="368" t="str">
        <f t="shared" ca="1" si="226"/>
        <v/>
      </c>
      <c r="AA478" s="369" t="str">
        <f t="shared" ca="1" si="227"/>
        <v/>
      </c>
      <c r="AB478" s="344"/>
      <c r="AC478" s="363" t="e">
        <f t="shared" ca="1" si="228"/>
        <v>#N/A</v>
      </c>
      <c r="AD478" s="376" t="e">
        <f t="shared" ca="1" si="229"/>
        <v>#N/A</v>
      </c>
      <c r="AE478" s="377" t="e">
        <f t="shared" ca="1" si="208"/>
        <v>#N/A</v>
      </c>
      <c r="AF478" s="344"/>
      <c r="AG478" s="359">
        <f t="shared" ca="1" si="230"/>
        <v>-10.12877364299106</v>
      </c>
      <c r="AH478" s="357">
        <f t="shared" ca="1" si="231"/>
        <v>-1.4633127914965982</v>
      </c>
    </row>
    <row r="479" spans="1:34" x14ac:dyDescent="0.2">
      <c r="A479" s="402">
        <f t="shared" ca="1" si="209"/>
        <v>0.1</v>
      </c>
      <c r="B479" s="357">
        <f t="shared" ca="1" si="210"/>
        <v>11.499999999999932</v>
      </c>
      <c r="C479" s="342"/>
      <c r="D479" s="359">
        <f t="shared" ca="1" si="211"/>
        <v>-0.67341073806586738</v>
      </c>
      <c r="E479" s="360">
        <f t="shared" ca="1" si="212"/>
        <v>-11.057362072755859</v>
      </c>
      <c r="F479" s="357">
        <f t="shared" ca="1" si="213"/>
        <v>11.077848980292256</v>
      </c>
      <c r="G479" s="359">
        <f t="shared" ca="1" si="214"/>
        <v>30.475026682172235</v>
      </c>
      <c r="H479" s="360">
        <f t="shared" ca="1" si="215"/>
        <v>55.468044098620148</v>
      </c>
      <c r="I479" s="357">
        <f t="shared" ca="1" si="216"/>
        <v>63.288475786714748</v>
      </c>
      <c r="J479" s="359">
        <f t="shared" ca="1" si="217"/>
        <v>366.22276934378863</v>
      </c>
      <c r="K479" s="360">
        <f t="shared" ca="1" si="218"/>
        <v>1243.4120918607452</v>
      </c>
      <c r="L479" s="357">
        <f t="shared" ca="1" si="203"/>
        <v>1296.2224913074715</v>
      </c>
      <c r="M479" s="359">
        <f t="shared" ca="1" si="219"/>
        <v>1.0684016535928731</v>
      </c>
      <c r="N479" s="357">
        <f t="shared" ca="1" si="220"/>
        <v>61.214905575669817</v>
      </c>
      <c r="O479" s="343"/>
      <c r="P479" s="363">
        <f t="shared" ca="1" si="221"/>
        <v>23</v>
      </c>
      <c r="Q479" s="357">
        <f t="shared" ca="1" si="222"/>
        <v>0</v>
      </c>
      <c r="R479" s="359">
        <f t="shared" ca="1" si="223"/>
        <v>0</v>
      </c>
      <c r="S479" s="360">
        <f t="shared" ca="1" si="224"/>
        <v>8.3819999999999997</v>
      </c>
      <c r="T479" s="357">
        <f t="shared" ca="1" si="204"/>
        <v>82.227419999999995</v>
      </c>
      <c r="U479" s="364">
        <f t="shared" ca="1" si="205"/>
        <v>0</v>
      </c>
      <c r="V479" s="359">
        <f t="shared" ca="1" si="206"/>
        <v>1.0815974424501227</v>
      </c>
      <c r="W479" s="357">
        <f t="shared" ca="1" si="207"/>
        <v>11.507336049944923</v>
      </c>
      <c r="X479" s="343"/>
      <c r="Y479" s="367" t="str">
        <f t="shared" ca="1" si="225"/>
        <v/>
      </c>
      <c r="Z479" s="368" t="str">
        <f t="shared" ca="1" si="226"/>
        <v/>
      </c>
      <c r="AA479" s="369" t="str">
        <f t="shared" ca="1" si="227"/>
        <v/>
      </c>
      <c r="AB479" s="344"/>
      <c r="AC479" s="363" t="e">
        <f t="shared" ca="1" si="228"/>
        <v>#N/A</v>
      </c>
      <c r="AD479" s="376" t="e">
        <f t="shared" ca="1" si="229"/>
        <v>#N/A</v>
      </c>
      <c r="AE479" s="377" t="e">
        <f t="shared" ca="1" si="208"/>
        <v>#N/A</v>
      </c>
      <c r="AF479" s="344"/>
      <c r="AG479" s="359">
        <f t="shared" ca="1" si="230"/>
        <v>-10.04987968634828</v>
      </c>
      <c r="AH479" s="357">
        <f t="shared" ca="1" si="231"/>
        <v>-1.4175310094287923</v>
      </c>
    </row>
    <row r="480" spans="1:34" x14ac:dyDescent="0.2">
      <c r="A480" s="402">
        <f t="shared" ca="1" si="209"/>
        <v>0.1</v>
      </c>
      <c r="B480" s="357">
        <f t="shared" ca="1" si="210"/>
        <v>11.599999999999932</v>
      </c>
      <c r="C480" s="342"/>
      <c r="D480" s="359">
        <f t="shared" ca="1" si="211"/>
        <v>-0.66106870421967756</v>
      </c>
      <c r="E480" s="360">
        <f t="shared" ca="1" si="212"/>
        <v>-11.013220867377468</v>
      </c>
      <c r="F480" s="357">
        <f t="shared" ca="1" si="213"/>
        <v>11.033043356451437</v>
      </c>
      <c r="G480" s="359">
        <f t="shared" ca="1" si="214"/>
        <v>30.408919811750266</v>
      </c>
      <c r="H480" s="360">
        <f t="shared" ca="1" si="215"/>
        <v>54.366722011882402</v>
      </c>
      <c r="I480" s="357">
        <f t="shared" ca="1" si="216"/>
        <v>62.29320080421904</v>
      </c>
      <c r="J480" s="359">
        <f t="shared" ca="1" si="217"/>
        <v>369.26696666848477</v>
      </c>
      <c r="K480" s="360">
        <f t="shared" ca="1" si="218"/>
        <v>1248.9038301662704</v>
      </c>
      <c r="L480" s="357">
        <f t="shared" ca="1" si="203"/>
        <v>1302.3512850519726</v>
      </c>
      <c r="M480" s="359">
        <f t="shared" ca="1" si="219"/>
        <v>1.0608184628329602</v>
      </c>
      <c r="N480" s="357">
        <f t="shared" ca="1" si="220"/>
        <v>60.7804207498842</v>
      </c>
      <c r="O480" s="343"/>
      <c r="P480" s="363">
        <f t="shared" ca="1" si="221"/>
        <v>23</v>
      </c>
      <c r="Q480" s="357">
        <f t="shared" ca="1" si="222"/>
        <v>0</v>
      </c>
      <c r="R480" s="359">
        <f t="shared" ca="1" si="223"/>
        <v>0</v>
      </c>
      <c r="S480" s="360">
        <f t="shared" ca="1" si="224"/>
        <v>8.3819999999999997</v>
      </c>
      <c r="T480" s="357">
        <f t="shared" ca="1" si="204"/>
        <v>82.227419999999995</v>
      </c>
      <c r="U480" s="364">
        <f t="shared" ca="1" si="205"/>
        <v>0</v>
      </c>
      <c r="V480" s="359">
        <f t="shared" ca="1" si="206"/>
        <v>1.0810013067797193</v>
      </c>
      <c r="W480" s="357">
        <f t="shared" ca="1" si="207"/>
        <v>11.142108518452178</v>
      </c>
      <c r="X480" s="343"/>
      <c r="Y480" s="367" t="str">
        <f t="shared" ca="1" si="225"/>
        <v/>
      </c>
      <c r="Z480" s="368" t="str">
        <f t="shared" ca="1" si="226"/>
        <v/>
      </c>
      <c r="AA480" s="369" t="str">
        <f t="shared" ca="1" si="227"/>
        <v/>
      </c>
      <c r="AB480" s="344"/>
      <c r="AC480" s="363" t="e">
        <f t="shared" ca="1" si="228"/>
        <v>#N/A</v>
      </c>
      <c r="AD480" s="376" t="e">
        <f t="shared" ca="1" si="229"/>
        <v>#N/A</v>
      </c>
      <c r="AE480" s="377" t="e">
        <f t="shared" ca="1" si="208"/>
        <v>#N/A</v>
      </c>
      <c r="AF480" s="344"/>
      <c r="AG480" s="359">
        <f t="shared" ca="1" si="230"/>
        <v>-9.9706605238207295</v>
      </c>
      <c r="AH480" s="357">
        <f t="shared" ca="1" si="231"/>
        <v>-1.3728628071993467</v>
      </c>
    </row>
    <row r="481" spans="1:34" x14ac:dyDescent="0.2">
      <c r="A481" s="402">
        <f t="shared" ca="1" si="209"/>
        <v>0.1</v>
      </c>
      <c r="B481" s="357">
        <f t="shared" ca="1" si="210"/>
        <v>11.699999999999932</v>
      </c>
      <c r="C481" s="342"/>
      <c r="D481" s="359">
        <f t="shared" ca="1" si="211"/>
        <v>-0.64890343642381476</v>
      </c>
      <c r="E481" s="360">
        <f t="shared" ca="1" si="212"/>
        <v>-10.970144883771134</v>
      </c>
      <c r="F481" s="357">
        <f t="shared" ca="1" si="213"/>
        <v>10.98932001721365</v>
      </c>
      <c r="G481" s="359">
        <f t="shared" ca="1" si="214"/>
        <v>30.344029468107884</v>
      </c>
      <c r="H481" s="360">
        <f t="shared" ca="1" si="215"/>
        <v>53.269707523505289</v>
      </c>
      <c r="I481" s="357">
        <f t="shared" ca="1" si="216"/>
        <v>61.305969236292121</v>
      </c>
      <c r="J481" s="359">
        <f t="shared" ca="1" si="217"/>
        <v>372.3046141324777</v>
      </c>
      <c r="K481" s="360">
        <f t="shared" ca="1" si="218"/>
        <v>1254.2856516430397</v>
      </c>
      <c r="L481" s="357">
        <f t="shared" ca="1" si="203"/>
        <v>1308.3742666461833</v>
      </c>
      <c r="M481" s="359">
        <f t="shared" ca="1" si="219"/>
        <v>1.053007024515328</v>
      </c>
      <c r="N481" s="357">
        <f t="shared" ca="1" si="220"/>
        <v>60.332858302357103</v>
      </c>
      <c r="O481" s="343"/>
      <c r="P481" s="363">
        <f t="shared" ca="1" si="221"/>
        <v>23</v>
      </c>
      <c r="Q481" s="357">
        <f t="shared" ca="1" si="222"/>
        <v>0</v>
      </c>
      <c r="R481" s="359">
        <f t="shared" ca="1" si="223"/>
        <v>0</v>
      </c>
      <c r="S481" s="360">
        <f t="shared" ca="1" si="224"/>
        <v>8.3819999999999997</v>
      </c>
      <c r="T481" s="357">
        <f t="shared" ca="1" si="204"/>
        <v>82.227419999999995</v>
      </c>
      <c r="U481" s="364">
        <f t="shared" ca="1" si="205"/>
        <v>0</v>
      </c>
      <c r="V481" s="359">
        <f t="shared" ca="1" si="206"/>
        <v>1.0804174016058783</v>
      </c>
      <c r="W481" s="357">
        <f t="shared" ca="1" si="207"/>
        <v>10.785914364477504</v>
      </c>
      <c r="X481" s="343"/>
      <c r="Y481" s="367" t="str">
        <f t="shared" ca="1" si="225"/>
        <v/>
      </c>
      <c r="Z481" s="368" t="str">
        <f t="shared" ca="1" si="226"/>
        <v/>
      </c>
      <c r="AA481" s="369" t="str">
        <f t="shared" ca="1" si="227"/>
        <v/>
      </c>
      <c r="AB481" s="344"/>
      <c r="AC481" s="363" t="e">
        <f t="shared" ca="1" si="228"/>
        <v>#N/A</v>
      </c>
      <c r="AD481" s="376" t="e">
        <f t="shared" ca="1" si="229"/>
        <v>#N/A</v>
      </c>
      <c r="AE481" s="377" t="e">
        <f t="shared" ca="1" si="208"/>
        <v>#N/A</v>
      </c>
      <c r="AF481" s="344"/>
      <c r="AG481" s="359">
        <f t="shared" ca="1" si="230"/>
        <v>-9.8910195966059504</v>
      </c>
      <c r="AH481" s="357">
        <f t="shared" ca="1" si="231"/>
        <v>-1.3292899687964899</v>
      </c>
    </row>
    <row r="482" spans="1:34" x14ac:dyDescent="0.2">
      <c r="A482" s="402">
        <f t="shared" ca="1" si="209"/>
        <v>0.1</v>
      </c>
      <c r="B482" s="357">
        <f t="shared" ca="1" si="210"/>
        <v>11.799999999999931</v>
      </c>
      <c r="C482" s="342"/>
      <c r="D482" s="359">
        <f t="shared" ca="1" si="211"/>
        <v>-0.63691254028358868</v>
      </c>
      <c r="E482" s="360">
        <f t="shared" ca="1" si="212"/>
        <v>-10.928115996249563</v>
      </c>
      <c r="F482" s="357">
        <f t="shared" ca="1" si="213"/>
        <v>10.946660532393251</v>
      </c>
      <c r="G482" s="359">
        <f t="shared" ca="1" si="214"/>
        <v>30.280338214079524</v>
      </c>
      <c r="H482" s="360">
        <f t="shared" ca="1" si="215"/>
        <v>52.17689592388033</v>
      </c>
      <c r="I482" s="357">
        <f t="shared" ca="1" si="216"/>
        <v>60.326837730901204</v>
      </c>
      <c r="J482" s="359">
        <f t="shared" ca="1" si="217"/>
        <v>375.33583251658706</v>
      </c>
      <c r="K482" s="360">
        <f t="shared" ca="1" si="218"/>
        <v>1259.557981815409</v>
      </c>
      <c r="L482" s="357">
        <f t="shared" ca="1" si="203"/>
        <v>1314.2919374042533</v>
      </c>
      <c r="M482" s="359">
        <f t="shared" ca="1" si="219"/>
        <v>1.0449581783961934</v>
      </c>
      <c r="N482" s="357">
        <f t="shared" ca="1" si="220"/>
        <v>59.87169338978044</v>
      </c>
      <c r="O482" s="343"/>
      <c r="P482" s="363">
        <f t="shared" ca="1" si="221"/>
        <v>23</v>
      </c>
      <c r="Q482" s="357">
        <f t="shared" ca="1" si="222"/>
        <v>0</v>
      </c>
      <c r="R482" s="359">
        <f t="shared" ca="1" si="223"/>
        <v>0</v>
      </c>
      <c r="S482" s="360">
        <f t="shared" ca="1" si="224"/>
        <v>8.3819999999999997</v>
      </c>
      <c r="T482" s="357">
        <f t="shared" ca="1" si="204"/>
        <v>82.227419999999995</v>
      </c>
      <c r="U482" s="364">
        <f t="shared" ca="1" si="205"/>
        <v>0</v>
      </c>
      <c r="V482" s="359">
        <f t="shared" ca="1" si="206"/>
        <v>1.0798456624503991</v>
      </c>
      <c r="W482" s="357">
        <f t="shared" ca="1" si="207"/>
        <v>10.43861021298877</v>
      </c>
      <c r="X482" s="343"/>
      <c r="Y482" s="367" t="str">
        <f t="shared" ca="1" si="225"/>
        <v/>
      </c>
      <c r="Z482" s="368" t="str">
        <f t="shared" ca="1" si="226"/>
        <v/>
      </c>
      <c r="AA482" s="369" t="str">
        <f t="shared" ca="1" si="227"/>
        <v/>
      </c>
      <c r="AB482" s="344"/>
      <c r="AC482" s="363" t="e">
        <f t="shared" ca="1" si="228"/>
        <v>#N/A</v>
      </c>
      <c r="AD482" s="376" t="e">
        <f t="shared" ca="1" si="229"/>
        <v>#N/A</v>
      </c>
      <c r="AE482" s="377" t="e">
        <f t="shared" ca="1" si="208"/>
        <v>#N/A</v>
      </c>
      <c r="AF482" s="344"/>
      <c r="AG482" s="359">
        <f t="shared" ca="1" si="230"/>
        <v>-9.8108559947221217</v>
      </c>
      <c r="AH482" s="357">
        <f t="shared" ca="1" si="231"/>
        <v>-1.2867948418608333</v>
      </c>
    </row>
    <row r="483" spans="1:34" x14ac:dyDescent="0.2">
      <c r="A483" s="402">
        <f t="shared" ca="1" si="209"/>
        <v>0.1</v>
      </c>
      <c r="B483" s="357">
        <f t="shared" ca="1" si="210"/>
        <v>11.899999999999931</v>
      </c>
      <c r="C483" s="342"/>
      <c r="D483" s="359">
        <f t="shared" ca="1" si="211"/>
        <v>-0.62509379150680333</v>
      </c>
      <c r="E483" s="360">
        <f t="shared" ca="1" si="212"/>
        <v>-10.887116558987078</v>
      </c>
      <c r="F483" s="357">
        <f t="shared" ca="1" si="213"/>
        <v>10.905046960795307</v>
      </c>
      <c r="G483" s="359">
        <f t="shared" ca="1" si="214"/>
        <v>30.217828834928845</v>
      </c>
      <c r="H483" s="360">
        <f t="shared" ca="1" si="215"/>
        <v>51.088184267981624</v>
      </c>
      <c r="I483" s="357">
        <f t="shared" ca="1" si="216"/>
        <v>59.355873772494519</v>
      </c>
      <c r="J483" s="359">
        <f t="shared" ca="1" si="217"/>
        <v>378.3607408690375</v>
      </c>
      <c r="K483" s="360">
        <f t="shared" ca="1" si="218"/>
        <v>1264.7212358250022</v>
      </c>
      <c r="L483" s="357">
        <f t="shared" ca="1" si="203"/>
        <v>1320.104789241251</v>
      </c>
      <c r="M483" s="359">
        <f t="shared" ca="1" si="219"/>
        <v>1.0366623368691685</v>
      </c>
      <c r="N483" s="357">
        <f t="shared" ca="1" si="220"/>
        <v>59.396376682772555</v>
      </c>
      <c r="O483" s="343"/>
      <c r="P483" s="363">
        <f t="shared" ca="1" si="221"/>
        <v>23</v>
      </c>
      <c r="Q483" s="357">
        <f t="shared" ca="1" si="222"/>
        <v>0</v>
      </c>
      <c r="R483" s="359">
        <f t="shared" ca="1" si="223"/>
        <v>0</v>
      </c>
      <c r="S483" s="360">
        <f t="shared" ca="1" si="224"/>
        <v>8.3819999999999997</v>
      </c>
      <c r="T483" s="357">
        <f t="shared" ca="1" si="204"/>
        <v>82.227419999999995</v>
      </c>
      <c r="U483" s="364">
        <f t="shared" ca="1" si="205"/>
        <v>0</v>
      </c>
      <c r="V483" s="359">
        <f t="shared" ca="1" si="206"/>
        <v>1.0792860264468902</v>
      </c>
      <c r="W483" s="357">
        <f t="shared" ca="1" si="207"/>
        <v>10.100057143739981</v>
      </c>
      <c r="X483" s="343"/>
      <c r="Y483" s="367" t="str">
        <f t="shared" ca="1" si="225"/>
        <v/>
      </c>
      <c r="Z483" s="368" t="str">
        <f t="shared" ca="1" si="226"/>
        <v/>
      </c>
      <c r="AA483" s="369" t="str">
        <f t="shared" ca="1" si="227"/>
        <v/>
      </c>
      <c r="AB483" s="344"/>
      <c r="AC483" s="363" t="e">
        <f t="shared" ca="1" si="228"/>
        <v>#N/A</v>
      </c>
      <c r="AD483" s="376" t="e">
        <f t="shared" ca="1" si="229"/>
        <v>#N/A</v>
      </c>
      <c r="AE483" s="377" t="e">
        <f t="shared" ca="1" si="208"/>
        <v>#N/A</v>
      </c>
      <c r="AF483" s="344"/>
      <c r="AG483" s="359">
        <f t="shared" ca="1" si="230"/>
        <v>-9.7300641159100483</v>
      </c>
      <c r="AH483" s="357">
        <f t="shared" ca="1" si="231"/>
        <v>-1.2453603212823634</v>
      </c>
    </row>
    <row r="484" spans="1:34" x14ac:dyDescent="0.2">
      <c r="A484" s="402">
        <f t="shared" ca="1" si="209"/>
        <v>0.1</v>
      </c>
      <c r="B484" s="357">
        <f t="shared" ca="1" si="210"/>
        <v>11.999999999999931</v>
      </c>
      <c r="C484" s="342"/>
      <c r="D484" s="359">
        <f t="shared" ca="1" si="211"/>
        <v>-0.61344513800183009</v>
      </c>
      <c r="E484" s="360">
        <f t="shared" ca="1" si="212"/>
        <v>-10.847129385427889</v>
      </c>
      <c r="F484" s="357">
        <f t="shared" ca="1" si="213"/>
        <v>10.864461829356818</v>
      </c>
      <c r="G484" s="359">
        <f t="shared" ca="1" si="214"/>
        <v>30.156484321128662</v>
      </c>
      <c r="H484" s="360">
        <f t="shared" ca="1" si="215"/>
        <v>50.003471329438838</v>
      </c>
      <c r="I484" s="357">
        <f t="shared" ca="1" si="216"/>
        <v>58.393156205196604</v>
      </c>
      <c r="J484" s="359">
        <f t="shared" ca="1" si="217"/>
        <v>381.37945652684039</v>
      </c>
      <c r="K484" s="360">
        <f t="shared" ca="1" si="218"/>
        <v>1269.7758186048732</v>
      </c>
      <c r="L484" s="357">
        <f t="shared" ca="1" si="203"/>
        <v>1325.8133048715358</v>
      </c>
      <c r="M484" s="359">
        <f t="shared" ca="1" si="219"/>
        <v>1.0281094661667545</v>
      </c>
      <c r="N484" s="357">
        <f t="shared" ca="1" si="220"/>
        <v>58.906333288803133</v>
      </c>
      <c r="O484" s="343"/>
      <c r="P484" s="363">
        <f t="shared" ca="1" si="221"/>
        <v>23</v>
      </c>
      <c r="Q484" s="357">
        <f t="shared" ca="1" si="222"/>
        <v>0</v>
      </c>
      <c r="R484" s="359">
        <f t="shared" ca="1" si="223"/>
        <v>0</v>
      </c>
      <c r="S484" s="360">
        <f t="shared" ca="1" si="224"/>
        <v>8.3819999999999997</v>
      </c>
      <c r="T484" s="357">
        <f t="shared" ca="1" si="204"/>
        <v>82.227419999999995</v>
      </c>
      <c r="U484" s="364">
        <f t="shared" ca="1" si="205"/>
        <v>0</v>
      </c>
      <c r="V484" s="359">
        <f t="shared" ca="1" si="206"/>
        <v>1.0787384323129179</v>
      </c>
      <c r="W484" s="357">
        <f t="shared" ca="1" si="207"/>
        <v>9.770120564017013</v>
      </c>
      <c r="X484" s="343"/>
      <c r="Y484" s="367" t="str">
        <f t="shared" ca="1" si="225"/>
        <v/>
      </c>
      <c r="Z484" s="368" t="str">
        <f t="shared" ca="1" si="226"/>
        <v/>
      </c>
      <c r="AA484" s="369" t="str">
        <f t="shared" ca="1" si="227"/>
        <v/>
      </c>
      <c r="AB484" s="344"/>
      <c r="AC484" s="363">
        <f t="shared" ca="1" si="228"/>
        <v>11.999999999999931</v>
      </c>
      <c r="AD484" s="376">
        <f t="shared" ca="1" si="229"/>
        <v>381.37945652684039</v>
      </c>
      <c r="AE484" s="377" t="e">
        <f t="shared" ca="1" si="208"/>
        <v>#N/A</v>
      </c>
      <c r="AF484" s="344"/>
      <c r="AG484" s="359">
        <f t="shared" ca="1" si="230"/>
        <v>-9.6485333060082841</v>
      </c>
      <c r="AH484" s="357">
        <f t="shared" ca="1" si="231"/>
        <v>-1.2049698334216157</v>
      </c>
    </row>
    <row r="485" spans="1:34" x14ac:dyDescent="0.2">
      <c r="A485" s="402">
        <f t="shared" ca="1" si="209"/>
        <v>0.1</v>
      </c>
      <c r="B485" s="357">
        <f t="shared" ca="1" si="210"/>
        <v>12.09999999999993</v>
      </c>
      <c r="C485" s="342"/>
      <c r="D485" s="359">
        <f t="shared" ca="1" si="211"/>
        <v>-0.60196470241532352</v>
      </c>
      <c r="E485" s="360">
        <f t="shared" ca="1" si="212"/>
        <v>-10.808137727794401</v>
      </c>
      <c r="F485" s="357">
        <f t="shared" ca="1" si="213"/>
        <v>10.824888112397591</v>
      </c>
      <c r="G485" s="359">
        <f t="shared" ca="1" si="214"/>
        <v>30.09628785088713</v>
      </c>
      <c r="H485" s="360">
        <f t="shared" ca="1" si="215"/>
        <v>48.922657556659395</v>
      </c>
      <c r="I485" s="357">
        <f t="shared" ca="1" si="216"/>
        <v>57.438775794837575</v>
      </c>
      <c r="J485" s="359">
        <f t="shared" ca="1" si="217"/>
        <v>384.3920951354412</v>
      </c>
      <c r="K485" s="360">
        <f t="shared" ca="1" si="218"/>
        <v>1274.722125049178</v>
      </c>
      <c r="L485" s="357">
        <f t="shared" ca="1" si="203"/>
        <v>1331.4179580028604</v>
      </c>
      <c r="M485" s="359">
        <f t="shared" ca="1" si="219"/>
        <v>1.0192890673310302</v>
      </c>
      <c r="N485" s="357">
        <f t="shared" ca="1" si="220"/>
        <v>58.40096166189403</v>
      </c>
      <c r="O485" s="343"/>
      <c r="P485" s="363">
        <f t="shared" ca="1" si="221"/>
        <v>23</v>
      </c>
      <c r="Q485" s="357">
        <f t="shared" ca="1" si="222"/>
        <v>0</v>
      </c>
      <c r="R485" s="359">
        <f t="shared" ca="1" si="223"/>
        <v>0</v>
      </c>
      <c r="S485" s="360">
        <f t="shared" ca="1" si="224"/>
        <v>8.3819999999999997</v>
      </c>
      <c r="T485" s="357">
        <f t="shared" ca="1" si="204"/>
        <v>82.227419999999995</v>
      </c>
      <c r="U485" s="364">
        <f t="shared" ca="1" si="205"/>
        <v>0</v>
      </c>
      <c r="V485" s="359">
        <f t="shared" ca="1" si="206"/>
        <v>1.0782028203229344</v>
      </c>
      <c r="W485" s="357">
        <f t="shared" ca="1" si="207"/>
        <v>9.4486700861686099</v>
      </c>
      <c r="X485" s="343"/>
      <c r="Y485" s="367" t="str">
        <f t="shared" ca="1" si="225"/>
        <v/>
      </c>
      <c r="Z485" s="368" t="str">
        <f t="shared" ca="1" si="226"/>
        <v/>
      </c>
      <c r="AA485" s="369" t="str">
        <f t="shared" ca="1" si="227"/>
        <v/>
      </c>
      <c r="AB485" s="344"/>
      <c r="AC485" s="363" t="e">
        <f t="shared" ca="1" si="228"/>
        <v>#N/A</v>
      </c>
      <c r="AD485" s="376" t="e">
        <f t="shared" ca="1" si="229"/>
        <v>#N/A</v>
      </c>
      <c r="AE485" s="377" t="e">
        <f t="shared" ca="1" si="208"/>
        <v>#N/A</v>
      </c>
      <c r="AF485" s="344"/>
      <c r="AG485" s="359">
        <f t="shared" ca="1" si="230"/>
        <v>-9.566147480429267</v>
      </c>
      <c r="AH485" s="357">
        <f t="shared" ca="1" si="231"/>
        <v>-1.165607320927823</v>
      </c>
    </row>
    <row r="486" spans="1:34" x14ac:dyDescent="0.2">
      <c r="A486" s="402">
        <f t="shared" ca="1" si="209"/>
        <v>0.1</v>
      </c>
      <c r="B486" s="357">
        <f t="shared" ca="1" si="210"/>
        <v>12.19999999999993</v>
      </c>
      <c r="C486" s="342"/>
      <c r="D486" s="359">
        <f t="shared" ca="1" si="211"/>
        <v>-0.59065078512313263</v>
      </c>
      <c r="E486" s="360">
        <f t="shared" ca="1" si="212"/>
        <v>-10.770125256620288</v>
      </c>
      <c r="F486" s="357">
        <f t="shared" ca="1" si="213"/>
        <v>10.786309210905127</v>
      </c>
      <c r="G486" s="359">
        <f t="shared" ca="1" si="214"/>
        <v>30.037222772374818</v>
      </c>
      <c r="H486" s="360">
        <f t="shared" ca="1" si="215"/>
        <v>47.845645030997368</v>
      </c>
      <c r="I486" s="357">
        <f t="shared" ca="1" si="216"/>
        <v>56.492835831718303</v>
      </c>
      <c r="J486" s="359">
        <f t="shared" ca="1" si="217"/>
        <v>387.39877066660432</v>
      </c>
      <c r="K486" s="360">
        <f t="shared" ca="1" si="218"/>
        <v>1279.5605401785608</v>
      </c>
      <c r="L486" s="357">
        <f t="shared" ca="1" si="203"/>
        <v>1336.9192135263995</v>
      </c>
      <c r="M486" s="359">
        <f t="shared" ca="1" si="219"/>
        <v>1.0101901570912801</v>
      </c>
      <c r="N486" s="357">
        <f t="shared" ca="1" si="220"/>
        <v>57.879632506987981</v>
      </c>
      <c r="O486" s="343"/>
      <c r="P486" s="363">
        <f t="shared" ca="1" si="221"/>
        <v>23</v>
      </c>
      <c r="Q486" s="357">
        <f t="shared" ca="1" si="222"/>
        <v>0</v>
      </c>
      <c r="R486" s="359">
        <f t="shared" ca="1" si="223"/>
        <v>0</v>
      </c>
      <c r="S486" s="360">
        <f t="shared" ca="1" si="224"/>
        <v>8.3819999999999997</v>
      </c>
      <c r="T486" s="357">
        <f t="shared" ca="1" si="204"/>
        <v>82.227419999999995</v>
      </c>
      <c r="U486" s="364">
        <f t="shared" ca="1" si="205"/>
        <v>0</v>
      </c>
      <c r="V486" s="359">
        <f t="shared" ca="1" si="206"/>
        <v>1.0776791322819692</v>
      </c>
      <c r="W486" s="357">
        <f t="shared" ca="1" si="207"/>
        <v>9.1355794097130101</v>
      </c>
      <c r="X486" s="343"/>
      <c r="Y486" s="367" t="str">
        <f t="shared" ca="1" si="225"/>
        <v/>
      </c>
      <c r="Z486" s="368" t="str">
        <f t="shared" ca="1" si="226"/>
        <v/>
      </c>
      <c r="AA486" s="369" t="str">
        <f t="shared" ca="1" si="227"/>
        <v/>
      </c>
      <c r="AB486" s="344"/>
      <c r="AC486" s="363" t="e">
        <f t="shared" ca="1" si="228"/>
        <v>#N/A</v>
      </c>
      <c r="AD486" s="376" t="e">
        <f t="shared" ca="1" si="229"/>
        <v>#N/A</v>
      </c>
      <c r="AE486" s="377" t="e">
        <f t="shared" ca="1" si="208"/>
        <v>#N/A</v>
      </c>
      <c r="AF486" s="344"/>
      <c r="AG486" s="359">
        <f t="shared" ca="1" si="230"/>
        <v>-9.4827847265737724</v>
      </c>
      <c r="AH486" s="357">
        <f t="shared" ca="1" si="231"/>
        <v>-1.1272572281279658</v>
      </c>
    </row>
    <row r="487" spans="1:34" x14ac:dyDescent="0.2">
      <c r="A487" s="402">
        <f t="shared" ca="1" si="209"/>
        <v>0.1</v>
      </c>
      <c r="B487" s="357">
        <f t="shared" ca="1" si="210"/>
        <v>12.29999999999993</v>
      </c>
      <c r="C487" s="342"/>
      <c r="D487" s="359">
        <f t="shared" ca="1" si="211"/>
        <v>-0.57950186768812906</v>
      </c>
      <c r="E487" s="360">
        <f t="shared" ca="1" si="212"/>
        <v>-10.733076040229205</v>
      </c>
      <c r="F487" s="357">
        <f t="shared" ca="1" si="213"/>
        <v>10.748708931773912</v>
      </c>
      <c r="G487" s="359">
        <f t="shared" ca="1" si="214"/>
        <v>29.979272585606004</v>
      </c>
      <c r="H487" s="360">
        <f t="shared" ca="1" si="215"/>
        <v>46.772337426974445</v>
      </c>
      <c r="I487" s="357">
        <f t="shared" ca="1" si="216"/>
        <v>55.555452775986105</v>
      </c>
      <c r="J487" s="359">
        <f t="shared" ca="1" si="217"/>
        <v>390.39959543450334</v>
      </c>
      <c r="K487" s="360">
        <f t="shared" ca="1" si="218"/>
        <v>1284.2914393014594</v>
      </c>
      <c r="L487" s="357">
        <f t="shared" ca="1" si="203"/>
        <v>1342.3175277029047</v>
      </c>
      <c r="M487" s="359">
        <f t="shared" ca="1" si="219"/>
        <v>1.0008012488197187</v>
      </c>
      <c r="N487" s="357">
        <f t="shared" ca="1" si="220"/>
        <v>57.341687688792042</v>
      </c>
      <c r="O487" s="343"/>
      <c r="P487" s="363">
        <f t="shared" ca="1" si="221"/>
        <v>23</v>
      </c>
      <c r="Q487" s="357">
        <f t="shared" ca="1" si="222"/>
        <v>0</v>
      </c>
      <c r="R487" s="359">
        <f t="shared" ca="1" si="223"/>
        <v>0</v>
      </c>
      <c r="S487" s="360">
        <f t="shared" ca="1" si="224"/>
        <v>8.3819999999999997</v>
      </c>
      <c r="T487" s="357">
        <f t="shared" ca="1" si="204"/>
        <v>82.227419999999995</v>
      </c>
      <c r="U487" s="364">
        <f t="shared" ca="1" si="205"/>
        <v>0</v>
      </c>
      <c r="V487" s="359">
        <f t="shared" ca="1" si="206"/>
        <v>1.0771673115000422</v>
      </c>
      <c r="W487" s="357">
        <f t="shared" ca="1" si="207"/>
        <v>8.8307262078185573</v>
      </c>
      <c r="X487" s="343"/>
      <c r="Y487" s="367" t="str">
        <f t="shared" ca="1" si="225"/>
        <v/>
      </c>
      <c r="Z487" s="368" t="str">
        <f t="shared" ca="1" si="226"/>
        <v/>
      </c>
      <c r="AA487" s="369" t="str">
        <f t="shared" ca="1" si="227"/>
        <v/>
      </c>
      <c r="AB487" s="344"/>
      <c r="AC487" s="363" t="e">
        <f t="shared" ca="1" si="228"/>
        <v>#N/A</v>
      </c>
      <c r="AD487" s="376" t="e">
        <f t="shared" ca="1" si="229"/>
        <v>#N/A</v>
      </c>
      <c r="AE487" s="377" t="e">
        <f t="shared" ca="1" si="208"/>
        <v>#N/A</v>
      </c>
      <c r="AF487" s="344"/>
      <c r="AG487" s="359">
        <f t="shared" ca="1" si="230"/>
        <v>-9.3983168872922178</v>
      </c>
      <c r="AH487" s="357">
        <f t="shared" ca="1" si="231"/>
        <v>-1.0899044869617049</v>
      </c>
    </row>
    <row r="488" spans="1:34" x14ac:dyDescent="0.2">
      <c r="A488" s="402">
        <f t="shared" ca="1" si="209"/>
        <v>0.1</v>
      </c>
      <c r="B488" s="357">
        <f t="shared" ca="1" si="210"/>
        <v>12.399999999999929</v>
      </c>
      <c r="C488" s="342"/>
      <c r="D488" s="359">
        <f t="shared" ca="1" si="211"/>
        <v>-0.56851661679851528</v>
      </c>
      <c r="E488" s="360">
        <f t="shared" ca="1" si="212"/>
        <v>-10.696974524075317</v>
      </c>
      <c r="F488" s="357">
        <f t="shared" ca="1" si="213"/>
        <v>10.712071466914903</v>
      </c>
      <c r="G488" s="359">
        <f t="shared" ca="1" si="214"/>
        <v>29.922420923926154</v>
      </c>
      <c r="H488" s="360">
        <f t="shared" ca="1" si="215"/>
        <v>45.702639974566914</v>
      </c>
      <c r="I488" s="357">
        <f t="shared" ca="1" si="216"/>
        <v>54.626756947429115</v>
      </c>
      <c r="J488" s="359">
        <f t="shared" ca="1" si="217"/>
        <v>393.39468010997996</v>
      </c>
      <c r="K488" s="360">
        <f t="shared" ca="1" si="218"/>
        <v>1288.9151881715366</v>
      </c>
      <c r="L488" s="357">
        <f t="shared" ca="1" si="203"/>
        <v>1347.6133483451774</v>
      </c>
      <c r="M488" s="359">
        <f t="shared" ca="1" si="219"/>
        <v>0.99111033377571189</v>
      </c>
      <c r="N488" s="357">
        <f t="shared" ca="1" si="220"/>
        <v>56.786439157150618</v>
      </c>
      <c r="O488" s="343"/>
      <c r="P488" s="363">
        <f t="shared" ca="1" si="221"/>
        <v>23</v>
      </c>
      <c r="Q488" s="357">
        <f t="shared" ca="1" si="222"/>
        <v>0</v>
      </c>
      <c r="R488" s="359">
        <f t="shared" ca="1" si="223"/>
        <v>0</v>
      </c>
      <c r="S488" s="360">
        <f t="shared" ca="1" si="224"/>
        <v>8.3819999999999997</v>
      </c>
      <c r="T488" s="357">
        <f t="shared" ca="1" si="204"/>
        <v>82.227419999999995</v>
      </c>
      <c r="U488" s="364">
        <f t="shared" ca="1" si="205"/>
        <v>0</v>
      </c>
      <c r="V488" s="359">
        <f t="shared" ca="1" si="206"/>
        <v>1.0766673027672724</v>
      </c>
      <c r="W488" s="357">
        <f t="shared" ca="1" si="207"/>
        <v>8.5339920179642306</v>
      </c>
      <c r="X488" s="343"/>
      <c r="Y488" s="367" t="str">
        <f t="shared" ca="1" si="225"/>
        <v/>
      </c>
      <c r="Z488" s="368" t="str">
        <f t="shared" ca="1" si="226"/>
        <v/>
      </c>
      <c r="AA488" s="369" t="str">
        <f t="shared" ca="1" si="227"/>
        <v/>
      </c>
      <c r="AB488" s="344"/>
      <c r="AC488" s="363" t="e">
        <f t="shared" ca="1" si="228"/>
        <v>#N/A</v>
      </c>
      <c r="AD488" s="376" t="e">
        <f t="shared" ca="1" si="229"/>
        <v>#N/A</v>
      </c>
      <c r="AE488" s="377" t="e">
        <f t="shared" ca="1" si="208"/>
        <v>#N/A</v>
      </c>
      <c r="AF488" s="344"/>
      <c r="AG488" s="359">
        <f t="shared" ca="1" si="230"/>
        <v>-9.312609125847704</v>
      </c>
      <c r="AH488" s="357">
        <f t="shared" ca="1" si="231"/>
        <v>-1.053534503438148</v>
      </c>
    </row>
    <row r="489" spans="1:34" x14ac:dyDescent="0.2">
      <c r="A489" s="402">
        <f t="shared" ca="1" si="209"/>
        <v>0.1</v>
      </c>
      <c r="B489" s="357">
        <f t="shared" ca="1" si="210"/>
        <v>12.499999999999929</v>
      </c>
      <c r="C489" s="342"/>
      <c r="D489" s="359">
        <f t="shared" ca="1" si="211"/>
        <v>-0.5576938886996301</v>
      </c>
      <c r="E489" s="360">
        <f t="shared" ca="1" si="212"/>
        <v>-10.661805509856823</v>
      </c>
      <c r="F489" s="357">
        <f t="shared" ca="1" si="213"/>
        <v>10.676381372146006</v>
      </c>
      <c r="G489" s="359">
        <f t="shared" ca="1" si="214"/>
        <v>29.866651535056192</v>
      </c>
      <c r="H489" s="360">
        <f t="shared" ca="1" si="215"/>
        <v>44.636459423581229</v>
      </c>
      <c r="I489" s="357">
        <f t="shared" ca="1" si="216"/>
        <v>53.706893261382078</v>
      </c>
      <c r="J489" s="359">
        <f t="shared" ca="1" si="217"/>
        <v>396.38413373292906</v>
      </c>
      <c r="K489" s="360">
        <f t="shared" ca="1" si="218"/>
        <v>1293.4321431414439</v>
      </c>
      <c r="L489" s="357">
        <f t="shared" ca="1" si="203"/>
        <v>1352.8071149970617</v>
      </c>
      <c r="M489" s="359">
        <f t="shared" ca="1" si="219"/>
        <v>0.98110486289478505</v>
      </c>
      <c r="N489" s="357">
        <f t="shared" ca="1" si="220"/>
        <v>56.213167903632467</v>
      </c>
      <c r="O489" s="343"/>
      <c r="P489" s="363">
        <f t="shared" ca="1" si="221"/>
        <v>23</v>
      </c>
      <c r="Q489" s="357">
        <f t="shared" ca="1" si="222"/>
        <v>0</v>
      </c>
      <c r="R489" s="359">
        <f t="shared" ca="1" si="223"/>
        <v>0</v>
      </c>
      <c r="S489" s="360">
        <f t="shared" ca="1" si="224"/>
        <v>8.3819999999999997</v>
      </c>
      <c r="T489" s="357">
        <f t="shared" ca="1" si="204"/>
        <v>82.227419999999995</v>
      </c>
      <c r="U489" s="364">
        <f t="shared" ca="1" si="205"/>
        <v>0</v>
      </c>
      <c r="V489" s="359">
        <f t="shared" ca="1" si="206"/>
        <v>1.0761790523296533</v>
      </c>
      <c r="W489" s="357">
        <f t="shared" ca="1" si="207"/>
        <v>8.2452621365930696</v>
      </c>
      <c r="X489" s="343"/>
      <c r="Y489" s="367" t="str">
        <f t="shared" ca="1" si="225"/>
        <v/>
      </c>
      <c r="Z489" s="368" t="str">
        <f t="shared" ca="1" si="226"/>
        <v/>
      </c>
      <c r="AA489" s="369" t="str">
        <f t="shared" ca="1" si="227"/>
        <v/>
      </c>
      <c r="AB489" s="344"/>
      <c r="AC489" s="363" t="e">
        <f t="shared" ca="1" si="228"/>
        <v>#N/A</v>
      </c>
      <c r="AD489" s="376" t="e">
        <f t="shared" ca="1" si="229"/>
        <v>#N/A</v>
      </c>
      <c r="AE489" s="377" t="e">
        <f t="shared" ca="1" si="208"/>
        <v>#N/A</v>
      </c>
      <c r="AF489" s="344"/>
      <c r="AG489" s="359">
        <f t="shared" ca="1" si="230"/>
        <v>-9.2255194732721453</v>
      </c>
      <c r="AH489" s="357">
        <f t="shared" ca="1" si="231"/>
        <v>-1.0181331445912944</v>
      </c>
    </row>
    <row r="490" spans="1:34" x14ac:dyDescent="0.2">
      <c r="A490" s="402">
        <f t="shared" ca="1" si="209"/>
        <v>0.1</v>
      </c>
      <c r="B490" s="357">
        <f t="shared" ca="1" si="210"/>
        <v>12.599999999999929</v>
      </c>
      <c r="C490" s="342"/>
      <c r="D490" s="359">
        <f t="shared" ca="1" si="211"/>
        <v>-0.54703273413125575</v>
      </c>
      <c r="E490" s="360">
        <f t="shared" ca="1" si="212"/>
        <v>-10.627554134307964</v>
      </c>
      <c r="F490" s="357">
        <f t="shared" ca="1" si="213"/>
        <v>10.641623545768635</v>
      </c>
      <c r="G490" s="359">
        <f t="shared" ca="1" si="214"/>
        <v>29.811948261643067</v>
      </c>
      <c r="H490" s="360">
        <f t="shared" ca="1" si="215"/>
        <v>43.573704010150436</v>
      </c>
      <c r="I490" s="357">
        <f t="shared" ca="1" si="216"/>
        <v>52.796022012260387</v>
      </c>
      <c r="J490" s="359">
        <f t="shared" ca="1" si="217"/>
        <v>399.36806372276402</v>
      </c>
      <c r="K490" s="360">
        <f t="shared" ca="1" si="218"/>
        <v>1297.8426513131305</v>
      </c>
      <c r="L490" s="357">
        <f t="shared" ca="1" si="203"/>
        <v>1357.8992591091453</v>
      </c>
      <c r="M490" s="359">
        <f t="shared" ca="1" si="219"/>
        <v>0.97077172943216328</v>
      </c>
      <c r="N490" s="357">
        <f t="shared" ca="1" si="220"/>
        <v>55.62112296707884</v>
      </c>
      <c r="O490" s="343"/>
      <c r="P490" s="363">
        <f t="shared" ca="1" si="221"/>
        <v>23</v>
      </c>
      <c r="Q490" s="357">
        <f t="shared" ca="1" si="222"/>
        <v>0</v>
      </c>
      <c r="R490" s="359">
        <f t="shared" ca="1" si="223"/>
        <v>0</v>
      </c>
      <c r="S490" s="360">
        <f t="shared" ca="1" si="224"/>
        <v>8.3819999999999997</v>
      </c>
      <c r="T490" s="357">
        <f t="shared" ca="1" si="204"/>
        <v>82.227419999999995</v>
      </c>
      <c r="U490" s="364">
        <f t="shared" ca="1" si="205"/>
        <v>0</v>
      </c>
      <c r="V490" s="359">
        <f t="shared" ca="1" si="206"/>
        <v>1.0757025078654563</v>
      </c>
      <c r="W490" s="357">
        <f t="shared" ca="1" si="207"/>
        <v>7.9644255175775411</v>
      </c>
      <c r="X490" s="343"/>
      <c r="Y490" s="367" t="str">
        <f t="shared" ca="1" si="225"/>
        <v/>
      </c>
      <c r="Z490" s="368" t="str">
        <f t="shared" ca="1" si="226"/>
        <v/>
      </c>
      <c r="AA490" s="369" t="str">
        <f t="shared" ca="1" si="227"/>
        <v/>
      </c>
      <c r="AB490" s="344"/>
      <c r="AC490" s="363" t="e">
        <f t="shared" ca="1" si="228"/>
        <v>#N/A</v>
      </c>
      <c r="AD490" s="376" t="e">
        <f t="shared" ca="1" si="229"/>
        <v>#N/A</v>
      </c>
      <c r="AE490" s="377" t="e">
        <f t="shared" ca="1" si="208"/>
        <v>#N/A</v>
      </c>
      <c r="AF490" s="344"/>
      <c r="AG490" s="359">
        <f t="shared" ca="1" si="230"/>
        <v>-9.1368983595512798</v>
      </c>
      <c r="AH490" s="357">
        <f t="shared" ca="1" si="231"/>
        <v>-0.98368672591184325</v>
      </c>
    </row>
    <row r="491" spans="1:34" x14ac:dyDescent="0.2">
      <c r="A491" s="402">
        <f t="shared" ca="1" si="209"/>
        <v>0.1</v>
      </c>
      <c r="B491" s="357">
        <f t="shared" ca="1" si="210"/>
        <v>12.699999999999928</v>
      </c>
      <c r="C491" s="342"/>
      <c r="D491" s="359">
        <f t="shared" ca="1" si="211"/>
        <v>-0.53653240378079847</v>
      </c>
      <c r="E491" s="360">
        <f t="shared" ca="1" si="212"/>
        <v>-10.594205847568801</v>
      </c>
      <c r="F491" s="357">
        <f t="shared" ca="1" si="213"/>
        <v>10.607783206729284</v>
      </c>
      <c r="G491" s="359">
        <f t="shared" ca="1" si="214"/>
        <v>29.758295021264988</v>
      </c>
      <c r="H491" s="360">
        <f t="shared" ca="1" si="215"/>
        <v>42.514283425393558</v>
      </c>
      <c r="I491" s="357">
        <f t="shared" ca="1" si="216"/>
        <v>51.894319705988416</v>
      </c>
      <c r="J491" s="359">
        <f t="shared" ca="1" si="217"/>
        <v>402.34657588690942</v>
      </c>
      <c r="K491" s="360">
        <f t="shared" ca="1" si="218"/>
        <v>1302.1470506849078</v>
      </c>
      <c r="L491" s="357">
        <f t="shared" ca="1" si="203"/>
        <v>1362.8902042113755</v>
      </c>
      <c r="M491" s="359">
        <f t="shared" ca="1" si="219"/>
        <v>0.96009725283258129</v>
      </c>
      <c r="N491" s="357">
        <f t="shared" ca="1" si="220"/>
        <v>55.00952050941163</v>
      </c>
      <c r="O491" s="343"/>
      <c r="P491" s="363">
        <f t="shared" ca="1" si="221"/>
        <v>23</v>
      </c>
      <c r="Q491" s="357">
        <f t="shared" ca="1" si="222"/>
        <v>0</v>
      </c>
      <c r="R491" s="359">
        <f t="shared" ca="1" si="223"/>
        <v>0</v>
      </c>
      <c r="S491" s="360">
        <f t="shared" ca="1" si="224"/>
        <v>8.3819999999999997</v>
      </c>
      <c r="T491" s="357">
        <f t="shared" ca="1" si="204"/>
        <v>82.227419999999995</v>
      </c>
      <c r="U491" s="364">
        <f t="shared" ca="1" si="205"/>
        <v>0</v>
      </c>
      <c r="V491" s="359">
        <f t="shared" ca="1" si="206"/>
        <v>1.0752376184622456</v>
      </c>
      <c r="W491" s="357">
        <f t="shared" ca="1" si="207"/>
        <v>7.6913746743220921</v>
      </c>
      <c r="X491" s="343"/>
      <c r="Y491" s="367" t="str">
        <f t="shared" ca="1" si="225"/>
        <v/>
      </c>
      <c r="Z491" s="368" t="str">
        <f t="shared" ca="1" si="226"/>
        <v/>
      </c>
      <c r="AA491" s="369" t="str">
        <f t="shared" ca="1" si="227"/>
        <v/>
      </c>
      <c r="AB491" s="344"/>
      <c r="AC491" s="363" t="e">
        <f t="shared" ca="1" si="228"/>
        <v>#N/A</v>
      </c>
      <c r="AD491" s="376" t="e">
        <f t="shared" ca="1" si="229"/>
        <v>#N/A</v>
      </c>
      <c r="AE491" s="377" t="e">
        <f t="shared" ca="1" si="208"/>
        <v>#N/A</v>
      </c>
      <c r="AF491" s="344"/>
      <c r="AG491" s="359">
        <f t="shared" ca="1" si="230"/>
        <v>-9.0465881307470717</v>
      </c>
      <c r="AH491" s="357">
        <f t="shared" ca="1" si="231"/>
        <v>-0.95018199923377966</v>
      </c>
    </row>
    <row r="492" spans="1:34" x14ac:dyDescent="0.2">
      <c r="A492" s="402">
        <f t="shared" ca="1" si="209"/>
        <v>0.1</v>
      </c>
      <c r="B492" s="357">
        <f t="shared" ca="1" si="210"/>
        <v>12.799999999999928</v>
      </c>
      <c r="C492" s="342"/>
      <c r="D492" s="359">
        <f t="shared" ca="1" si="211"/>
        <v>-0.52619235426040034</v>
      </c>
      <c r="E492" s="360">
        <f t="shared" ca="1" si="212"/>
        <v>-10.561746391025288</v>
      </c>
      <c r="F492" s="357">
        <f t="shared" ca="1" si="213"/>
        <v>10.574845872258271</v>
      </c>
      <c r="G492" s="359">
        <f t="shared" ca="1" si="214"/>
        <v>29.705675785838949</v>
      </c>
      <c r="H492" s="360">
        <f t="shared" ca="1" si="215"/>
        <v>41.458108786291028</v>
      </c>
      <c r="I492" s="357">
        <f t="shared" ca="1" si="216"/>
        <v>51.001979942246557</v>
      </c>
      <c r="J492" s="359">
        <f t="shared" ca="1" si="217"/>
        <v>405.31977442726463</v>
      </c>
      <c r="K492" s="360">
        <f t="shared" ca="1" si="218"/>
        <v>1306.345670295492</v>
      </c>
      <c r="L492" s="357">
        <f t="shared" ca="1" si="203"/>
        <v>1367.7803660827813</v>
      </c>
      <c r="M492" s="359">
        <f t="shared" ca="1" si="219"/>
        <v>0.94906716426966098</v>
      </c>
      <c r="N492" s="357">
        <f t="shared" ca="1" si="220"/>
        <v>54.377542987100774</v>
      </c>
      <c r="O492" s="343"/>
      <c r="P492" s="363">
        <f t="shared" ca="1" si="221"/>
        <v>23</v>
      </c>
      <c r="Q492" s="357">
        <f t="shared" ca="1" si="222"/>
        <v>0</v>
      </c>
      <c r="R492" s="359">
        <f t="shared" ca="1" si="223"/>
        <v>0</v>
      </c>
      <c r="S492" s="360">
        <f t="shared" ca="1" si="224"/>
        <v>8.3819999999999997</v>
      </c>
      <c r="T492" s="357">
        <f t="shared" ca="1" si="204"/>
        <v>82.227419999999995</v>
      </c>
      <c r="U492" s="364">
        <f t="shared" ca="1" si="205"/>
        <v>0</v>
      </c>
      <c r="V492" s="359">
        <f t="shared" ca="1" si="206"/>
        <v>1.0747843345944565</v>
      </c>
      <c r="W492" s="357">
        <f t="shared" ca="1" si="207"/>
        <v>7.4260055853328568</v>
      </c>
      <c r="X492" s="343"/>
      <c r="Y492" s="367" t="str">
        <f t="shared" ca="1" si="225"/>
        <v/>
      </c>
      <c r="Z492" s="368" t="str">
        <f t="shared" ca="1" si="226"/>
        <v/>
      </c>
      <c r="AA492" s="369" t="str">
        <f t="shared" ca="1" si="227"/>
        <v/>
      </c>
      <c r="AB492" s="344"/>
      <c r="AC492" s="363" t="e">
        <f t="shared" ca="1" si="228"/>
        <v>#N/A</v>
      </c>
      <c r="AD492" s="376" t="e">
        <f t="shared" ca="1" si="229"/>
        <v>#N/A</v>
      </c>
      <c r="AE492" s="377" t="e">
        <f t="shared" ca="1" si="208"/>
        <v>#N/A</v>
      </c>
      <c r="AF492" s="344"/>
      <c r="AG492" s="359">
        <f t="shared" ca="1" si="230"/>
        <v>-8.9544225549905185</v>
      </c>
      <c r="AH492" s="357">
        <f t="shared" ca="1" si="231"/>
        <v>-0.91760614105489058</v>
      </c>
    </row>
    <row r="493" spans="1:34" x14ac:dyDescent="0.2">
      <c r="A493" s="402">
        <f t="shared" ca="1" si="209"/>
        <v>0.1</v>
      </c>
      <c r="B493" s="357">
        <f t="shared" ca="1" si="210"/>
        <v>12.899999999999928</v>
      </c>
      <c r="C493" s="342"/>
      <c r="D493" s="359">
        <f t="shared" ca="1" si="211"/>
        <v>-0.51601225461278166</v>
      </c>
      <c r="E493" s="360">
        <f t="shared" ca="1" si="212"/>
        <v>-10.530161774504867</v>
      </c>
      <c r="F493" s="357">
        <f t="shared" ca="1" si="213"/>
        <v>10.542797334870572</v>
      </c>
      <c r="G493" s="359">
        <f t="shared" ca="1" si="214"/>
        <v>29.654074560377669</v>
      </c>
      <c r="H493" s="360">
        <f t="shared" ca="1" si="215"/>
        <v>40.40509260884054</v>
      </c>
      <c r="I493" s="357">
        <f t="shared" ca="1" si="216"/>
        <v>50.119214347008857</v>
      </c>
      <c r="J493" s="359">
        <f t="shared" ca="1" si="217"/>
        <v>408.28776194457544</v>
      </c>
      <c r="K493" s="360">
        <f t="shared" ca="1" si="218"/>
        <v>1310.4388303652486</v>
      </c>
      <c r="L493" s="357">
        <f t="shared" ca="1" si="203"/>
        <v>1372.5701529185133</v>
      </c>
      <c r="M493" s="359">
        <f t="shared" ca="1" si="219"/>
        <v>0.93766659438034561</v>
      </c>
      <c r="N493" s="357">
        <f t="shared" ca="1" si="220"/>
        <v>53.724338448399081</v>
      </c>
      <c r="O493" s="343"/>
      <c r="P493" s="363">
        <f t="shared" ca="1" si="221"/>
        <v>23</v>
      </c>
      <c r="Q493" s="357">
        <f t="shared" ca="1" si="222"/>
        <v>0</v>
      </c>
      <c r="R493" s="359">
        <f t="shared" ca="1" si="223"/>
        <v>0</v>
      </c>
      <c r="S493" s="360">
        <f t="shared" ca="1" si="224"/>
        <v>8.3819999999999997</v>
      </c>
      <c r="T493" s="357">
        <f t="shared" ca="1" si="204"/>
        <v>82.227419999999995</v>
      </c>
      <c r="U493" s="364">
        <f t="shared" ca="1" si="205"/>
        <v>0</v>
      </c>
      <c r="V493" s="359">
        <f t="shared" ca="1" si="206"/>
        <v>1.074342608101523</v>
      </c>
      <c r="W493" s="357">
        <f t="shared" ca="1" si="207"/>
        <v>7.1682176030894862</v>
      </c>
      <c r="X493" s="343"/>
      <c r="Y493" s="367" t="str">
        <f t="shared" ca="1" si="225"/>
        <v/>
      </c>
      <c r="Z493" s="368" t="str">
        <f t="shared" ca="1" si="226"/>
        <v/>
      </c>
      <c r="AA493" s="369" t="str">
        <f t="shared" ca="1" si="227"/>
        <v/>
      </c>
      <c r="AB493" s="344"/>
      <c r="AC493" s="363" t="e">
        <f t="shared" ca="1" si="228"/>
        <v>#N/A</v>
      </c>
      <c r="AD493" s="376" t="e">
        <f t="shared" ca="1" si="229"/>
        <v>#N/A</v>
      </c>
      <c r="AE493" s="377" t="e">
        <f t="shared" ca="1" si="208"/>
        <v>#N/A</v>
      </c>
      <c r="AF493" s="344"/>
      <c r="AG493" s="359">
        <f t="shared" ca="1" si="230"/>
        <v>-8.8602263212805035</v>
      </c>
      <c r="AH493" s="357">
        <f t="shared" ca="1" si="231"/>
        <v>-0.88594674127092066</v>
      </c>
    </row>
    <row r="494" spans="1:34" x14ac:dyDescent="0.2">
      <c r="A494" s="402">
        <f t="shared" ca="1" si="209"/>
        <v>0.1</v>
      </c>
      <c r="B494" s="357">
        <f t="shared" ca="1" si="210"/>
        <v>12.999999999999927</v>
      </c>
      <c r="C494" s="342"/>
      <c r="D494" s="359">
        <f t="shared" ca="1" si="211"/>
        <v>-0.5059919933463598</v>
      </c>
      <c r="E494" s="360">
        <f t="shared" ca="1" si="212"/>
        <v>-10.499438252705032</v>
      </c>
      <c r="F494" s="357">
        <f t="shared" ca="1" si="213"/>
        <v>10.511623638605803</v>
      </c>
      <c r="G494" s="359">
        <f t="shared" ca="1" si="214"/>
        <v>29.603475361043031</v>
      </c>
      <c r="H494" s="360">
        <f t="shared" ca="1" si="215"/>
        <v>39.355148783570037</v>
      </c>
      <c r="I494" s="357">
        <f t="shared" ca="1" si="216"/>
        <v>49.246253555258555</v>
      </c>
      <c r="J494" s="359">
        <f t="shared" ca="1" si="217"/>
        <v>411.25063944064647</v>
      </c>
      <c r="K494" s="360">
        <f t="shared" ca="1" si="218"/>
        <v>1314.4268424348691</v>
      </c>
      <c r="L494" s="357">
        <f t="shared" ca="1" si="203"/>
        <v>1377.2599654944017</v>
      </c>
      <c r="M494" s="359">
        <f t="shared" ca="1" si="219"/>
        <v>0.92588006381378229</v>
      </c>
      <c r="N494" s="357">
        <f t="shared" ca="1" si="220"/>
        <v>53.049019991833063</v>
      </c>
      <c r="O494" s="343"/>
      <c r="P494" s="363">
        <f t="shared" ca="1" si="221"/>
        <v>23</v>
      </c>
      <c r="Q494" s="357">
        <f t="shared" ca="1" si="222"/>
        <v>0</v>
      </c>
      <c r="R494" s="359">
        <f t="shared" ca="1" si="223"/>
        <v>0</v>
      </c>
      <c r="S494" s="360">
        <f t="shared" ca="1" si="224"/>
        <v>8.3819999999999997</v>
      </c>
      <c r="T494" s="357">
        <f t="shared" ca="1" si="204"/>
        <v>82.227419999999995</v>
      </c>
      <c r="U494" s="364">
        <f t="shared" ca="1" si="205"/>
        <v>0</v>
      </c>
      <c r="V494" s="359">
        <f t="shared" ca="1" si="206"/>
        <v>1.073912392166509</v>
      </c>
      <c r="W494" s="357">
        <f t="shared" ca="1" si="207"/>
        <v>6.9179133660578778</v>
      </c>
      <c r="X494" s="343"/>
      <c r="Y494" s="367" t="str">
        <f t="shared" ca="1" si="225"/>
        <v/>
      </c>
      <c r="Z494" s="368" t="str">
        <f t="shared" ca="1" si="226"/>
        <v/>
      </c>
      <c r="AA494" s="369" t="str">
        <f t="shared" ca="1" si="227"/>
        <v/>
      </c>
      <c r="AB494" s="344"/>
      <c r="AC494" s="363">
        <f t="shared" ca="1" si="228"/>
        <v>12.999999999999927</v>
      </c>
      <c r="AD494" s="376">
        <f t="shared" ca="1" si="229"/>
        <v>411.25063944064647</v>
      </c>
      <c r="AE494" s="377" t="e">
        <f t="shared" ca="1" si="208"/>
        <v>#N/A</v>
      </c>
      <c r="AF494" s="344"/>
      <c r="AG494" s="359">
        <f t="shared" ca="1" si="230"/>
        <v>-8.7638145362350546</v>
      </c>
      <c r="AH494" s="357">
        <f t="shared" ca="1" si="231"/>
        <v>-0.85519179230368481</v>
      </c>
    </row>
    <row r="495" spans="1:34" x14ac:dyDescent="0.2">
      <c r="A495" s="402">
        <f t="shared" ca="1" si="209"/>
        <v>0.1</v>
      </c>
      <c r="B495" s="357">
        <f t="shared" ca="1" si="210"/>
        <v>13.099999999999927</v>
      </c>
      <c r="C495" s="342"/>
      <c r="D495" s="359">
        <f t="shared" ca="1" si="211"/>
        <v>-0.49613168599460172</v>
      </c>
      <c r="E495" s="360">
        <f t="shared" ca="1" si="212"/>
        <v>-10.469562300724176</v>
      </c>
      <c r="F495" s="357">
        <f t="shared" ca="1" si="213"/>
        <v>10.481311054376391</v>
      </c>
      <c r="G495" s="359">
        <f t="shared" ca="1" si="214"/>
        <v>29.553862192443571</v>
      </c>
      <c r="H495" s="360">
        <f t="shared" ca="1" si="215"/>
        <v>38.308192553497619</v>
      </c>
      <c r="I495" s="357">
        <f t="shared" ca="1" si="216"/>
        <v>48.383348243024642</v>
      </c>
      <c r="J495" s="359">
        <f t="shared" ca="1" si="217"/>
        <v>414.20850631832081</v>
      </c>
      <c r="K495" s="360">
        <f t="shared" ca="1" si="218"/>
        <v>1318.3100095017223</v>
      </c>
      <c r="L495" s="357">
        <f t="shared" ca="1" si="203"/>
        <v>1381.8501973292493</v>
      </c>
      <c r="M495" s="359">
        <f t="shared" ca="1" si="219"/>
        <v>0.91369147732065348</v>
      </c>
      <c r="N495" s="357">
        <f t="shared" ca="1" si="220"/>
        <v>52.350665427546616</v>
      </c>
      <c r="O495" s="343"/>
      <c r="P495" s="363">
        <f t="shared" ca="1" si="221"/>
        <v>23</v>
      </c>
      <c r="Q495" s="357">
        <f t="shared" ca="1" si="222"/>
        <v>0</v>
      </c>
      <c r="R495" s="359">
        <f t="shared" ca="1" si="223"/>
        <v>0</v>
      </c>
      <c r="S495" s="360">
        <f t="shared" ca="1" si="224"/>
        <v>8.3819999999999997</v>
      </c>
      <c r="T495" s="357">
        <f t="shared" ca="1" si="204"/>
        <v>82.227419999999995</v>
      </c>
      <c r="U495" s="364">
        <f t="shared" ca="1" si="205"/>
        <v>0</v>
      </c>
      <c r="V495" s="359">
        <f t="shared" ca="1" si="206"/>
        <v>1.0734936412952225</v>
      </c>
      <c r="W495" s="357">
        <f t="shared" ca="1" si="207"/>
        <v>6.6749987136862119</v>
      </c>
      <c r="X495" s="343"/>
      <c r="Y495" s="367" t="str">
        <f t="shared" ca="1" si="225"/>
        <v/>
      </c>
      <c r="Z495" s="368" t="str">
        <f t="shared" ca="1" si="226"/>
        <v/>
      </c>
      <c r="AA495" s="369" t="str">
        <f t="shared" ca="1" si="227"/>
        <v/>
      </c>
      <c r="AB495" s="344"/>
      <c r="AC495" s="363" t="e">
        <f t="shared" ca="1" si="228"/>
        <v>#N/A</v>
      </c>
      <c r="AD495" s="376" t="e">
        <f t="shared" ca="1" si="229"/>
        <v>#N/A</v>
      </c>
      <c r="AE495" s="377" t="e">
        <f t="shared" ca="1" si="208"/>
        <v>#N/A</v>
      </c>
      <c r="AF495" s="344"/>
      <c r="AG495" s="359">
        <f t="shared" ca="1" si="230"/>
        <v>-8.6649922253926341</v>
      </c>
      <c r="AH495" s="357">
        <f t="shared" ca="1" si="231"/>
        <v>-0.82532967860389861</v>
      </c>
    </row>
    <row r="496" spans="1:34" x14ac:dyDescent="0.2">
      <c r="A496" s="402">
        <f t="shared" ca="1" si="209"/>
        <v>0.1</v>
      </c>
      <c r="B496" s="357">
        <f t="shared" ca="1" si="210"/>
        <v>13.199999999999926</v>
      </c>
      <c r="C496" s="342"/>
      <c r="D496" s="359">
        <f t="shared" ca="1" si="211"/>
        <v>-0.48643168318750513</v>
      </c>
      <c r="E496" s="360">
        <f t="shared" ca="1" si="212"/>
        <v>-10.440520588555543</v>
      </c>
      <c r="F496" s="357">
        <f t="shared" ca="1" si="213"/>
        <v>10.451846054284422</v>
      </c>
      <c r="G496" s="359">
        <f t="shared" ca="1" si="214"/>
        <v>29.50521902412482</v>
      </c>
      <c r="H496" s="360">
        <f t="shared" ca="1" si="215"/>
        <v>37.264140494642064</v>
      </c>
      <c r="I496" s="357">
        <f t="shared" ca="1" si="216"/>
        <v>47.530770206951196</v>
      </c>
      <c r="J496" s="359">
        <f t="shared" ca="1" si="217"/>
        <v>417.16146037914922</v>
      </c>
      <c r="K496" s="360">
        <f t="shared" ca="1" si="218"/>
        <v>1322.0886261541293</v>
      </c>
      <c r="L496" s="357">
        <f t="shared" ca="1" si="203"/>
        <v>1386.3412348450788</v>
      </c>
      <c r="M496" s="359">
        <f t="shared" ca="1" si="219"/>
        <v>0.90108412222919665</v>
      </c>
      <c r="N496" s="357">
        <f t="shared" ca="1" si="220"/>
        <v>51.62831718998337</v>
      </c>
      <c r="O496" s="343"/>
      <c r="P496" s="363">
        <f t="shared" ca="1" si="221"/>
        <v>23</v>
      </c>
      <c r="Q496" s="357">
        <f t="shared" ca="1" si="222"/>
        <v>0</v>
      </c>
      <c r="R496" s="359">
        <f t="shared" ca="1" si="223"/>
        <v>0</v>
      </c>
      <c r="S496" s="360">
        <f t="shared" ca="1" si="224"/>
        <v>8.3819999999999997</v>
      </c>
      <c r="T496" s="357">
        <f t="shared" ca="1" si="204"/>
        <v>82.227419999999995</v>
      </c>
      <c r="U496" s="364">
        <f t="shared" ca="1" si="205"/>
        <v>0</v>
      </c>
      <c r="V496" s="359">
        <f t="shared" ca="1" si="206"/>
        <v>1.0730863112957683</v>
      </c>
      <c r="W496" s="357">
        <f t="shared" ca="1" si="207"/>
        <v>6.4393826042294737</v>
      </c>
      <c r="X496" s="343"/>
      <c r="Y496" s="367" t="str">
        <f t="shared" ca="1" si="225"/>
        <v/>
      </c>
      <c r="Z496" s="368" t="str">
        <f t="shared" ca="1" si="226"/>
        <v/>
      </c>
      <c r="AA496" s="369" t="str">
        <f t="shared" ca="1" si="227"/>
        <v/>
      </c>
      <c r="AB496" s="344"/>
      <c r="AC496" s="363" t="e">
        <f t="shared" ca="1" si="228"/>
        <v>#N/A</v>
      </c>
      <c r="AD496" s="376" t="e">
        <f t="shared" ca="1" si="229"/>
        <v>#N/A</v>
      </c>
      <c r="AE496" s="377" t="e">
        <f t="shared" ca="1" si="208"/>
        <v>#N/A</v>
      </c>
      <c r="AF496" s="344"/>
      <c r="AG496" s="359">
        <f t="shared" ca="1" si="230"/>
        <v>-8.5635538473887589</v>
      </c>
      <c r="AH496" s="357">
        <f t="shared" ca="1" si="231"/>
        <v>-0.79634916650992749</v>
      </c>
    </row>
    <row r="497" spans="1:34" x14ac:dyDescent="0.2">
      <c r="A497" s="402">
        <f t="shared" ca="1" si="209"/>
        <v>0.1</v>
      </c>
      <c r="B497" s="357">
        <f t="shared" ca="1" si="210"/>
        <v>13.299999999999926</v>
      </c>
      <c r="C497" s="342"/>
      <c r="D497" s="359">
        <f t="shared" ca="1" si="211"/>
        <v>-0.47689257921420752</v>
      </c>
      <c r="E497" s="360">
        <f t="shared" ca="1" si="212"/>
        <v>-10.412299954396545</v>
      </c>
      <c r="F497" s="357">
        <f t="shared" ca="1" si="213"/>
        <v>10.423215284759106</v>
      </c>
      <c r="G497" s="359">
        <f t="shared" ca="1" si="214"/>
        <v>29.4575297662034</v>
      </c>
      <c r="H497" s="360">
        <f t="shared" ca="1" si="215"/>
        <v>36.222910499202406</v>
      </c>
      <c r="I497" s="357">
        <f t="shared" ca="1" si="216"/>
        <v>46.688813488457669</v>
      </c>
      <c r="J497" s="359">
        <f t="shared" ca="1" si="217"/>
        <v>420.10959781866563</v>
      </c>
      <c r="K497" s="360">
        <f t="shared" ca="1" si="218"/>
        <v>1325.7629787038215</v>
      </c>
      <c r="L497" s="357">
        <f t="shared" ca="1" si="203"/>
        <v>1390.7334575255572</v>
      </c>
      <c r="M497" s="359">
        <f t="shared" ca="1" si="219"/>
        <v>0.88804067228867012</v>
      </c>
      <c r="N497" s="357">
        <f t="shared" ca="1" si="220"/>
        <v>50.880982558101039</v>
      </c>
      <c r="O497" s="343"/>
      <c r="P497" s="363">
        <f t="shared" ca="1" si="221"/>
        <v>23</v>
      </c>
      <c r="Q497" s="357">
        <f t="shared" ca="1" si="222"/>
        <v>0</v>
      </c>
      <c r="R497" s="359">
        <f t="shared" ca="1" si="223"/>
        <v>0</v>
      </c>
      <c r="S497" s="360">
        <f t="shared" ca="1" si="224"/>
        <v>8.3819999999999997</v>
      </c>
      <c r="T497" s="357">
        <f t="shared" ca="1" si="204"/>
        <v>82.227419999999995</v>
      </c>
      <c r="U497" s="364">
        <f t="shared" ca="1" si="205"/>
        <v>0</v>
      </c>
      <c r="V497" s="359">
        <f t="shared" ca="1" si="206"/>
        <v>1.0726903592585189</v>
      </c>
      <c r="W497" s="357">
        <f t="shared" ca="1" si="207"/>
        <v>6.2109770352501625</v>
      </c>
      <c r="X497" s="343"/>
      <c r="Y497" s="367" t="str">
        <f t="shared" ca="1" si="225"/>
        <v/>
      </c>
      <c r="Z497" s="368" t="str">
        <f t="shared" ca="1" si="226"/>
        <v/>
      </c>
      <c r="AA497" s="369" t="str">
        <f t="shared" ca="1" si="227"/>
        <v/>
      </c>
      <c r="AB497" s="344"/>
      <c r="AC497" s="363" t="e">
        <f t="shared" ca="1" si="228"/>
        <v>#N/A</v>
      </c>
      <c r="AD497" s="376" t="e">
        <f t="shared" ca="1" si="229"/>
        <v>#N/A</v>
      </c>
      <c r="AE497" s="377" t="e">
        <f t="shared" ca="1" si="208"/>
        <v>#N/A</v>
      </c>
      <c r="AF497" s="344"/>
      <c r="AG497" s="359">
        <f t="shared" ca="1" si="230"/>
        <v>-8.4592828313747983</v>
      </c>
      <c r="AH497" s="357">
        <f t="shared" ca="1" si="231"/>
        <v>-0.76823939444398404</v>
      </c>
    </row>
    <row r="498" spans="1:34" x14ac:dyDescent="0.2">
      <c r="A498" s="402">
        <f t="shared" ca="1" si="209"/>
        <v>0.1</v>
      </c>
      <c r="B498" s="357">
        <f t="shared" ca="1" si="210"/>
        <v>13.399999999999926</v>
      </c>
      <c r="C498" s="342"/>
      <c r="D498" s="359">
        <f t="shared" ca="1" si="211"/>
        <v>-0.46751522104475413</v>
      </c>
      <c r="E498" s="360">
        <f t="shared" ca="1" si="212"/>
        <v>-10.384887376617309</v>
      </c>
      <c r="F498" s="357">
        <f t="shared" ca="1" si="213"/>
        <v>10.395405538358474</v>
      </c>
      <c r="G498" s="359">
        <f t="shared" ca="1" si="214"/>
        <v>29.410778244098925</v>
      </c>
      <c r="H498" s="360">
        <f t="shared" ca="1" si="215"/>
        <v>35.184421761540676</v>
      </c>
      <c r="I498" s="357">
        <f t="shared" ca="1" si="216"/>
        <v>45.857795538136585</v>
      </c>
      <c r="J498" s="359">
        <f t="shared" ca="1" si="217"/>
        <v>423.05301321918074</v>
      </c>
      <c r="K498" s="360">
        <f t="shared" ca="1" si="218"/>
        <v>1329.3333453168586</v>
      </c>
      <c r="L498" s="357">
        <f t="shared" ca="1" si="203"/>
        <v>1395.0272380728409</v>
      </c>
      <c r="M498" s="359">
        <f t="shared" ca="1" si="219"/>
        <v>0.87454319801018243</v>
      </c>
      <c r="N498" s="357">
        <f t="shared" ca="1" si="220"/>
        <v>50.107634247857305</v>
      </c>
      <c r="O498" s="343"/>
      <c r="P498" s="363">
        <f t="shared" ca="1" si="221"/>
        <v>23</v>
      </c>
      <c r="Q498" s="357">
        <f t="shared" ca="1" si="222"/>
        <v>0</v>
      </c>
      <c r="R498" s="359">
        <f t="shared" ca="1" si="223"/>
        <v>0</v>
      </c>
      <c r="S498" s="360">
        <f t="shared" ca="1" si="224"/>
        <v>8.3819999999999997</v>
      </c>
      <c r="T498" s="357">
        <f t="shared" ca="1" si="204"/>
        <v>82.227419999999995</v>
      </c>
      <c r="U498" s="364">
        <f t="shared" ca="1" si="205"/>
        <v>0</v>
      </c>
      <c r="V498" s="359">
        <f t="shared" ca="1" si="206"/>
        <v>1.0723057435364527</v>
      </c>
      <c r="W498" s="357">
        <f t="shared" ca="1" si="207"/>
        <v>5.9896969666443649</v>
      </c>
      <c r="X498" s="343"/>
      <c r="Y498" s="367" t="str">
        <f t="shared" ca="1" si="225"/>
        <v/>
      </c>
      <c r="Z498" s="368" t="str">
        <f t="shared" ca="1" si="226"/>
        <v/>
      </c>
      <c r="AA498" s="369" t="str">
        <f t="shared" ca="1" si="227"/>
        <v/>
      </c>
      <c r="AB498" s="344"/>
      <c r="AC498" s="363" t="e">
        <f t="shared" ca="1" si="228"/>
        <v>#N/A</v>
      </c>
      <c r="AD498" s="376" t="e">
        <f t="shared" ca="1" si="229"/>
        <v>#N/A</v>
      </c>
      <c r="AE498" s="377" t="e">
        <f t="shared" ca="1" si="208"/>
        <v>#N/A</v>
      </c>
      <c r="AF498" s="344"/>
      <c r="AG498" s="359">
        <f t="shared" ca="1" si="230"/>
        <v>-8.3519511504396142</v>
      </c>
      <c r="AH498" s="357">
        <f t="shared" ca="1" si="231"/>
        <v>-0.74098986342760231</v>
      </c>
    </row>
    <row r="499" spans="1:34" x14ac:dyDescent="0.2">
      <c r="A499" s="402">
        <f t="shared" ca="1" si="209"/>
        <v>0.1</v>
      </c>
      <c r="B499" s="357">
        <f t="shared" ca="1" si="210"/>
        <v>13.499999999999925</v>
      </c>
      <c r="C499" s="342"/>
      <c r="D499" s="359">
        <f t="shared" ca="1" si="211"/>
        <v>-0.4583007177655869</v>
      </c>
      <c r="E499" s="360">
        <f t="shared" ca="1" si="212"/>
        <v>-10.35826994422416</v>
      </c>
      <c r="F499" s="357">
        <f t="shared" ca="1" si="213"/>
        <v>10.368403724070646</v>
      </c>
      <c r="G499" s="359">
        <f t="shared" ca="1" si="214"/>
        <v>29.364948172322364</v>
      </c>
      <c r="H499" s="360">
        <f t="shared" ca="1" si="215"/>
        <v>34.148594767118261</v>
      </c>
      <c r="I499" s="357">
        <f t="shared" ca="1" si="216"/>
        <v>45.038058414323714</v>
      </c>
      <c r="J499" s="359">
        <f t="shared" ca="1" si="217"/>
        <v>425.99179954000181</v>
      </c>
      <c r="K499" s="360">
        <f t="shared" ca="1" si="218"/>
        <v>1332.7999961432915</v>
      </c>
      <c r="L499" s="357">
        <f t="shared" ca="1" si="203"/>
        <v>1399.222942563081</v>
      </c>
      <c r="M499" s="359">
        <f t="shared" ca="1" si="219"/>
        <v>0.86057318479840184</v>
      </c>
      <c r="N499" s="357">
        <f t="shared" ca="1" si="220"/>
        <v>49.307211451080278</v>
      </c>
      <c r="O499" s="343"/>
      <c r="P499" s="363">
        <f t="shared" ca="1" si="221"/>
        <v>23</v>
      </c>
      <c r="Q499" s="357">
        <f t="shared" ca="1" si="222"/>
        <v>0</v>
      </c>
      <c r="R499" s="359">
        <f t="shared" ca="1" si="223"/>
        <v>0</v>
      </c>
      <c r="S499" s="360">
        <f t="shared" ca="1" si="224"/>
        <v>8.3819999999999997</v>
      </c>
      <c r="T499" s="357">
        <f t="shared" ca="1" si="204"/>
        <v>82.227419999999995</v>
      </c>
      <c r="U499" s="364">
        <f t="shared" ca="1" si="205"/>
        <v>0</v>
      </c>
      <c r="V499" s="359">
        <f t="shared" ca="1" si="206"/>
        <v>1.0719324237258403</v>
      </c>
      <c r="W499" s="357">
        <f t="shared" ca="1" si="207"/>
        <v>5.7754602460438047</v>
      </c>
      <c r="X499" s="343"/>
      <c r="Y499" s="367" t="str">
        <f t="shared" ca="1" si="225"/>
        <v/>
      </c>
      <c r="Z499" s="368" t="str">
        <f t="shared" ca="1" si="226"/>
        <v/>
      </c>
      <c r="AA499" s="369" t="str">
        <f t="shared" ca="1" si="227"/>
        <v/>
      </c>
      <c r="AB499" s="344"/>
      <c r="AC499" s="363" t="e">
        <f t="shared" ca="1" si="228"/>
        <v>#N/A</v>
      </c>
      <c r="AD499" s="376" t="e">
        <f t="shared" ca="1" si="229"/>
        <v>#N/A</v>
      </c>
      <c r="AE499" s="377" t="e">
        <f t="shared" ca="1" si="208"/>
        <v>#N/A</v>
      </c>
      <c r="AF499" s="344"/>
      <c r="AG499" s="359">
        <f t="shared" ca="1" si="230"/>
        <v>-8.2413189465789412</v>
      </c>
      <c r="AH499" s="357">
        <f t="shared" ca="1" si="231"/>
        <v>-0.71459042789839722</v>
      </c>
    </row>
    <row r="500" spans="1:34" x14ac:dyDescent="0.2">
      <c r="A500" s="402">
        <f t="shared" ca="1" si="209"/>
        <v>0.1</v>
      </c>
      <c r="B500" s="357">
        <f t="shared" ca="1" si="210"/>
        <v>13.599999999999925</v>
      </c>
      <c r="C500" s="342"/>
      <c r="D500" s="359">
        <f t="shared" ca="1" si="211"/>
        <v>-0.44925045036705347</v>
      </c>
      <c r="E500" s="360">
        <f t="shared" ca="1" si="212"/>
        <v>-10.332434825646642</v>
      </c>
      <c r="F500" s="357">
        <f t="shared" ca="1" si="213"/>
        <v>10.342196835943055</v>
      </c>
      <c r="G500" s="359">
        <f t="shared" ca="1" si="214"/>
        <v>29.320023127285658</v>
      </c>
      <c r="H500" s="360">
        <f t="shared" ca="1" si="215"/>
        <v>33.115351284553597</v>
      </c>
      <c r="I500" s="357">
        <f t="shared" ca="1" si="216"/>
        <v>44.22997000772159</v>
      </c>
      <c r="J500" s="359">
        <f t="shared" ca="1" si="217"/>
        <v>428.92604810498221</v>
      </c>
      <c r="K500" s="360">
        <f t="shared" ca="1" si="218"/>
        <v>1336.1631934458751</v>
      </c>
      <c r="L500" s="357">
        <f t="shared" ca="1" si="203"/>
        <v>1403.3209306008503</v>
      </c>
      <c r="M500" s="359">
        <f t="shared" ca="1" si="219"/>
        <v>0.84611156034480295</v>
      </c>
      <c r="N500" s="357">
        <f t="shared" ca="1" si="220"/>
        <v>48.47862140498588</v>
      </c>
      <c r="O500" s="343"/>
      <c r="P500" s="363">
        <f t="shared" ca="1" si="221"/>
        <v>23</v>
      </c>
      <c r="Q500" s="357">
        <f t="shared" ca="1" si="222"/>
        <v>0</v>
      </c>
      <c r="R500" s="359">
        <f t="shared" ca="1" si="223"/>
        <v>0</v>
      </c>
      <c r="S500" s="360">
        <f t="shared" ca="1" si="224"/>
        <v>8.3819999999999997</v>
      </c>
      <c r="T500" s="357">
        <f t="shared" ca="1" si="204"/>
        <v>82.227419999999995</v>
      </c>
      <c r="U500" s="364">
        <f t="shared" ca="1" si="205"/>
        <v>0</v>
      </c>
      <c r="V500" s="359">
        <f t="shared" ca="1" si="206"/>
        <v>1.0715703606472233</v>
      </c>
      <c r="W500" s="357">
        <f t="shared" ca="1" si="207"/>
        <v>5.5681875364448334</v>
      </c>
      <c r="X500" s="343"/>
      <c r="Y500" s="367" t="str">
        <f t="shared" ca="1" si="225"/>
        <v/>
      </c>
      <c r="Z500" s="368" t="str">
        <f t="shared" ca="1" si="226"/>
        <v/>
      </c>
      <c r="AA500" s="369" t="str">
        <f t="shared" ca="1" si="227"/>
        <v/>
      </c>
      <c r="AB500" s="344"/>
      <c r="AC500" s="363" t="e">
        <f t="shared" ca="1" si="228"/>
        <v>#N/A</v>
      </c>
      <c r="AD500" s="376" t="e">
        <f t="shared" ca="1" si="229"/>
        <v>#N/A</v>
      </c>
      <c r="AE500" s="377" t="e">
        <f t="shared" ca="1" si="208"/>
        <v>#N/A</v>
      </c>
      <c r="AF500" s="344"/>
      <c r="AG500" s="359">
        <f t="shared" ca="1" si="230"/>
        <v>-8.1271342259656016</v>
      </c>
      <c r="AH500" s="357">
        <f t="shared" ca="1" si="231"/>
        <v>-0.68903128681028458</v>
      </c>
    </row>
    <row r="501" spans="1:34" x14ac:dyDescent="0.2">
      <c r="A501" s="402">
        <f t="shared" ca="1" si="209"/>
        <v>0.1</v>
      </c>
      <c r="B501" s="357">
        <f t="shared" ca="1" si="210"/>
        <v>13.699999999999925</v>
      </c>
      <c r="C501" s="342"/>
      <c r="D501" s="359">
        <f t="shared" ca="1" si="211"/>
        <v>-0.44036608180168946</v>
      </c>
      <c r="E501" s="360">
        <f t="shared" ca="1" si="212"/>
        <v>-10.307369235670704</v>
      </c>
      <c r="F501" s="357">
        <f t="shared" ca="1" si="213"/>
        <v>10.31677191986196</v>
      </c>
      <c r="G501" s="359">
        <f t="shared" ca="1" si="214"/>
        <v>29.275986519105491</v>
      </c>
      <c r="H501" s="360">
        <f t="shared" ca="1" si="215"/>
        <v>32.084614360986528</v>
      </c>
      <c r="I501" s="357">
        <f t="shared" ca="1" si="216"/>
        <v>43.433925281513176</v>
      </c>
      <c r="J501" s="359">
        <f t="shared" ca="1" si="217"/>
        <v>431.85584858730175</v>
      </c>
      <c r="K501" s="360">
        <f t="shared" ca="1" si="218"/>
        <v>1339.423191728152</v>
      </c>
      <c r="L501" s="357">
        <f t="shared" ca="1" si="203"/>
        <v>1407.3215554727669</v>
      </c>
      <c r="M501" s="359">
        <f t="shared" ca="1" si="219"/>
        <v>0.83113873294187812</v>
      </c>
      <c r="N501" s="357">
        <f t="shared" ca="1" si="220"/>
        <v>47.620741587420461</v>
      </c>
      <c r="O501" s="343"/>
      <c r="P501" s="363">
        <f t="shared" ca="1" si="221"/>
        <v>23</v>
      </c>
      <c r="Q501" s="357">
        <f t="shared" ca="1" si="222"/>
        <v>0</v>
      </c>
      <c r="R501" s="359">
        <f t="shared" ca="1" si="223"/>
        <v>0</v>
      </c>
      <c r="S501" s="360">
        <f t="shared" ca="1" si="224"/>
        <v>8.3819999999999997</v>
      </c>
      <c r="T501" s="357">
        <f t="shared" ca="1" si="204"/>
        <v>82.227419999999995</v>
      </c>
      <c r="U501" s="364">
        <f t="shared" ca="1" si="205"/>
        <v>0</v>
      </c>
      <c r="V501" s="359">
        <f t="shared" ca="1" si="206"/>
        <v>1.0712195163266636</v>
      </c>
      <c r="W501" s="357">
        <f t="shared" ca="1" si="207"/>
        <v>5.3678022459154215</v>
      </c>
      <c r="X501" s="343"/>
      <c r="Y501" s="367" t="str">
        <f t="shared" ca="1" si="225"/>
        <v/>
      </c>
      <c r="Z501" s="368" t="str">
        <f t="shared" ca="1" si="226"/>
        <v/>
      </c>
      <c r="AA501" s="369" t="str">
        <f t="shared" ca="1" si="227"/>
        <v/>
      </c>
      <c r="AB501" s="344"/>
      <c r="AC501" s="363" t="e">
        <f t="shared" ca="1" si="228"/>
        <v>#N/A</v>
      </c>
      <c r="AD501" s="376" t="e">
        <f t="shared" ca="1" si="229"/>
        <v>#N/A</v>
      </c>
      <c r="AE501" s="377" t="e">
        <f t="shared" ca="1" si="208"/>
        <v>#N/A</v>
      </c>
      <c r="AF501" s="344"/>
      <c r="AG501" s="359">
        <f t="shared" ca="1" si="230"/>
        <v>-8.0091326469335264</v>
      </c>
      <c r="AH501" s="357">
        <f t="shared" ca="1" si="231"/>
        <v>-0.66430297499938362</v>
      </c>
    </row>
    <row r="502" spans="1:34" x14ac:dyDescent="0.2">
      <c r="A502" s="402">
        <f t="shared" ca="1" si="209"/>
        <v>0.1</v>
      </c>
      <c r="B502" s="357">
        <f t="shared" ca="1" si="210"/>
        <v>13.799999999999924</v>
      </c>
      <c r="C502" s="342"/>
      <c r="D502" s="359">
        <f t="shared" ca="1" si="211"/>
        <v>-0.43164956720882502</v>
      </c>
      <c r="E502" s="360">
        <f t="shared" ca="1" si="212"/>
        <v>-10.283060400336769</v>
      </c>
      <c r="F502" s="357">
        <f t="shared" ca="1" si="213"/>
        <v>10.292116038300664</v>
      </c>
      <c r="G502" s="359">
        <f t="shared" ca="1" si="214"/>
        <v>29.232821562384608</v>
      </c>
      <c r="H502" s="360">
        <f t="shared" ca="1" si="215"/>
        <v>31.056308320952851</v>
      </c>
      <c r="I502" s="357">
        <f t="shared" ca="1" si="216"/>
        <v>42.650347513523307</v>
      </c>
      <c r="J502" s="359">
        <f t="shared" ca="1" si="217"/>
        <v>434.78128899137624</v>
      </c>
      <c r="K502" s="360">
        <f t="shared" ca="1" si="218"/>
        <v>1342.5802378622491</v>
      </c>
      <c r="L502" s="357">
        <f t="shared" ca="1" si="203"/>
        <v>1411.2251643006002</v>
      </c>
      <c r="M502" s="359">
        <f t="shared" ca="1" si="219"/>
        <v>0.81563464257488838</v>
      </c>
      <c r="N502" s="357">
        <f t="shared" ca="1" si="220"/>
        <v>46.732422644202515</v>
      </c>
      <c r="O502" s="343"/>
      <c r="P502" s="363">
        <f t="shared" ca="1" si="221"/>
        <v>23</v>
      </c>
      <c r="Q502" s="357">
        <f t="shared" ca="1" si="222"/>
        <v>0</v>
      </c>
      <c r="R502" s="359">
        <f t="shared" ca="1" si="223"/>
        <v>0</v>
      </c>
      <c r="S502" s="360">
        <f t="shared" ca="1" si="224"/>
        <v>8.3819999999999997</v>
      </c>
      <c r="T502" s="357">
        <f t="shared" ca="1" si="204"/>
        <v>82.227419999999995</v>
      </c>
      <c r="U502" s="364">
        <f t="shared" ca="1" si="205"/>
        <v>0</v>
      </c>
      <c r="V502" s="359">
        <f t="shared" ca="1" si="206"/>
        <v>1.0708798539772066</v>
      </c>
      <c r="W502" s="357">
        <f t="shared" ca="1" si="207"/>
        <v>5.1742304592304578</v>
      </c>
      <c r="X502" s="343"/>
      <c r="Y502" s="367" t="str">
        <f t="shared" ca="1" si="225"/>
        <v/>
      </c>
      <c r="Z502" s="368" t="str">
        <f t="shared" ca="1" si="226"/>
        <v/>
      </c>
      <c r="AA502" s="369" t="str">
        <f t="shared" ca="1" si="227"/>
        <v/>
      </c>
      <c r="AB502" s="344"/>
      <c r="AC502" s="363" t="e">
        <f t="shared" ca="1" si="228"/>
        <v>#N/A</v>
      </c>
      <c r="AD502" s="376" t="e">
        <f t="shared" ca="1" si="229"/>
        <v>#N/A</v>
      </c>
      <c r="AE502" s="377" t="e">
        <f t="shared" ca="1" si="208"/>
        <v>#N/A</v>
      </c>
      <c r="AF502" s="344"/>
      <c r="AG502" s="359">
        <f t="shared" ca="1" si="230"/>
        <v>-7.8870374272142172</v>
      </c>
      <c r="AH502" s="357">
        <f t="shared" ca="1" si="231"/>
        <v>-0.6403963547978313</v>
      </c>
    </row>
    <row r="503" spans="1:34" x14ac:dyDescent="0.2">
      <c r="A503" s="402">
        <f t="shared" ca="1" si="209"/>
        <v>0.1</v>
      </c>
      <c r="B503" s="357">
        <f t="shared" ca="1" si="210"/>
        <v>13.899999999999924</v>
      </c>
      <c r="C503" s="342"/>
      <c r="D503" s="359">
        <f t="shared" ca="1" si="211"/>
        <v>-0.4231031641737561</v>
      </c>
      <c r="E503" s="360">
        <f t="shared" ca="1" si="212"/>
        <v>-10.259495519620277</v>
      </c>
      <c r="F503" s="357">
        <f t="shared" ca="1" si="213"/>
        <v>10.268216232853804</v>
      </c>
      <c r="G503" s="359">
        <f t="shared" ca="1" si="214"/>
        <v>29.190511245967233</v>
      </c>
      <c r="H503" s="360">
        <f t="shared" ca="1" si="215"/>
        <v>30.030358768990823</v>
      </c>
      <c r="I503" s="357">
        <f t="shared" ca="1" si="216"/>
        <v>41.87968952362521</v>
      </c>
      <c r="J503" s="359">
        <f t="shared" ca="1" si="217"/>
        <v>437.70245563179384</v>
      </c>
      <c r="K503" s="360">
        <f t="shared" ca="1" si="218"/>
        <v>1345.6345712167463</v>
      </c>
      <c r="L503" s="357">
        <f t="shared" ca="1" si="203"/>
        <v>1415.0320981941643</v>
      </c>
      <c r="M503" s="359">
        <f t="shared" ca="1" si="219"/>
        <v>0.79957882684830439</v>
      </c>
      <c r="N503" s="357">
        <f t="shared" ca="1" si="220"/>
        <v>45.812492166429479</v>
      </c>
      <c r="O503" s="343"/>
      <c r="P503" s="363">
        <f t="shared" ca="1" si="221"/>
        <v>23</v>
      </c>
      <c r="Q503" s="357">
        <f t="shared" ca="1" si="222"/>
        <v>0</v>
      </c>
      <c r="R503" s="359">
        <f t="shared" ca="1" si="223"/>
        <v>0</v>
      </c>
      <c r="S503" s="360">
        <f t="shared" ca="1" si="224"/>
        <v>8.3819999999999997</v>
      </c>
      <c r="T503" s="357">
        <f t="shared" ca="1" si="204"/>
        <v>82.227419999999995</v>
      </c>
      <c r="U503" s="364">
        <f t="shared" ca="1" si="205"/>
        <v>0</v>
      </c>
      <c r="V503" s="359">
        <f t="shared" ca="1" si="206"/>
        <v>1.0705513379805274</v>
      </c>
      <c r="W503" s="357">
        <f t="shared" ca="1" si="207"/>
        <v>4.9874008712845885</v>
      </c>
      <c r="X503" s="343"/>
      <c r="Y503" s="367" t="str">
        <f t="shared" ca="1" si="225"/>
        <v/>
      </c>
      <c r="Z503" s="368" t="str">
        <f t="shared" ca="1" si="226"/>
        <v/>
      </c>
      <c r="AA503" s="369" t="str">
        <f t="shared" ca="1" si="227"/>
        <v/>
      </c>
      <c r="AB503" s="344"/>
      <c r="AC503" s="363" t="e">
        <f t="shared" ca="1" si="228"/>
        <v>#N/A</v>
      </c>
      <c r="AD503" s="376" t="e">
        <f t="shared" ca="1" si="229"/>
        <v>#N/A</v>
      </c>
      <c r="AE503" s="377" t="e">
        <f t="shared" ca="1" si="208"/>
        <v>#N/A</v>
      </c>
      <c r="AF503" s="344"/>
      <c r="AG503" s="359">
        <f t="shared" ca="1" si="230"/>
        <v>-7.7605594015520039</v>
      </c>
      <c r="AH503" s="357">
        <f t="shared" ca="1" si="231"/>
        <v>-0.61730260787764946</v>
      </c>
    </row>
    <row r="504" spans="1:34" x14ac:dyDescent="0.2">
      <c r="A504" s="402">
        <f t="shared" ca="1" si="209"/>
        <v>0.1</v>
      </c>
      <c r="B504" s="357">
        <f t="shared" ca="1" si="210"/>
        <v>13.999999999999924</v>
      </c>
      <c r="C504" s="342"/>
      <c r="D504" s="359">
        <f t="shared" ca="1" si="211"/>
        <v>-0.41472944285789931</v>
      </c>
      <c r="E504" s="360">
        <f t="shared" ca="1" si="212"/>
        <v>-10.236661727714928</v>
      </c>
      <c r="F504" s="357">
        <f t="shared" ca="1" si="213"/>
        <v>10.245059484377668</v>
      </c>
      <c r="G504" s="359">
        <f t="shared" ca="1" si="214"/>
        <v>29.149038301681443</v>
      </c>
      <c r="H504" s="360">
        <f t="shared" ca="1" si="215"/>
        <v>29.006692596219331</v>
      </c>
      <c r="I504" s="357">
        <f t="shared" ca="1" si="216"/>
        <v>41.122434865708733</v>
      </c>
      <c r="J504" s="359">
        <f t="shared" ca="1" si="217"/>
        <v>440.61943310917627</v>
      </c>
      <c r="K504" s="360">
        <f t="shared" ca="1" si="218"/>
        <v>1348.5864237850069</v>
      </c>
      <c r="L504" s="357">
        <f t="shared" ca="1" si="203"/>
        <v>1418.7426924043295</v>
      </c>
      <c r="M504" s="359">
        <f t="shared" ca="1" si="219"/>
        <v>0.78295050400089128</v>
      </c>
      <c r="N504" s="357">
        <f t="shared" ca="1" si="220"/>
        <v>44.859759446891744</v>
      </c>
      <c r="O504" s="343"/>
      <c r="P504" s="363">
        <f t="shared" ca="1" si="221"/>
        <v>23</v>
      </c>
      <c r="Q504" s="357">
        <f t="shared" ca="1" si="222"/>
        <v>0</v>
      </c>
      <c r="R504" s="359">
        <f t="shared" ca="1" si="223"/>
        <v>0</v>
      </c>
      <c r="S504" s="360">
        <f t="shared" ca="1" si="224"/>
        <v>8.3819999999999997</v>
      </c>
      <c r="T504" s="357">
        <f t="shared" ca="1" si="204"/>
        <v>82.227419999999995</v>
      </c>
      <c r="U504" s="364">
        <f t="shared" ca="1" si="205"/>
        <v>0</v>
      </c>
      <c r="V504" s="359">
        <f t="shared" ca="1" si="206"/>
        <v>1.0702339338687008</v>
      </c>
      <c r="W504" s="357">
        <f t="shared" ca="1" si="207"/>
        <v>4.8072447221298198</v>
      </c>
      <c r="X504" s="343"/>
      <c r="Y504" s="367" t="str">
        <f t="shared" ca="1" si="225"/>
        <v/>
      </c>
      <c r="Z504" s="368" t="str">
        <f t="shared" ca="1" si="226"/>
        <v/>
      </c>
      <c r="AA504" s="369" t="str">
        <f t="shared" ca="1" si="227"/>
        <v/>
      </c>
      <c r="AB504" s="344"/>
      <c r="AC504" s="363">
        <f t="shared" ca="1" si="228"/>
        <v>13.999999999999924</v>
      </c>
      <c r="AD504" s="376">
        <f t="shared" ca="1" si="229"/>
        <v>440.61943310917627</v>
      </c>
      <c r="AE504" s="377" t="e">
        <f t="shared" ca="1" si="208"/>
        <v>#N/A</v>
      </c>
      <c r="AF504" s="344"/>
      <c r="AG504" s="359">
        <f t="shared" ca="1" si="230"/>
        <v>-7.6293972658419023</v>
      </c>
      <c r="AH504" s="357">
        <f t="shared" ca="1" si="231"/>
        <v>-0.5950132273066796</v>
      </c>
    </row>
    <row r="505" spans="1:34" x14ac:dyDescent="0.2">
      <c r="A505" s="402">
        <f t="shared" ca="1" si="209"/>
        <v>0.1</v>
      </c>
      <c r="B505" s="357">
        <f t="shared" ca="1" si="210"/>
        <v>14.099999999999923</v>
      </c>
      <c r="C505" s="342"/>
      <c r="D505" s="359">
        <f t="shared" ca="1" si="211"/>
        <v>-0.40653129579964314</v>
      </c>
      <c r="E505" s="360">
        <f t="shared" ca="1" si="212"/>
        <v>-10.214546050746476</v>
      </c>
      <c r="F505" s="357">
        <f t="shared" ca="1" si="213"/>
        <v>10.222632670564122</v>
      </c>
      <c r="G505" s="359">
        <f t="shared" ca="1" si="214"/>
        <v>29.108385172101478</v>
      </c>
      <c r="H505" s="360">
        <f t="shared" ca="1" si="215"/>
        <v>27.985237991144682</v>
      </c>
      <c r="I505" s="357">
        <f t="shared" ca="1" si="216"/>
        <v>40.379098959095472</v>
      </c>
      <c r="J505" s="359">
        <f t="shared" ca="1" si="217"/>
        <v>443.53230428286543</v>
      </c>
      <c r="K505" s="360">
        <f t="shared" ca="1" si="218"/>
        <v>1351.4360203143751</v>
      </c>
      <c r="L505" s="357">
        <f t="shared" ca="1" si="203"/>
        <v>1422.3572764764922</v>
      </c>
      <c r="M505" s="359">
        <f t="shared" ca="1" si="219"/>
        <v>0.76572867544655865</v>
      </c>
      <c r="N505" s="357">
        <f t="shared" ca="1" si="220"/>
        <v>43.873021355230598</v>
      </c>
      <c r="O505" s="343"/>
      <c r="P505" s="363">
        <f t="shared" ca="1" si="221"/>
        <v>23</v>
      </c>
      <c r="Q505" s="357">
        <f t="shared" ca="1" si="222"/>
        <v>0</v>
      </c>
      <c r="R505" s="359">
        <f t="shared" ca="1" si="223"/>
        <v>0</v>
      </c>
      <c r="S505" s="360">
        <f t="shared" ca="1" si="224"/>
        <v>8.3819999999999997</v>
      </c>
      <c r="T505" s="357">
        <f t="shared" ca="1" si="204"/>
        <v>82.227419999999995</v>
      </c>
      <c r="U505" s="364">
        <f t="shared" ca="1" si="205"/>
        <v>0</v>
      </c>
      <c r="V505" s="359">
        <f t="shared" ca="1" si="206"/>
        <v>1.0699276083060636</v>
      </c>
      <c r="W505" s="357">
        <f t="shared" ca="1" si="207"/>
        <v>4.6336957334829316</v>
      </c>
      <c r="X505" s="343"/>
      <c r="Y505" s="367" t="str">
        <f t="shared" ca="1" si="225"/>
        <v/>
      </c>
      <c r="Z505" s="368" t="str">
        <f t="shared" ca="1" si="226"/>
        <v/>
      </c>
      <c r="AA505" s="369" t="str">
        <f t="shared" ca="1" si="227"/>
        <v/>
      </c>
      <c r="AB505" s="344"/>
      <c r="AC505" s="363" t="e">
        <f t="shared" ca="1" si="228"/>
        <v>#N/A</v>
      </c>
      <c r="AD505" s="376" t="e">
        <f t="shared" ca="1" si="229"/>
        <v>#N/A</v>
      </c>
      <c r="AE505" s="377" t="e">
        <f t="shared" ca="1" si="208"/>
        <v>#N/A</v>
      </c>
      <c r="AF505" s="344"/>
      <c r="AG505" s="359">
        <f t="shared" ca="1" si="230"/>
        <v>-7.4932380493105919</v>
      </c>
      <c r="AH505" s="357">
        <f t="shared" ca="1" si="231"/>
        <v>-0.57352000979835605</v>
      </c>
    </row>
    <row r="506" spans="1:34" x14ac:dyDescent="0.2">
      <c r="A506" s="402">
        <f t="shared" ca="1" si="209"/>
        <v>0.1</v>
      </c>
      <c r="B506" s="357">
        <f t="shared" ca="1" si="210"/>
        <v>14.199999999999923</v>
      </c>
      <c r="C506" s="342"/>
      <c r="D506" s="359">
        <f t="shared" ca="1" si="211"/>
        <v>-0.39851194714378568</v>
      </c>
      <c r="E506" s="360">
        <f t="shared" ca="1" si="212"/>
        <v>-10.193135361758998</v>
      </c>
      <c r="F506" s="357">
        <f t="shared" ca="1" si="213"/>
        <v>10.200922520789875</v>
      </c>
      <c r="G506" s="359">
        <f t="shared" ca="1" si="214"/>
        <v>29.068533977387098</v>
      </c>
      <c r="H506" s="360">
        <f t="shared" ca="1" si="215"/>
        <v>26.965924454968782</v>
      </c>
      <c r="I506" s="357">
        <f t="shared" ca="1" si="216"/>
        <v>39.650230129289184</v>
      </c>
      <c r="J506" s="359">
        <f t="shared" ca="1" si="217"/>
        <v>446.44115024033988</v>
      </c>
      <c r="K506" s="360">
        <f t="shared" ca="1" si="218"/>
        <v>1354.1835784366808</v>
      </c>
      <c r="L506" s="357">
        <f t="shared" ca="1" si="203"/>
        <v>1425.8761744048786</v>
      </c>
      <c r="M506" s="359">
        <f t="shared" ca="1" si="219"/>
        <v>0.74789225043443808</v>
      </c>
      <c r="N506" s="357">
        <f t="shared" ca="1" si="220"/>
        <v>42.851069480434511</v>
      </c>
      <c r="O506" s="343"/>
      <c r="P506" s="363">
        <f t="shared" ca="1" si="221"/>
        <v>23</v>
      </c>
      <c r="Q506" s="357">
        <f t="shared" ca="1" si="222"/>
        <v>0</v>
      </c>
      <c r="R506" s="359">
        <f t="shared" ca="1" si="223"/>
        <v>0</v>
      </c>
      <c r="S506" s="360">
        <f t="shared" ca="1" si="224"/>
        <v>8.3819999999999997</v>
      </c>
      <c r="T506" s="357">
        <f t="shared" ca="1" si="204"/>
        <v>82.227419999999995</v>
      </c>
      <c r="U506" s="364">
        <f t="shared" ca="1" si="205"/>
        <v>0</v>
      </c>
      <c r="V506" s="359">
        <f t="shared" ca="1" si="206"/>
        <v>1.0696323290711001</v>
      </c>
      <c r="W506" s="357">
        <f t="shared" ca="1" si="207"/>
        <v>4.4666900465446968</v>
      </c>
      <c r="X506" s="343"/>
      <c r="Y506" s="367" t="str">
        <f t="shared" ca="1" si="225"/>
        <v/>
      </c>
      <c r="Z506" s="368" t="str">
        <f t="shared" ca="1" si="226"/>
        <v/>
      </c>
      <c r="AA506" s="369" t="str">
        <f t="shared" ca="1" si="227"/>
        <v/>
      </c>
      <c r="AB506" s="344"/>
      <c r="AC506" s="363" t="e">
        <f t="shared" ca="1" si="228"/>
        <v>#N/A</v>
      </c>
      <c r="AD506" s="376" t="e">
        <f t="shared" ca="1" si="229"/>
        <v>#N/A</v>
      </c>
      <c r="AE506" s="377" t="e">
        <f t="shared" ca="1" si="208"/>
        <v>#N/A</v>
      </c>
      <c r="AF506" s="344"/>
      <c r="AG506" s="359">
        <f t="shared" ca="1" si="230"/>
        <v>-7.3517578618741304</v>
      </c>
      <c r="AH506" s="357">
        <f t="shared" ca="1" si="231"/>
        <v>-0.55281504813683269</v>
      </c>
    </row>
    <row r="507" spans="1:34" x14ac:dyDescent="0.2">
      <c r="A507" s="402">
        <f t="shared" ca="1" si="209"/>
        <v>0.1</v>
      </c>
      <c r="B507" s="357">
        <f t="shared" ca="1" si="210"/>
        <v>14.299999999999923</v>
      </c>
      <c r="C507" s="342"/>
      <c r="D507" s="359">
        <f t="shared" ca="1" si="211"/>
        <v>-0.39067496101035498</v>
      </c>
      <c r="E507" s="360">
        <f t="shared" ca="1" si="212"/>
        <v>-10.172416332837715</v>
      </c>
      <c r="F507" s="357">
        <f t="shared" ca="1" si="213"/>
        <v>10.179915568104873</v>
      </c>
      <c r="G507" s="359">
        <f t="shared" ca="1" si="214"/>
        <v>29.029466481286061</v>
      </c>
      <c r="H507" s="360">
        <f t="shared" ca="1" si="215"/>
        <v>25.948682821685011</v>
      </c>
      <c r="I507" s="357">
        <f t="shared" ca="1" si="216"/>
        <v>38.93641052239564</v>
      </c>
      <c r="J507" s="359">
        <f t="shared" ca="1" si="217"/>
        <v>449.34605026327353</v>
      </c>
      <c r="K507" s="360">
        <f t="shared" ca="1" si="218"/>
        <v>1356.8293088005134</v>
      </c>
      <c r="L507" s="357">
        <f t="shared" ca="1" si="203"/>
        <v>1429.2997047880767</v>
      </c>
      <c r="M507" s="359">
        <f t="shared" ca="1" si="219"/>
        <v>0.72942019553411375</v>
      </c>
      <c r="N507" s="357">
        <f t="shared" ca="1" si="220"/>
        <v>41.792698695711977</v>
      </c>
      <c r="O507" s="343"/>
      <c r="P507" s="363">
        <f t="shared" ca="1" si="221"/>
        <v>23</v>
      </c>
      <c r="Q507" s="357">
        <f t="shared" ca="1" si="222"/>
        <v>0</v>
      </c>
      <c r="R507" s="359">
        <f t="shared" ca="1" si="223"/>
        <v>0</v>
      </c>
      <c r="S507" s="360">
        <f t="shared" ca="1" si="224"/>
        <v>8.3819999999999997</v>
      </c>
      <c r="T507" s="357">
        <f t="shared" ca="1" si="204"/>
        <v>82.227419999999995</v>
      </c>
      <c r="U507" s="364">
        <f t="shared" ca="1" si="205"/>
        <v>0</v>
      </c>
      <c r="V507" s="359">
        <f t="shared" ca="1" si="206"/>
        <v>1.0693480650383138</v>
      </c>
      <c r="W507" s="357">
        <f t="shared" ca="1" si="207"/>
        <v>4.3061661609695756</v>
      </c>
      <c r="X507" s="343"/>
      <c r="Y507" s="367" t="str">
        <f t="shared" ca="1" si="225"/>
        <v/>
      </c>
      <c r="Z507" s="368" t="str">
        <f t="shared" ca="1" si="226"/>
        <v/>
      </c>
      <c r="AA507" s="369" t="str">
        <f t="shared" ca="1" si="227"/>
        <v/>
      </c>
      <c r="AB507" s="344"/>
      <c r="AC507" s="363" t="e">
        <f t="shared" ca="1" si="228"/>
        <v>#N/A</v>
      </c>
      <c r="AD507" s="376" t="e">
        <f t="shared" ca="1" si="229"/>
        <v>#N/A</v>
      </c>
      <c r="AE507" s="377" t="e">
        <f t="shared" ca="1" si="208"/>
        <v>#N/A</v>
      </c>
      <c r="AF507" s="344"/>
      <c r="AG507" s="359">
        <f t="shared" ca="1" si="230"/>
        <v>-7.2046229694646531</v>
      </c>
      <c r="AH507" s="357">
        <f t="shared" ca="1" si="231"/>
        <v>-0.53289072375861335</v>
      </c>
    </row>
    <row r="508" spans="1:34" x14ac:dyDescent="0.2">
      <c r="A508" s="402">
        <f t="shared" ca="1" si="209"/>
        <v>0.1</v>
      </c>
      <c r="B508" s="357">
        <f t="shared" ca="1" si="210"/>
        <v>14.399999999999922</v>
      </c>
      <c r="C508" s="342"/>
      <c r="D508" s="359">
        <f t="shared" ca="1" si="211"/>
        <v>-0.3830242486613899</v>
      </c>
      <c r="E508" s="360">
        <f t="shared" ca="1" si="212"/>
        <v>-10.152375384264669</v>
      </c>
      <c r="F508" s="357">
        <f t="shared" ca="1" si="213"/>
        <v>10.159598098255945</v>
      </c>
      <c r="G508" s="359">
        <f t="shared" ca="1" si="214"/>
        <v>28.991164056419922</v>
      </c>
      <c r="H508" s="360">
        <f t="shared" ca="1" si="215"/>
        <v>24.933445283258543</v>
      </c>
      <c r="I508" s="357">
        <f t="shared" ca="1" si="216"/>
        <v>38.238256851476663</v>
      </c>
      <c r="J508" s="359">
        <f t="shared" ca="1" si="217"/>
        <v>452.2470817901588</v>
      </c>
      <c r="K508" s="360">
        <f t="shared" ca="1" si="218"/>
        <v>1359.3734152057607</v>
      </c>
      <c r="L508" s="357">
        <f t="shared" ca="1" si="203"/>
        <v>1432.628180986221</v>
      </c>
      <c r="M508" s="359">
        <f t="shared" ca="1" si="219"/>
        <v>0.71029171169909588</v>
      </c>
      <c r="N508" s="357">
        <f t="shared" ca="1" si="220"/>
        <v>40.696717303481236</v>
      </c>
      <c r="O508" s="343"/>
      <c r="P508" s="363">
        <f t="shared" ca="1" si="221"/>
        <v>23</v>
      </c>
      <c r="Q508" s="357">
        <f t="shared" ca="1" si="222"/>
        <v>0</v>
      </c>
      <c r="R508" s="359">
        <f t="shared" ca="1" si="223"/>
        <v>0</v>
      </c>
      <c r="S508" s="360">
        <f t="shared" ca="1" si="224"/>
        <v>8.3819999999999997</v>
      </c>
      <c r="T508" s="357">
        <f t="shared" ca="1" si="204"/>
        <v>82.227419999999995</v>
      </c>
      <c r="U508" s="364">
        <f t="shared" ca="1" si="205"/>
        <v>0</v>
      </c>
      <c r="V508" s="359">
        <f t="shared" ca="1" si="206"/>
        <v>1.0690747861600118</v>
      </c>
      <c r="W508" s="357">
        <f t="shared" ca="1" si="207"/>
        <v>4.1520648748207112</v>
      </c>
      <c r="X508" s="343"/>
      <c r="Y508" s="367" t="str">
        <f t="shared" ca="1" si="225"/>
        <v/>
      </c>
      <c r="Z508" s="368" t="str">
        <f t="shared" ca="1" si="226"/>
        <v/>
      </c>
      <c r="AA508" s="369" t="str">
        <f t="shared" ca="1" si="227"/>
        <v/>
      </c>
      <c r="AB508" s="344"/>
      <c r="AC508" s="363" t="e">
        <f t="shared" ca="1" si="228"/>
        <v>#N/A</v>
      </c>
      <c r="AD508" s="376" t="e">
        <f t="shared" ca="1" si="229"/>
        <v>#N/A</v>
      </c>
      <c r="AE508" s="377" t="e">
        <f t="shared" ca="1" si="208"/>
        <v>#N/A</v>
      </c>
      <c r="AF508" s="344"/>
      <c r="AG508" s="359">
        <f t="shared" ca="1" si="230"/>
        <v>-7.0514912555454821</v>
      </c>
      <c r="AH508" s="357">
        <f t="shared" ca="1" si="231"/>
        <v>-0.51373969947143594</v>
      </c>
    </row>
    <row r="509" spans="1:34" x14ac:dyDescent="0.2">
      <c r="A509" s="402">
        <f t="shared" ca="1" si="209"/>
        <v>0.1</v>
      </c>
      <c r="B509" s="357">
        <f t="shared" ca="1" si="210"/>
        <v>14.499999999999922</v>
      </c>
      <c r="C509" s="342"/>
      <c r="D509" s="359">
        <f t="shared" ca="1" si="211"/>
        <v>-0.37556407406732562</v>
      </c>
      <c r="E509" s="360">
        <f t="shared" ca="1" si="212"/>
        <v>-10.132998630648006</v>
      </c>
      <c r="F509" s="357">
        <f t="shared" ca="1" si="213"/>
        <v>10.139956095686234</v>
      </c>
      <c r="G509" s="359">
        <f t="shared" ca="1" si="214"/>
        <v>28.95360764901319</v>
      </c>
      <c r="H509" s="360">
        <f t="shared" ca="1" si="215"/>
        <v>23.920145420193741</v>
      </c>
      <c r="I509" s="357">
        <f t="shared" ca="1" si="216"/>
        <v>37.556420926603359</v>
      </c>
      <c r="J509" s="359">
        <f t="shared" ca="1" si="217"/>
        <v>455.14432037543048</v>
      </c>
      <c r="K509" s="360">
        <f t="shared" ca="1" si="218"/>
        <v>1361.8160947409333</v>
      </c>
      <c r="L509" s="357">
        <f t="shared" ca="1" si="203"/>
        <v>1435.8619112802801</v>
      </c>
      <c r="M509" s="359">
        <f t="shared" ca="1" si="219"/>
        <v>0.6904864416172305</v>
      </c>
      <c r="N509" s="357">
        <f t="shared" ca="1" si="220"/>
        <v>39.561958915673628</v>
      </c>
      <c r="O509" s="343"/>
      <c r="P509" s="363">
        <f t="shared" ca="1" si="221"/>
        <v>23</v>
      </c>
      <c r="Q509" s="357">
        <f t="shared" ca="1" si="222"/>
        <v>0</v>
      </c>
      <c r="R509" s="359">
        <f t="shared" ca="1" si="223"/>
        <v>0</v>
      </c>
      <c r="S509" s="360">
        <f t="shared" ca="1" si="224"/>
        <v>8.3819999999999997</v>
      </c>
      <c r="T509" s="357">
        <f t="shared" ca="1" si="204"/>
        <v>82.227419999999995</v>
      </c>
      <c r="U509" s="364">
        <f t="shared" ca="1" si="205"/>
        <v>0</v>
      </c>
      <c r="V509" s="359">
        <f t="shared" ca="1" si="206"/>
        <v>1.0688124634479608</v>
      </c>
      <c r="W509" s="357">
        <f t="shared" ca="1" si="207"/>
        <v>4.0043292253410137</v>
      </c>
      <c r="X509" s="343"/>
      <c r="Y509" s="367" t="str">
        <f t="shared" ca="1" si="225"/>
        <v/>
      </c>
      <c r="Z509" s="368" t="str">
        <f t="shared" ca="1" si="226"/>
        <v/>
      </c>
      <c r="AA509" s="369" t="str">
        <f t="shared" ca="1" si="227"/>
        <v/>
      </c>
      <c r="AB509" s="344"/>
      <c r="AC509" s="363" t="e">
        <f t="shared" ca="1" si="228"/>
        <v>#N/A</v>
      </c>
      <c r="AD509" s="376" t="e">
        <f t="shared" ca="1" si="229"/>
        <v>#N/A</v>
      </c>
      <c r="AE509" s="377" t="e">
        <f t="shared" ca="1" si="208"/>
        <v>#N/A</v>
      </c>
      <c r="AF509" s="344"/>
      <c r="AG509" s="359">
        <f t="shared" ca="1" si="230"/>
        <v>-6.892014131847171</v>
      </c>
      <c r="AH509" s="357">
        <f t="shared" ca="1" si="231"/>
        <v>-0.49535491229070761</v>
      </c>
    </row>
    <row r="510" spans="1:34" x14ac:dyDescent="0.2">
      <c r="A510" s="402">
        <f t="shared" ca="1" si="209"/>
        <v>0.1</v>
      </c>
      <c r="B510" s="357">
        <f t="shared" ca="1" si="210"/>
        <v>14.599999999999921</v>
      </c>
      <c r="C510" s="342"/>
      <c r="D510" s="359">
        <f t="shared" ca="1" si="211"/>
        <v>-0.36829905741384922</v>
      </c>
      <c r="E510" s="360">
        <f t="shared" ca="1" si="212"/>
        <v>-10.114271824024659</v>
      </c>
      <c r="F510" s="357">
        <f t="shared" ca="1" si="213"/>
        <v>10.120975186509995</v>
      </c>
      <c r="G510" s="359">
        <f t="shared" ca="1" si="214"/>
        <v>28.916777743271805</v>
      </c>
      <c r="H510" s="360">
        <f t="shared" ca="1" si="215"/>
        <v>22.908718237791277</v>
      </c>
      <c r="I510" s="357">
        <f t="shared" ca="1" si="216"/>
        <v>36.891589913587218</v>
      </c>
      <c r="J510" s="359">
        <f t="shared" ca="1" si="217"/>
        <v>458.03783964504476</v>
      </c>
      <c r="K510" s="360">
        <f t="shared" ca="1" si="218"/>
        <v>1364.1575379238325</v>
      </c>
      <c r="L510" s="357">
        <f t="shared" ca="1" si="203"/>
        <v>1439.0011990339383</v>
      </c>
      <c r="M510" s="359">
        <f t="shared" ca="1" si="219"/>
        <v>0.66998470988961845</v>
      </c>
      <c r="N510" s="357">
        <f t="shared" ca="1" si="220"/>
        <v>38.387296214972004</v>
      </c>
      <c r="O510" s="343"/>
      <c r="P510" s="363">
        <f t="shared" ca="1" si="221"/>
        <v>23</v>
      </c>
      <c r="Q510" s="357">
        <f t="shared" ca="1" si="222"/>
        <v>0</v>
      </c>
      <c r="R510" s="359">
        <f t="shared" ca="1" si="223"/>
        <v>0</v>
      </c>
      <c r="S510" s="360">
        <f t="shared" ca="1" si="224"/>
        <v>8.3819999999999997</v>
      </c>
      <c r="T510" s="357">
        <f t="shared" ca="1" si="204"/>
        <v>82.227419999999995</v>
      </c>
      <c r="U510" s="364">
        <f t="shared" ca="1" si="205"/>
        <v>0</v>
      </c>
      <c r="V510" s="359">
        <f t="shared" ca="1" si="206"/>
        <v>1.0685610689548313</v>
      </c>
      <c r="W510" s="357">
        <f t="shared" ca="1" si="207"/>
        <v>3.8629044303666191</v>
      </c>
      <c r="X510" s="343"/>
      <c r="Y510" s="367" t="str">
        <f t="shared" ca="1" si="225"/>
        <v/>
      </c>
      <c r="Z510" s="368" t="str">
        <f t="shared" ca="1" si="226"/>
        <v/>
      </c>
      <c r="AA510" s="369" t="str">
        <f t="shared" ca="1" si="227"/>
        <v/>
      </c>
      <c r="AB510" s="344"/>
      <c r="AC510" s="363" t="e">
        <f t="shared" ca="1" si="228"/>
        <v>#N/A</v>
      </c>
      <c r="AD510" s="376" t="e">
        <f t="shared" ca="1" si="229"/>
        <v>#N/A</v>
      </c>
      <c r="AE510" s="377" t="e">
        <f t="shared" ca="1" si="208"/>
        <v>#N/A</v>
      </c>
      <c r="AF510" s="344"/>
      <c r="AG510" s="359">
        <f t="shared" ca="1" si="230"/>
        <v>-6.7258389650481867</v>
      </c>
      <c r="AH510" s="357">
        <f t="shared" ca="1" si="231"/>
        <v>-0.47772956637330155</v>
      </c>
    </row>
    <row r="511" spans="1:34" x14ac:dyDescent="0.2">
      <c r="A511" s="402">
        <f t="shared" ca="1" si="209"/>
        <v>0.1</v>
      </c>
      <c r="B511" s="357">
        <f t="shared" ca="1" si="210"/>
        <v>14.699999999999921</v>
      </c>
      <c r="C511" s="342"/>
      <c r="D511" s="359">
        <f t="shared" ca="1" si="211"/>
        <v>-0.36123417602683061</v>
      </c>
      <c r="E511" s="360">
        <f t="shared" ca="1" si="212"/>
        <v>-10.096180294012353</v>
      </c>
      <c r="F511" s="357">
        <f t="shared" ca="1" si="213"/>
        <v>10.102640578538521</v>
      </c>
      <c r="G511" s="359">
        <f t="shared" ca="1" si="214"/>
        <v>28.88065432566912</v>
      </c>
      <c r="H511" s="360">
        <f t="shared" ca="1" si="215"/>
        <v>21.899100208390042</v>
      </c>
      <c r="I511" s="357">
        <f t="shared" ca="1" si="216"/>
        <v>36.244486259511241</v>
      </c>
      <c r="J511" s="359">
        <f t="shared" ca="1" si="217"/>
        <v>460.92771124849179</v>
      </c>
      <c r="K511" s="360">
        <f t="shared" ca="1" si="218"/>
        <v>1366.3979288461414</v>
      </c>
      <c r="L511" s="357">
        <f t="shared" ca="1" si="203"/>
        <v>1442.0463428585774</v>
      </c>
      <c r="M511" s="359">
        <f t="shared" ca="1" si="219"/>
        <v>0.64876779825386788</v>
      </c>
      <c r="N511" s="357">
        <f t="shared" ca="1" si="220"/>
        <v>37.171656723941489</v>
      </c>
      <c r="O511" s="343"/>
      <c r="P511" s="363">
        <f t="shared" ca="1" si="221"/>
        <v>23</v>
      </c>
      <c r="Q511" s="357">
        <f t="shared" ca="1" si="222"/>
        <v>0</v>
      </c>
      <c r="R511" s="359">
        <f t="shared" ca="1" si="223"/>
        <v>0</v>
      </c>
      <c r="S511" s="360">
        <f t="shared" ca="1" si="224"/>
        <v>8.3819999999999997</v>
      </c>
      <c r="T511" s="357">
        <f t="shared" ca="1" si="204"/>
        <v>82.227419999999995</v>
      </c>
      <c r="U511" s="364">
        <f t="shared" ca="1" si="205"/>
        <v>0</v>
      </c>
      <c r="V511" s="359">
        <f t="shared" ca="1" si="206"/>
        <v>1.0683205757553806</v>
      </c>
      <c r="W511" s="357">
        <f t="shared" ca="1" si="207"/>
        <v>3.7277378302048527</v>
      </c>
      <c r="X511" s="343"/>
      <c r="Y511" s="367" t="str">
        <f t="shared" ca="1" si="225"/>
        <v/>
      </c>
      <c r="Z511" s="368" t="str">
        <f t="shared" ca="1" si="226"/>
        <v/>
      </c>
      <c r="AA511" s="369" t="str">
        <f t="shared" ca="1" si="227"/>
        <v/>
      </c>
      <c r="AB511" s="344"/>
      <c r="AC511" s="363" t="e">
        <f t="shared" ca="1" si="228"/>
        <v>#N/A</v>
      </c>
      <c r="AD511" s="376" t="e">
        <f t="shared" ca="1" si="229"/>
        <v>#N/A</v>
      </c>
      <c r="AE511" s="377" t="e">
        <f t="shared" ca="1" si="208"/>
        <v>#N/A</v>
      </c>
      <c r="AF511" s="344"/>
      <c r="AG511" s="359">
        <f t="shared" ca="1" si="230"/>
        <v>-6.5526120880433956</v>
      </c>
      <c r="AH511" s="357">
        <f t="shared" ca="1" si="231"/>
        <v>-0.46085712602799084</v>
      </c>
    </row>
    <row r="512" spans="1:34" x14ac:dyDescent="0.2">
      <c r="A512" s="402">
        <f t="shared" ca="1" si="209"/>
        <v>0.1</v>
      </c>
      <c r="B512" s="357">
        <f t="shared" ca="1" si="210"/>
        <v>14.799999999999921</v>
      </c>
      <c r="C512" s="342"/>
      <c r="D512" s="359">
        <f t="shared" ca="1" si="211"/>
        <v>-0.35437476212935931</v>
      </c>
      <c r="E512" s="360">
        <f t="shared" ca="1" si="212"/>
        <v>-10.078708885182623</v>
      </c>
      <c r="F512" s="357">
        <f t="shared" ca="1" si="213"/>
        <v>10.084936998528717</v>
      </c>
      <c r="G512" s="359">
        <f t="shared" ca="1" si="214"/>
        <v>28.845216849456182</v>
      </c>
      <c r="H512" s="360">
        <f t="shared" ca="1" si="215"/>
        <v>20.89122931987178</v>
      </c>
      <c r="I512" s="357">
        <f t="shared" ca="1" si="216"/>
        <v>35.615867216559828</v>
      </c>
      <c r="J512" s="359">
        <f t="shared" ca="1" si="217"/>
        <v>463.81400480724807</v>
      </c>
      <c r="K512" s="360">
        <f t="shared" ca="1" si="218"/>
        <v>1368.5374453225545</v>
      </c>
      <c r="L512" s="357">
        <f t="shared" ca="1" si="203"/>
        <v>1444.9976367819158</v>
      </c>
      <c r="M512" s="359">
        <f t="shared" ca="1" si="219"/>
        <v>0.62681825754341469</v>
      </c>
      <c r="N512" s="357">
        <f t="shared" ca="1" si="220"/>
        <v>35.914040678981941</v>
      </c>
      <c r="O512" s="343"/>
      <c r="P512" s="363">
        <f t="shared" ca="1" si="221"/>
        <v>23</v>
      </c>
      <c r="Q512" s="357">
        <f t="shared" ca="1" si="222"/>
        <v>0</v>
      </c>
      <c r="R512" s="359">
        <f t="shared" ca="1" si="223"/>
        <v>0</v>
      </c>
      <c r="S512" s="360">
        <f t="shared" ca="1" si="224"/>
        <v>8.3819999999999997</v>
      </c>
      <c r="T512" s="357">
        <f t="shared" ca="1" si="204"/>
        <v>82.227419999999995</v>
      </c>
      <c r="U512" s="364">
        <f t="shared" ca="1" si="205"/>
        <v>0</v>
      </c>
      <c r="V512" s="359">
        <f t="shared" ca="1" si="206"/>
        <v>1.0680909579272964</v>
      </c>
      <c r="W512" s="357">
        <f t="shared" ca="1" si="207"/>
        <v>3.5987788297944112</v>
      </c>
      <c r="X512" s="343"/>
      <c r="Y512" s="367" t="str">
        <f t="shared" ca="1" si="225"/>
        <v/>
      </c>
      <c r="Z512" s="368" t="str">
        <f t="shared" ca="1" si="226"/>
        <v/>
      </c>
      <c r="AA512" s="369" t="str">
        <f t="shared" ca="1" si="227"/>
        <v/>
      </c>
      <c r="AB512" s="344"/>
      <c r="AC512" s="363" t="e">
        <f t="shared" ca="1" si="228"/>
        <v>#N/A</v>
      </c>
      <c r="AD512" s="376" t="e">
        <f t="shared" ca="1" si="229"/>
        <v>#N/A</v>
      </c>
      <c r="AE512" s="377" t="e">
        <f t="shared" ca="1" si="208"/>
        <v>#N/A</v>
      </c>
      <c r="AF512" s="344"/>
      <c r="AG512" s="359">
        <f t="shared" ca="1" si="230"/>
        <v>-6.3719824637878304</v>
      </c>
      <c r="AH512" s="357">
        <f t="shared" ca="1" si="231"/>
        <v>-0.44473130878129957</v>
      </c>
    </row>
    <row r="513" spans="1:34" x14ac:dyDescent="0.2">
      <c r="A513" s="402">
        <f t="shared" ca="1" si="209"/>
        <v>0.1</v>
      </c>
      <c r="B513" s="357">
        <f t="shared" ca="1" si="210"/>
        <v>14.89999999999992</v>
      </c>
      <c r="C513" s="342"/>
      <c r="D513" s="359">
        <f t="shared" ca="1" si="211"/>
        <v>-0.3477264967838572</v>
      </c>
      <c r="E513" s="360">
        <f t="shared" ca="1" si="212"/>
        <v>-10.061841891944182</v>
      </c>
      <c r="F513" s="357">
        <f t="shared" ca="1" si="213"/>
        <v>10.067848626943515</v>
      </c>
      <c r="G513" s="359">
        <f t="shared" ca="1" si="214"/>
        <v>28.810444199777798</v>
      </c>
      <c r="H513" s="360">
        <f t="shared" ca="1" si="215"/>
        <v>19.885045130677362</v>
      </c>
      <c r="I513" s="357">
        <f t="shared" ca="1" si="216"/>
        <v>35.006523889663562</v>
      </c>
      <c r="J513" s="359">
        <f t="shared" ca="1" si="217"/>
        <v>466.69678785970979</v>
      </c>
      <c r="K513" s="360">
        <f t="shared" ca="1" si="218"/>
        <v>1370.576259045082</v>
      </c>
      <c r="L513" s="357">
        <f t="shared" ca="1" si="203"/>
        <v>1447.8553704208796</v>
      </c>
      <c r="M513" s="359">
        <f t="shared" ca="1" si="219"/>
        <v>0.60412025731033148</v>
      </c>
      <c r="N513" s="357">
        <f t="shared" ca="1" si="220"/>
        <v>34.613541062239314</v>
      </c>
      <c r="O513" s="343"/>
      <c r="P513" s="363">
        <f t="shared" ca="1" si="221"/>
        <v>23</v>
      </c>
      <c r="Q513" s="357">
        <f t="shared" ca="1" si="222"/>
        <v>0</v>
      </c>
      <c r="R513" s="359">
        <f t="shared" ca="1" si="223"/>
        <v>0</v>
      </c>
      <c r="S513" s="360">
        <f t="shared" ca="1" si="224"/>
        <v>8.3819999999999997</v>
      </c>
      <c r="T513" s="357">
        <f t="shared" ca="1" si="204"/>
        <v>82.227419999999995</v>
      </c>
      <c r="U513" s="364">
        <f t="shared" ca="1" si="205"/>
        <v>0</v>
      </c>
      <c r="V513" s="359">
        <f t="shared" ca="1" si="206"/>
        <v>1.0678721905316326</v>
      </c>
      <c r="W513" s="357">
        <f t="shared" ca="1" si="207"/>
        <v>3.4759788409618122</v>
      </c>
      <c r="X513" s="343"/>
      <c r="Y513" s="367" t="str">
        <f t="shared" ca="1" si="225"/>
        <v/>
      </c>
      <c r="Z513" s="368" t="str">
        <f t="shared" ca="1" si="226"/>
        <v/>
      </c>
      <c r="AA513" s="369" t="str">
        <f t="shared" ca="1" si="227"/>
        <v/>
      </c>
      <c r="AB513" s="344"/>
      <c r="AC513" s="363" t="e">
        <f t="shared" ca="1" si="228"/>
        <v>#N/A</v>
      </c>
      <c r="AD513" s="376" t="e">
        <f t="shared" ca="1" si="229"/>
        <v>#N/A</v>
      </c>
      <c r="AE513" s="377" t="e">
        <f t="shared" ca="1" si="208"/>
        <v>#N/A</v>
      </c>
      <c r="AF513" s="344"/>
      <c r="AG513" s="359">
        <f t="shared" ca="1" si="230"/>
        <v>-6.1836060655159644</v>
      </c>
      <c r="AH513" s="357">
        <f t="shared" ca="1" si="231"/>
        <v>-0.42934607847702355</v>
      </c>
    </row>
    <row r="514" spans="1:34" x14ac:dyDescent="0.2">
      <c r="A514" s="402">
        <f t="shared" ca="1" si="209"/>
        <v>0.1</v>
      </c>
      <c r="B514" s="357">
        <f t="shared" ca="1" si="210"/>
        <v>14.99999999999992</v>
      </c>
      <c r="C514" s="342"/>
      <c r="D514" s="359">
        <f t="shared" ca="1" si="211"/>
        <v>-0.34129539931768188</v>
      </c>
      <c r="E514" s="360">
        <f t="shared" ca="1" si="212"/>
        <v>-10.045562991367451</v>
      </c>
      <c r="F514" s="357">
        <f t="shared" ca="1" si="213"/>
        <v>10.051359030654849</v>
      </c>
      <c r="G514" s="359">
        <f t="shared" ca="1" si="214"/>
        <v>28.77631465984603</v>
      </c>
      <c r="H514" s="360">
        <f t="shared" ca="1" si="215"/>
        <v>18.880488831540617</v>
      </c>
      <c r="I514" s="357">
        <f t="shared" ca="1" si="216"/>
        <v>34.417279728653739</v>
      </c>
      <c r="J514" s="359">
        <f t="shared" ca="1" si="217"/>
        <v>469.57612580269097</v>
      </c>
      <c r="K514" s="360">
        <f t="shared" ca="1" si="218"/>
        <v>1372.5145357431929</v>
      </c>
      <c r="L514" s="357">
        <f t="shared" ca="1" si="203"/>
        <v>1450.6198291593207</v>
      </c>
      <c r="M514" s="359">
        <f t="shared" ca="1" si="219"/>
        <v>0.58065997299327687</v>
      </c>
      <c r="N514" s="357">
        <f t="shared" ca="1" si="220"/>
        <v>33.269365784695125</v>
      </c>
      <c r="O514" s="343"/>
      <c r="P514" s="363">
        <f t="shared" ca="1" si="221"/>
        <v>23</v>
      </c>
      <c r="Q514" s="357">
        <f t="shared" ca="1" si="222"/>
        <v>0</v>
      </c>
      <c r="R514" s="359">
        <f t="shared" ca="1" si="223"/>
        <v>0</v>
      </c>
      <c r="S514" s="360">
        <f t="shared" ca="1" si="224"/>
        <v>8.3819999999999997</v>
      </c>
      <c r="T514" s="357">
        <f t="shared" ca="1" si="204"/>
        <v>82.227419999999995</v>
      </c>
      <c r="U514" s="364">
        <f t="shared" ca="1" si="205"/>
        <v>0</v>
      </c>
      <c r="V514" s="359">
        <f t="shared" ca="1" si="206"/>
        <v>1.0676642495927589</v>
      </c>
      <c r="W514" s="357">
        <f t="shared" ca="1" si="207"/>
        <v>3.3592912245848905</v>
      </c>
      <c r="X514" s="343"/>
      <c r="Y514" s="367" t="str">
        <f t="shared" ca="1" si="225"/>
        <v/>
      </c>
      <c r="Z514" s="368" t="str">
        <f t="shared" ca="1" si="226"/>
        <v/>
      </c>
      <c r="AA514" s="369" t="str">
        <f t="shared" ca="1" si="227"/>
        <v/>
      </c>
      <c r="AB514" s="344"/>
      <c r="AC514" s="363">
        <f t="shared" ca="1" si="228"/>
        <v>14.99999999999992</v>
      </c>
      <c r="AD514" s="376">
        <f t="shared" ca="1" si="229"/>
        <v>469.57612580269097</v>
      </c>
      <c r="AE514" s="377" t="e">
        <f t="shared" ca="1" si="208"/>
        <v>#N/A</v>
      </c>
      <c r="AF514" s="344"/>
      <c r="AG514" s="359">
        <f t="shared" ca="1" si="230"/>
        <v>-5.9871510283251173</v>
      </c>
      <c r="AH514" s="357">
        <f t="shared" ca="1" si="231"/>
        <v>-0.414695638387236</v>
      </c>
    </row>
    <row r="515" spans="1:34" x14ac:dyDescent="0.2">
      <c r="A515" s="402">
        <f t="shared" ca="1" si="209"/>
        <v>0.1</v>
      </c>
      <c r="B515" s="357">
        <f t="shared" ca="1" si="210"/>
        <v>15.09999999999992</v>
      </c>
      <c r="C515" s="342"/>
      <c r="D515" s="359">
        <f t="shared" ca="1" si="211"/>
        <v>-0.33508781148746919</v>
      </c>
      <c r="E515" s="360">
        <f t="shared" ca="1" si="212"/>
        <v>-10.029855174547512</v>
      </c>
      <c r="F515" s="357">
        <f t="shared" ca="1" si="213"/>
        <v>10.035451094186298</v>
      </c>
      <c r="G515" s="359">
        <f t="shared" ca="1" si="214"/>
        <v>28.742805878697283</v>
      </c>
      <c r="H515" s="360">
        <f t="shared" ca="1" si="215"/>
        <v>17.877503314085867</v>
      </c>
      <c r="I515" s="357">
        <f t="shared" ca="1" si="216"/>
        <v>33.848988382603494</v>
      </c>
      <c r="J515" s="359">
        <f t="shared" ca="1" si="217"/>
        <v>472.45208182961812</v>
      </c>
      <c r="K515" s="360">
        <f t="shared" ca="1" si="218"/>
        <v>1374.3524353504743</v>
      </c>
      <c r="L515" s="357">
        <f t="shared" ca="1" si="203"/>
        <v>1453.2912943312224</v>
      </c>
      <c r="M515" s="359">
        <f t="shared" ca="1" si="219"/>
        <v>0.55642600914854323</v>
      </c>
      <c r="N515" s="357">
        <f t="shared" ca="1" si="220"/>
        <v>31.88086193551926</v>
      </c>
      <c r="O515" s="343"/>
      <c r="P515" s="363">
        <f t="shared" ca="1" si="221"/>
        <v>23</v>
      </c>
      <c r="Q515" s="357">
        <f t="shared" ca="1" si="222"/>
        <v>0</v>
      </c>
      <c r="R515" s="359">
        <f t="shared" ca="1" si="223"/>
        <v>0</v>
      </c>
      <c r="S515" s="360">
        <f t="shared" ca="1" si="224"/>
        <v>8.3819999999999997</v>
      </c>
      <c r="T515" s="357">
        <f t="shared" ca="1" si="204"/>
        <v>82.227419999999995</v>
      </c>
      <c r="U515" s="364">
        <f t="shared" ca="1" si="205"/>
        <v>0</v>
      </c>
      <c r="V515" s="359">
        <f t="shared" ca="1" si="206"/>
        <v>1.0674671120777539</v>
      </c>
      <c r="W515" s="357">
        <f t="shared" ca="1" si="207"/>
        <v>3.2486712324722045</v>
      </c>
      <c r="X515" s="343"/>
      <c r="Y515" s="367" t="str">
        <f t="shared" ca="1" si="225"/>
        <v/>
      </c>
      <c r="Z515" s="368" t="str">
        <f t="shared" ca="1" si="226"/>
        <v/>
      </c>
      <c r="AA515" s="369" t="str">
        <f t="shared" ca="1" si="227"/>
        <v/>
      </c>
      <c r="AB515" s="344"/>
      <c r="AC515" s="363" t="e">
        <f t="shared" ca="1" si="228"/>
        <v>#N/A</v>
      </c>
      <c r="AD515" s="376" t="e">
        <f t="shared" ca="1" si="229"/>
        <v>#N/A</v>
      </c>
      <c r="AE515" s="377" t="e">
        <f t="shared" ca="1" si="208"/>
        <v>#N/A</v>
      </c>
      <c r="AF515" s="344"/>
      <c r="AG515" s="359">
        <f t="shared" ca="1" si="230"/>
        <v>-5.7823036124895175</v>
      </c>
      <c r="AH515" s="357">
        <f t="shared" ca="1" si="231"/>
        <v>-0.40077442431220361</v>
      </c>
    </row>
    <row r="516" spans="1:34" x14ac:dyDescent="0.2">
      <c r="A516" s="402">
        <f t="shared" ca="1" si="209"/>
        <v>0.1</v>
      </c>
      <c r="B516" s="357">
        <f t="shared" ca="1" si="210"/>
        <v>15.199999999999919</v>
      </c>
      <c r="C516" s="342"/>
      <c r="D516" s="359">
        <f t="shared" ca="1" si="211"/>
        <v>-0.32911037561184608</v>
      </c>
      <c r="E516" s="360">
        <f t="shared" ca="1" si="212"/>
        <v>-10.014700677294053</v>
      </c>
      <c r="F516" s="357">
        <f t="shared" ca="1" si="213"/>
        <v>10.020106950283981</v>
      </c>
      <c r="G516" s="359">
        <f t="shared" ca="1" si="214"/>
        <v>28.709894841136098</v>
      </c>
      <c r="H516" s="360">
        <f t="shared" ca="1" si="215"/>
        <v>16.876033246356464</v>
      </c>
      <c r="I516" s="357">
        <f t="shared" ca="1" si="216"/>
        <v>33.302530833575126</v>
      </c>
      <c r="J516" s="359">
        <f t="shared" ca="1" si="217"/>
        <v>475.32471686560979</v>
      </c>
      <c r="K516" s="360">
        <f t="shared" ca="1" si="218"/>
        <v>1376.0901121784964</v>
      </c>
      <c r="L516" s="357">
        <f t="shared" ref="L516:L579" ca="1" si="232">SQRT(pos_x^2+pos_z^2)</f>
        <v>1455.870043410056</v>
      </c>
      <c r="M516" s="359">
        <f t="shared" ca="1" si="219"/>
        <v>0.53140985555446563</v>
      </c>
      <c r="N516" s="357">
        <f t="shared" ca="1" si="220"/>
        <v>30.447541914927587</v>
      </c>
      <c r="O516" s="343"/>
      <c r="P516" s="363">
        <f t="shared" ca="1" si="221"/>
        <v>23</v>
      </c>
      <c r="Q516" s="357">
        <f t="shared" ca="1" si="222"/>
        <v>0</v>
      </c>
      <c r="R516" s="359">
        <f t="shared" ca="1" si="223"/>
        <v>0</v>
      </c>
      <c r="S516" s="360">
        <f t="shared" ca="1" si="224"/>
        <v>8.3819999999999997</v>
      </c>
      <c r="T516" s="357">
        <f t="shared" ref="T516:T579" ca="1" si="233">m*g</f>
        <v>82.227419999999995</v>
      </c>
      <c r="U516" s="364">
        <f t="shared" ref="U516:U579" ca="1" si="234">IF(pos_xz&lt;L_rampe,Poids*COS(Beta),0)</f>
        <v>0</v>
      </c>
      <c r="V516" s="359">
        <f t="shared" ref="V516:V579" ca="1" si="235">Rho_moyen*(20000-Alt_rampe-pos_z)/(20000+Alt_rampe+pos_z)</f>
        <v>1.0672807558751576</v>
      </c>
      <c r="W516" s="357">
        <f t="shared" ref="W516:W579" ca="1" si="236">1/2*Rho*Sref*Cx*vit_xz^2</f>
        <v>3.1440759487663885</v>
      </c>
      <c r="X516" s="343"/>
      <c r="Y516" s="367" t="str">
        <f t="shared" ca="1" si="225"/>
        <v/>
      </c>
      <c r="Z516" s="368" t="str">
        <f t="shared" ca="1" si="226"/>
        <v/>
      </c>
      <c r="AA516" s="369" t="str">
        <f t="shared" ca="1" si="227"/>
        <v/>
      </c>
      <c r="AB516" s="344"/>
      <c r="AC516" s="363" t="e">
        <f t="shared" ca="1" si="228"/>
        <v>#N/A</v>
      </c>
      <c r="AD516" s="376" t="e">
        <f t="shared" ca="1" si="229"/>
        <v>#N/A</v>
      </c>
      <c r="AE516" s="377" t="e">
        <f t="shared" ref="AE516:AE579" ca="1" si="237">IF(t&lt;T_para, pos_z, NA())</f>
        <v>#N/A</v>
      </c>
      <c r="AF516" s="344"/>
      <c r="AG516" s="359">
        <f t="shared" ca="1" si="230"/>
        <v>-5.5687749972361384</v>
      </c>
      <c r="AH516" s="357">
        <f t="shared" ca="1" si="231"/>
        <v>-0.38757709764640952</v>
      </c>
    </row>
    <row r="517" spans="1:34" x14ac:dyDescent="0.2">
      <c r="A517" s="402">
        <f t="shared" ref="A517:A580" ca="1" si="238">IF(B516+0.01&lt;=T_ini+ROUNDUP(Temps_fin_propu,0), 0.01, IF(K516&gt;0, 0.1, 0.0001))</f>
        <v>0.1</v>
      </c>
      <c r="B517" s="357">
        <f t="shared" ref="B517:B580" ca="1" si="239">B516+pas</f>
        <v>15.299999999999919</v>
      </c>
      <c r="C517" s="342"/>
      <c r="D517" s="359">
        <f t="shared" ref="D517:D580" ca="1" si="240">IF(AND(L516&lt;L_rampe,Poussee&lt;Poids*SIN(M516)),0,(-W516+Poussee)/m*COS(M516)-U516/m*SIN(M516))</f>
        <v>-0.32337000590116971</v>
      </c>
      <c r="E517" s="360">
        <f t="shared" ref="E517:E580" ca="1" si="241">IF(AND(L516&lt;L_rampe,Poussee&lt;Poids*SIN(M516)),0,(-W516+Poussee)/m*SIN(M516)+U516/m*COS(M516)-Poids/m)</f>
        <v>-10.000080911151352</v>
      </c>
      <c r="F517" s="357">
        <f t="shared" ref="F517:F580" ca="1" si="242">SQRT(acc_x^2+acc_z^2)</f>
        <v>10.005307910818647</v>
      </c>
      <c r="G517" s="359">
        <f t="shared" ref="G517:G580" ca="1" si="243">G516+acc_x*pas</f>
        <v>28.67755784054598</v>
      </c>
      <c r="H517" s="360">
        <f t="shared" ref="H517:H580" ca="1" si="244">H516+acc_z*pas</f>
        <v>15.876025155241329</v>
      </c>
      <c r="I517" s="357">
        <f t="shared" ref="I517:I580" ca="1" si="245">SQRT(vit_x^2+vit_z^2)</f>
        <v>32.778811729953176</v>
      </c>
      <c r="J517" s="359">
        <f t="shared" ref="J517:J580" ca="1" si="246">J516+0.5*(vit_x+G516)*pas*(K516&gt;=0)</f>
        <v>478.19408949969392</v>
      </c>
      <c r="K517" s="360">
        <f t="shared" ref="K517:K580" ca="1" si="247">K516+0.5*(vit_z+H516)*pas</f>
        <v>1377.7277150985763</v>
      </c>
      <c r="L517" s="357">
        <f t="shared" ca="1" si="232"/>
        <v>1458.3563502049783</v>
      </c>
      <c r="M517" s="359">
        <f t="shared" ref="M517:M580" ca="1" si="248">IF(AND(L516&gt;L_rampe,G517&gt;0),ATAN2(G517,H517),$M$4)</f>
        <v>0.50560637093926386</v>
      </c>
      <c r="N517" s="357">
        <f t="shared" ref="N517:N580" ca="1" si="249">DEGREES(Beta)</f>
        <v>28.969111149745775</v>
      </c>
      <c r="O517" s="343"/>
      <c r="P517" s="363">
        <f t="shared" ref="P517:P580" ca="1" si="250">MATCH(t-pas/2-T_ini,CdP_t)</f>
        <v>23</v>
      </c>
      <c r="Q517" s="357">
        <f t="shared" ref="Q517:Q580" ca="1" si="251">(INDEX(CdP,2,i_P+1)-INDEX(CdP,2,i_P+0))/(INDEX(CdP,1,i_P+1)-INDEX(CdP,1,i_P+0))*(t-pas/2-T_ini-INDEX(CdP,1,i_P+0))+INDEX(CdP,2,i_P+0)</f>
        <v>0</v>
      </c>
      <c r="R517" s="359">
        <f t="shared" ref="R517:R580" ca="1" si="252">Poussee/(g*ISP)</f>
        <v>0</v>
      </c>
      <c r="S517" s="360">
        <f t="shared" ref="S517:S580" ca="1" si="253">S516-Débit*pas</f>
        <v>8.3819999999999997</v>
      </c>
      <c r="T517" s="357">
        <f t="shared" ca="1" si="233"/>
        <v>82.227419999999995</v>
      </c>
      <c r="U517" s="364">
        <f t="shared" ca="1" si="234"/>
        <v>0</v>
      </c>
      <c r="V517" s="359">
        <f t="shared" ca="1" si="235"/>
        <v>1.0671051597730135</v>
      </c>
      <c r="W517" s="357">
        <f t="shared" ca="1" si="236"/>
        <v>3.045464230680933</v>
      </c>
      <c r="X517" s="343"/>
      <c r="Y517" s="367" t="str">
        <f t="shared" ref="Y517:Y580" ca="1" si="254">IF(AND(pos_z&lt;=0,K516&gt;0),"Impact balistique","") &amp; IF(AND(H518&lt;0,vit_z&gt;=0),"Apogée","") &amp; IF(AND(Poussee=0,Q516&gt;0),"Fin de propulsion","") &amp; IF(AND(L518&gt;L_rampe,pos_xz&lt;=L_rampe),"Sortie de rampe","")</f>
        <v/>
      </c>
      <c r="Z517" s="368" t="str">
        <f t="shared" ref="Z517:Z580" ca="1" si="255">IF(ABS(t-T_para)&lt;pas/2,"Para","")</f>
        <v/>
      </c>
      <c r="AA517" s="369" t="str">
        <f t="shared" ref="AA517:AA580" ca="1" si="256">IF(ABS(t-T_satellite)&lt;pas/2,"Satellite","")</f>
        <v/>
      </c>
      <c r="AB517" s="344"/>
      <c r="AC517" s="363" t="e">
        <f t="shared" ref="AC517:AC580" ca="1" si="257">IF(ABS(t-ROUND(t,0))&lt;0.001,t,NA())</f>
        <v>#N/A</v>
      </c>
      <c r="AD517" s="376" t="e">
        <f t="shared" ref="AD517:AD580" ca="1" si="258">IF(ABS(t-ROUND(t,0))&lt;0.001,pos_x,NA())</f>
        <v>#N/A</v>
      </c>
      <c r="AE517" s="377" t="e">
        <f t="shared" ca="1" si="237"/>
        <v>#N/A</v>
      </c>
      <c r="AF517" s="344"/>
      <c r="AG517" s="359">
        <f t="shared" ref="AG517:AG580" ca="1" si="259">IF(AND(L516&lt;L_rampe,Poussee&lt;Poids*SIN(M516)),0,(-W516+Poussee)/m-Poids*SIN(M516)/m)</f>
        <v>-5.3463088939637586</v>
      </c>
      <c r="AH517" s="357">
        <f t="shared" ref="AH517:AH580" ca="1" si="260">IF(AND(L516&lt;L_rampe,Poussee&lt;Poids*SIN(M516)), g*SIN(M516), (-W516+Poussee)/m)</f>
        <v>-0.37509853838778201</v>
      </c>
    </row>
    <row r="518" spans="1:34" x14ac:dyDescent="0.2">
      <c r="A518" s="402">
        <f t="shared" ca="1" si="238"/>
        <v>0.1</v>
      </c>
      <c r="B518" s="357">
        <f t="shared" ca="1" si="239"/>
        <v>15.399999999999919</v>
      </c>
      <c r="C518" s="342"/>
      <c r="D518" s="359">
        <f t="shared" ca="1" si="240"/>
        <v>-0.31787385224474302</v>
      </c>
      <c r="E518" s="360">
        <f t="shared" ca="1" si="241"/>
        <v>-9.9859763959850127</v>
      </c>
      <c r="F518" s="357">
        <f t="shared" ca="1" si="242"/>
        <v>9.9910343992557014</v>
      </c>
      <c r="G518" s="359">
        <f t="shared" ca="1" si="243"/>
        <v>28.645770455321504</v>
      </c>
      <c r="H518" s="360">
        <f t="shared" ca="1" si="244"/>
        <v>14.877427515642829</v>
      </c>
      <c r="I518" s="357">
        <f t="shared" ca="1" si="245"/>
        <v>32.278754846836591</v>
      </c>
      <c r="J518" s="359">
        <f t="shared" ca="1" si="246"/>
        <v>481.0602559144873</v>
      </c>
      <c r="K518" s="360">
        <f t="shared" ca="1" si="247"/>
        <v>1379.2653877321204</v>
      </c>
      <c r="L518" s="357">
        <f t="shared" ca="1" si="232"/>
        <v>1460.7504850645605</v>
      </c>
      <c r="M518" s="359">
        <f t="shared" ca="1" si="248"/>
        <v>0.47901428668731516</v>
      </c>
      <c r="N518" s="357">
        <f t="shared" ca="1" si="249"/>
        <v>27.445496953652814</v>
      </c>
      <c r="O518" s="343"/>
      <c r="P518" s="363">
        <f t="shared" ca="1" si="250"/>
        <v>23</v>
      </c>
      <c r="Q518" s="357">
        <f t="shared" ca="1" si="251"/>
        <v>0</v>
      </c>
      <c r="R518" s="359">
        <f t="shared" ca="1" si="252"/>
        <v>0</v>
      </c>
      <c r="S518" s="360">
        <f t="shared" ca="1" si="253"/>
        <v>8.3819999999999997</v>
      </c>
      <c r="T518" s="357">
        <f t="shared" ca="1" si="233"/>
        <v>82.227419999999995</v>
      </c>
      <c r="U518" s="364">
        <f t="shared" ca="1" si="234"/>
        <v>0</v>
      </c>
      <c r="V518" s="359">
        <f t="shared" ca="1" si="235"/>
        <v>1.0669403034361158</v>
      </c>
      <c r="W518" s="357">
        <f t="shared" ca="1" si="236"/>
        <v>2.9527966483833916</v>
      </c>
      <c r="X518" s="343"/>
      <c r="Y518" s="367" t="str">
        <f t="shared" ca="1" si="254"/>
        <v/>
      </c>
      <c r="Z518" s="368" t="str">
        <f t="shared" ca="1" si="255"/>
        <v/>
      </c>
      <c r="AA518" s="369" t="str">
        <f t="shared" ca="1" si="256"/>
        <v/>
      </c>
      <c r="AB518" s="344"/>
      <c r="AC518" s="363" t="e">
        <f t="shared" ca="1" si="257"/>
        <v>#N/A</v>
      </c>
      <c r="AD518" s="376" t="e">
        <f t="shared" ca="1" si="258"/>
        <v>#N/A</v>
      </c>
      <c r="AE518" s="377" t="e">
        <f t="shared" ca="1" si="237"/>
        <v>#N/A</v>
      </c>
      <c r="AF518" s="344"/>
      <c r="AG518" s="359">
        <f t="shared" ca="1" si="259"/>
        <v>-5.114689929191325</v>
      </c>
      <c r="AH518" s="357">
        <f t="shared" ca="1" si="260"/>
        <v>-0.36333383806739838</v>
      </c>
    </row>
    <row r="519" spans="1:34" x14ac:dyDescent="0.2">
      <c r="A519" s="402">
        <f t="shared" ca="1" si="238"/>
        <v>0.1</v>
      </c>
      <c r="B519" s="357">
        <f t="shared" ca="1" si="239"/>
        <v>15.499999999999918</v>
      </c>
      <c r="C519" s="342"/>
      <c r="D519" s="359">
        <f t="shared" ca="1" si="240"/>
        <v>-0.3126292557890436</v>
      </c>
      <c r="E519" s="360">
        <f t="shared" ca="1" si="241"/>
        <v>-9.9723666956182999</v>
      </c>
      <c r="F519" s="357">
        <f t="shared" ca="1" si="242"/>
        <v>9.9772658861760455</v>
      </c>
      <c r="G519" s="359">
        <f t="shared" ca="1" si="243"/>
        <v>28.6145075297426</v>
      </c>
      <c r="H519" s="360">
        <f t="shared" ca="1" si="244"/>
        <v>13.880190846081</v>
      </c>
      <c r="I519" s="357">
        <f t="shared" ca="1" si="245"/>
        <v>31.803297613507418</v>
      </c>
      <c r="J519" s="359">
        <f t="shared" ca="1" si="246"/>
        <v>483.92326981374049</v>
      </c>
      <c r="K519" s="360">
        <f t="shared" ca="1" si="247"/>
        <v>1380.7032686502066</v>
      </c>
      <c r="L519" s="357">
        <f t="shared" ca="1" si="232"/>
        <v>1463.0527150887581</v>
      </c>
      <c r="M519" s="359">
        <f t="shared" ca="1" si="248"/>
        <v>0.45163672020192658</v>
      </c>
      <c r="N519" s="357">
        <f t="shared" ca="1" si="249"/>
        <v>25.876877940701238</v>
      </c>
      <c r="O519" s="343"/>
      <c r="P519" s="363">
        <f t="shared" ca="1" si="250"/>
        <v>23</v>
      </c>
      <c r="Q519" s="357">
        <f t="shared" ca="1" si="251"/>
        <v>0</v>
      </c>
      <c r="R519" s="359">
        <f t="shared" ca="1" si="252"/>
        <v>0</v>
      </c>
      <c r="S519" s="360">
        <f t="shared" ca="1" si="253"/>
        <v>8.3819999999999997</v>
      </c>
      <c r="T519" s="357">
        <f t="shared" ca="1" si="233"/>
        <v>82.227419999999995</v>
      </c>
      <c r="U519" s="364">
        <f t="shared" ca="1" si="234"/>
        <v>0</v>
      </c>
      <c r="V519" s="359">
        <f t="shared" ca="1" si="235"/>
        <v>1.0667861673823904</v>
      </c>
      <c r="W519" s="357">
        <f t="shared" ca="1" si="236"/>
        <v>2.8660354238447376</v>
      </c>
      <c r="X519" s="343"/>
      <c r="Y519" s="367" t="str">
        <f t="shared" ca="1" si="254"/>
        <v/>
      </c>
      <c r="Z519" s="368" t="str">
        <f t="shared" ca="1" si="255"/>
        <v/>
      </c>
      <c r="AA519" s="369" t="str">
        <f t="shared" ca="1" si="256"/>
        <v/>
      </c>
      <c r="AB519" s="344"/>
      <c r="AC519" s="363" t="e">
        <f t="shared" ca="1" si="257"/>
        <v>#N/A</v>
      </c>
      <c r="AD519" s="376" t="e">
        <f t="shared" ca="1" si="258"/>
        <v>#N/A</v>
      </c>
      <c r="AE519" s="377" t="e">
        <f t="shared" ca="1" si="237"/>
        <v>#N/A</v>
      </c>
      <c r="AF519" s="344"/>
      <c r="AG519" s="359">
        <f t="shared" ca="1" si="259"/>
        <v>-4.8737526995357578</v>
      </c>
      <c r="AH519" s="357">
        <f t="shared" ca="1" si="260"/>
        <v>-0.35227829257735527</v>
      </c>
    </row>
    <row r="520" spans="1:34" x14ac:dyDescent="0.2">
      <c r="A520" s="402">
        <f t="shared" ca="1" si="238"/>
        <v>0.1</v>
      </c>
      <c r="B520" s="357">
        <f t="shared" ca="1" si="239"/>
        <v>15.599999999999918</v>
      </c>
      <c r="C520" s="342"/>
      <c r="D520" s="359">
        <f t="shared" ca="1" si="240"/>
        <v>-0.30764369576345374</v>
      </c>
      <c r="E520" s="360">
        <f t="shared" ca="1" si="241"/>
        <v>-9.9592303582492878</v>
      </c>
      <c r="F520" s="357">
        <f t="shared" ca="1" si="242"/>
        <v>9.9639808295789702</v>
      </c>
      <c r="G520" s="359">
        <f t="shared" ca="1" si="243"/>
        <v>28.583743160166254</v>
      </c>
      <c r="H520" s="360">
        <f t="shared" ca="1" si="244"/>
        <v>12.884267810256071</v>
      </c>
      <c r="I520" s="357">
        <f t="shared" ca="1" si="245"/>
        <v>31.353384666615373</v>
      </c>
      <c r="J520" s="359">
        <f t="shared" ca="1" si="246"/>
        <v>486.78318234823593</v>
      </c>
      <c r="K520" s="360">
        <f t="shared" ca="1" si="247"/>
        <v>1382.0414915830236</v>
      </c>
      <c r="L520" s="357">
        <f t="shared" ca="1" si="232"/>
        <v>1465.2633043498033</v>
      </c>
      <c r="M520" s="359">
        <f t="shared" ca="1" si="248"/>
        <v>0.42348168474143089</v>
      </c>
      <c r="N520" s="357">
        <f t="shared" ca="1" si="249"/>
        <v>24.263713236773661</v>
      </c>
      <c r="O520" s="343"/>
      <c r="P520" s="363">
        <f t="shared" ca="1" si="250"/>
        <v>23</v>
      </c>
      <c r="Q520" s="357">
        <f t="shared" ca="1" si="251"/>
        <v>0</v>
      </c>
      <c r="R520" s="359">
        <f t="shared" ca="1" si="252"/>
        <v>0</v>
      </c>
      <c r="S520" s="360">
        <f t="shared" ca="1" si="253"/>
        <v>8.3819999999999997</v>
      </c>
      <c r="T520" s="357">
        <f t="shared" ca="1" si="233"/>
        <v>82.227419999999995</v>
      </c>
      <c r="U520" s="364">
        <f t="shared" ca="1" si="234"/>
        <v>0</v>
      </c>
      <c r="V520" s="359">
        <f t="shared" ca="1" si="235"/>
        <v>1.066642732958343</v>
      </c>
      <c r="W520" s="357">
        <f t="shared" ca="1" si="236"/>
        <v>2.7851443684846342</v>
      </c>
      <c r="X520" s="343"/>
      <c r="Y520" s="367" t="str">
        <f t="shared" ca="1" si="254"/>
        <v/>
      </c>
      <c r="Z520" s="368" t="str">
        <f t="shared" ca="1" si="255"/>
        <v/>
      </c>
      <c r="AA520" s="369" t="str">
        <f t="shared" ca="1" si="256"/>
        <v/>
      </c>
      <c r="AB520" s="344"/>
      <c r="AC520" s="363" t="e">
        <f t="shared" ca="1" si="257"/>
        <v>#N/A</v>
      </c>
      <c r="AD520" s="376" t="e">
        <f t="shared" ca="1" si="258"/>
        <v>#N/A</v>
      </c>
      <c r="AE520" s="377" t="e">
        <f t="shared" ca="1" si="237"/>
        <v>#N/A</v>
      </c>
      <c r="AF520" s="344"/>
      <c r="AG520" s="359">
        <f t="shared" ca="1" si="259"/>
        <v>-4.6233913441427177</v>
      </c>
      <c r="AH520" s="357">
        <f t="shared" ca="1" si="260"/>
        <v>-0.34192739487529678</v>
      </c>
    </row>
    <row r="521" spans="1:34" x14ac:dyDescent="0.2">
      <c r="A521" s="402">
        <f t="shared" ca="1" si="238"/>
        <v>0.1</v>
      </c>
      <c r="B521" s="357">
        <f t="shared" ca="1" si="239"/>
        <v>15.699999999999918</v>
      </c>
      <c r="C521" s="342"/>
      <c r="D521" s="359">
        <f t="shared" ca="1" si="240"/>
        <v>-0.30292472719037894</v>
      </c>
      <c r="E521" s="360">
        <f t="shared" ca="1" si="241"/>
        <v>-9.9465448636170475</v>
      </c>
      <c r="F521" s="357">
        <f t="shared" ca="1" si="242"/>
        <v>9.9511566219354641</v>
      </c>
      <c r="G521" s="359">
        <f t="shared" ca="1" si="243"/>
        <v>28.553450687447217</v>
      </c>
      <c r="H521" s="360">
        <f t="shared" ca="1" si="244"/>
        <v>11.889613323894366</v>
      </c>
      <c r="I521" s="357">
        <f t="shared" ca="1" si="245"/>
        <v>30.929960413039755</v>
      </c>
      <c r="J521" s="359">
        <f t="shared" ca="1" si="246"/>
        <v>489.64004204061661</v>
      </c>
      <c r="K521" s="360">
        <f t="shared" ca="1" si="247"/>
        <v>1383.2801856397311</v>
      </c>
      <c r="L521" s="357">
        <f t="shared" ca="1" si="232"/>
        <v>1467.3825141226898</v>
      </c>
      <c r="M521" s="359">
        <f t="shared" ca="1" si="248"/>
        <v>0.39456257964923225</v>
      </c>
      <c r="N521" s="357">
        <f t="shared" ca="1" si="249"/>
        <v>22.606770567695392</v>
      </c>
      <c r="O521" s="343"/>
      <c r="P521" s="363">
        <f t="shared" ca="1" si="250"/>
        <v>23</v>
      </c>
      <c r="Q521" s="357">
        <f t="shared" ca="1" si="251"/>
        <v>0</v>
      </c>
      <c r="R521" s="359">
        <f t="shared" ca="1" si="252"/>
        <v>0</v>
      </c>
      <c r="S521" s="360">
        <f t="shared" ca="1" si="253"/>
        <v>8.3819999999999997</v>
      </c>
      <c r="T521" s="357">
        <f t="shared" ca="1" si="233"/>
        <v>82.227419999999995</v>
      </c>
      <c r="U521" s="364">
        <f t="shared" ca="1" si="234"/>
        <v>0</v>
      </c>
      <c r="V521" s="359">
        <f t="shared" ca="1" si="235"/>
        <v>1.066509982313504</v>
      </c>
      <c r="W521" s="357">
        <f t="shared" ca="1" si="236"/>
        <v>2.7100888194565549</v>
      </c>
      <c r="X521" s="343"/>
      <c r="Y521" s="367" t="str">
        <f t="shared" ca="1" si="254"/>
        <v/>
      </c>
      <c r="Z521" s="368" t="str">
        <f t="shared" ca="1" si="255"/>
        <v/>
      </c>
      <c r="AA521" s="369" t="str">
        <f t="shared" ca="1" si="256"/>
        <v/>
      </c>
      <c r="AB521" s="344"/>
      <c r="AC521" s="363" t="e">
        <f t="shared" ca="1" si="257"/>
        <v>#N/A</v>
      </c>
      <c r="AD521" s="376" t="e">
        <f t="shared" ca="1" si="258"/>
        <v>#N/A</v>
      </c>
      <c r="AE521" s="377" t="e">
        <f t="shared" ca="1" si="237"/>
        <v>#N/A</v>
      </c>
      <c r="AF521" s="344"/>
      <c r="AG521" s="359">
        <f t="shared" ca="1" si="259"/>
        <v>-4.3635694156528615</v>
      </c>
      <c r="AH521" s="357">
        <f t="shared" ca="1" si="260"/>
        <v>-0.33227682754529164</v>
      </c>
    </row>
    <row r="522" spans="1:34" x14ac:dyDescent="0.2">
      <c r="A522" s="402">
        <f t="shared" ca="1" si="238"/>
        <v>0.1</v>
      </c>
      <c r="B522" s="357">
        <f t="shared" ca="1" si="239"/>
        <v>15.799999999999917</v>
      </c>
      <c r="C522" s="342"/>
      <c r="D522" s="359">
        <f t="shared" ca="1" si="240"/>
        <v>-0.29847990936010993</v>
      </c>
      <c r="E522" s="360">
        <f t="shared" ca="1" si="241"/>
        <v>-9.9342865790929746</v>
      </c>
      <c r="F522" s="357">
        <f t="shared" ca="1" si="242"/>
        <v>9.938769546168098</v>
      </c>
      <c r="G522" s="359">
        <f t="shared" ca="1" si="243"/>
        <v>28.523602696511205</v>
      </c>
      <c r="H522" s="360">
        <f t="shared" ca="1" si="244"/>
        <v>10.896184665985068</v>
      </c>
      <c r="I522" s="357">
        <f t="shared" ca="1" si="245"/>
        <v>30.533960618689306</v>
      </c>
      <c r="J522" s="359">
        <f t="shared" ca="1" si="246"/>
        <v>492.49389470981453</v>
      </c>
      <c r="K522" s="360">
        <f t="shared" ca="1" si="247"/>
        <v>1384.419475539225</v>
      </c>
      <c r="L522" s="357">
        <f t="shared" ca="1" si="232"/>
        <v>1469.4106031258741</v>
      </c>
      <c r="M522" s="359">
        <f t="shared" ca="1" si="248"/>
        <v>0.36489864217195594</v>
      </c>
      <c r="N522" s="357">
        <f t="shared" ca="1" si="249"/>
        <v>20.90715214650751</v>
      </c>
      <c r="O522" s="343"/>
      <c r="P522" s="363">
        <f t="shared" ca="1" si="250"/>
        <v>23</v>
      </c>
      <c r="Q522" s="357">
        <f t="shared" ca="1" si="251"/>
        <v>0</v>
      </c>
      <c r="R522" s="359">
        <f t="shared" ca="1" si="252"/>
        <v>0</v>
      </c>
      <c r="S522" s="360">
        <f t="shared" ca="1" si="253"/>
        <v>8.3819999999999997</v>
      </c>
      <c r="T522" s="357">
        <f t="shared" ca="1" si="233"/>
        <v>82.227419999999995</v>
      </c>
      <c r="U522" s="364">
        <f t="shared" ca="1" si="234"/>
        <v>0</v>
      </c>
      <c r="V522" s="359">
        <f t="shared" ca="1" si="235"/>
        <v>1.0663878983738198</v>
      </c>
      <c r="W522" s="357">
        <f t="shared" ca="1" si="236"/>
        <v>2.6408355744353535</v>
      </c>
      <c r="X522" s="343"/>
      <c r="Y522" s="367" t="str">
        <f t="shared" ca="1" si="254"/>
        <v/>
      </c>
      <c r="Z522" s="368" t="str">
        <f t="shared" ca="1" si="255"/>
        <v/>
      </c>
      <c r="AA522" s="369" t="str">
        <f t="shared" ca="1" si="256"/>
        <v/>
      </c>
      <c r="AB522" s="344"/>
      <c r="AC522" s="363" t="e">
        <f t="shared" ca="1" si="257"/>
        <v>#N/A</v>
      </c>
      <c r="AD522" s="376" t="e">
        <f t="shared" ca="1" si="258"/>
        <v>#N/A</v>
      </c>
      <c r="AE522" s="377" t="e">
        <f t="shared" ca="1" si="237"/>
        <v>#N/A</v>
      </c>
      <c r="AF522" s="344"/>
      <c r="AG522" s="359">
        <f t="shared" ca="1" si="259"/>
        <v>-4.0943297616988659</v>
      </c>
      <c r="AH522" s="357">
        <f t="shared" ca="1" si="260"/>
        <v>-0.32332245519643937</v>
      </c>
    </row>
    <row r="523" spans="1:34" x14ac:dyDescent="0.2">
      <c r="A523" s="402">
        <f t="shared" ca="1" si="238"/>
        <v>0.1</v>
      </c>
      <c r="B523" s="357">
        <f t="shared" ca="1" si="239"/>
        <v>15.899999999999917</v>
      </c>
      <c r="C523" s="342"/>
      <c r="D523" s="359">
        <f t="shared" ca="1" si="240"/>
        <v>-0.2943167252595798</v>
      </c>
      <c r="E523" s="360">
        <f t="shared" ca="1" si="241"/>
        <v>-9.9224307270311485</v>
      </c>
      <c r="F523" s="357">
        <f t="shared" ca="1" si="242"/>
        <v>9.9267947428915555</v>
      </c>
      <c r="G523" s="359">
        <f t="shared" ca="1" si="243"/>
        <v>28.494171023985245</v>
      </c>
      <c r="H523" s="360">
        <f t="shared" ca="1" si="244"/>
        <v>9.903941593281953</v>
      </c>
      <c r="I523" s="357">
        <f t="shared" ca="1" si="245"/>
        <v>30.166303078555394</v>
      </c>
      <c r="J523" s="359">
        <f t="shared" ca="1" si="246"/>
        <v>495.34478339583933</v>
      </c>
      <c r="K523" s="360">
        <f t="shared" ca="1" si="247"/>
        <v>1385.4594818521884</v>
      </c>
      <c r="L523" s="357">
        <f t="shared" ca="1" si="232"/>
        <v>1471.3478277727552</v>
      </c>
      <c r="M523" s="359">
        <f t="shared" ca="1" si="248"/>
        <v>0.33451533976039632</v>
      </c>
      <c r="N523" s="357">
        <f t="shared" ca="1" si="249"/>
        <v>19.166317150655487</v>
      </c>
      <c r="O523" s="343"/>
      <c r="P523" s="363">
        <f t="shared" ca="1" si="250"/>
        <v>23</v>
      </c>
      <c r="Q523" s="357">
        <f t="shared" ca="1" si="251"/>
        <v>0</v>
      </c>
      <c r="R523" s="359">
        <f t="shared" ca="1" si="252"/>
        <v>0</v>
      </c>
      <c r="S523" s="360">
        <f t="shared" ca="1" si="253"/>
        <v>8.3819999999999997</v>
      </c>
      <c r="T523" s="357">
        <f t="shared" ca="1" si="233"/>
        <v>82.227419999999995</v>
      </c>
      <c r="U523" s="364">
        <f t="shared" ca="1" si="234"/>
        <v>0</v>
      </c>
      <c r="V523" s="359">
        <f t="shared" ca="1" si="235"/>
        <v>1.0662764648139387</v>
      </c>
      <c r="W523" s="357">
        <f t="shared" ca="1" si="236"/>
        <v>2.5773528247934445</v>
      </c>
      <c r="X523" s="343"/>
      <c r="Y523" s="367" t="str">
        <f t="shared" ca="1" si="254"/>
        <v/>
      </c>
      <c r="Z523" s="368" t="str">
        <f t="shared" ca="1" si="255"/>
        <v/>
      </c>
      <c r="AA523" s="369" t="str">
        <f t="shared" ca="1" si="256"/>
        <v/>
      </c>
      <c r="AB523" s="344"/>
      <c r="AC523" s="363" t="e">
        <f t="shared" ca="1" si="257"/>
        <v>#N/A</v>
      </c>
      <c r="AD523" s="376" t="e">
        <f t="shared" ca="1" si="258"/>
        <v>#N/A</v>
      </c>
      <c r="AE523" s="377" t="e">
        <f t="shared" ca="1" si="237"/>
        <v>#N/A</v>
      </c>
      <c r="AF523" s="344"/>
      <c r="AG523" s="359">
        <f t="shared" ca="1" si="259"/>
        <v>-3.815804059303844</v>
      </c>
      <c r="AH523" s="357">
        <f t="shared" ca="1" si="260"/>
        <v>-0.31506031668281481</v>
      </c>
    </row>
    <row r="524" spans="1:34" x14ac:dyDescent="0.2">
      <c r="A524" s="402">
        <f t="shared" ca="1" si="238"/>
        <v>0.1</v>
      </c>
      <c r="B524" s="357">
        <f t="shared" ca="1" si="239"/>
        <v>15.999999999999917</v>
      </c>
      <c r="C524" s="342"/>
      <c r="D524" s="359">
        <f t="shared" ca="1" si="240"/>
        <v>-0.29044249251578258</v>
      </c>
      <c r="E524" s="360">
        <f t="shared" ca="1" si="241"/>
        <v>-9.9109513657955599</v>
      </c>
      <c r="F524" s="357">
        <f t="shared" ca="1" si="242"/>
        <v>9.9152061913317588</v>
      </c>
      <c r="G524" s="359">
        <f t="shared" ca="1" si="243"/>
        <v>28.465126774733669</v>
      </c>
      <c r="H524" s="360">
        <f t="shared" ca="1" si="244"/>
        <v>8.9128464567023968</v>
      </c>
      <c r="I524" s="357">
        <f t="shared" ca="1" si="245"/>
        <v>29.827877468274743</v>
      </c>
      <c r="J524" s="359">
        <f t="shared" ca="1" si="246"/>
        <v>498.19274828577528</v>
      </c>
      <c r="K524" s="360">
        <f t="shared" ca="1" si="247"/>
        <v>1386.4003212546877</v>
      </c>
      <c r="L524" s="357">
        <f t="shared" ca="1" si="232"/>
        <v>1473.194442434411</v>
      </c>
      <c r="M524" s="359">
        <f t="shared" ca="1" si="248"/>
        <v>0.30344468017402676</v>
      </c>
      <c r="N524" s="357">
        <f t="shared" ca="1" si="249"/>
        <v>17.386099489668819</v>
      </c>
      <c r="O524" s="343"/>
      <c r="P524" s="363">
        <f t="shared" ca="1" si="250"/>
        <v>23</v>
      </c>
      <c r="Q524" s="357">
        <f t="shared" ca="1" si="251"/>
        <v>0</v>
      </c>
      <c r="R524" s="359">
        <f t="shared" ca="1" si="252"/>
        <v>0</v>
      </c>
      <c r="S524" s="360">
        <f t="shared" ca="1" si="253"/>
        <v>8.3819999999999997</v>
      </c>
      <c r="T524" s="357">
        <f t="shared" ca="1" si="233"/>
        <v>82.227419999999995</v>
      </c>
      <c r="U524" s="364">
        <f t="shared" ca="1" si="234"/>
        <v>0</v>
      </c>
      <c r="V524" s="359">
        <f t="shared" ca="1" si="235"/>
        <v>1.0661756660283672</v>
      </c>
      <c r="W524" s="357">
        <f t="shared" ca="1" si="236"/>
        <v>2.519610087080574</v>
      </c>
      <c r="X524" s="343"/>
      <c r="Y524" s="367" t="str">
        <f t="shared" ca="1" si="254"/>
        <v/>
      </c>
      <c r="Z524" s="368" t="str">
        <f t="shared" ca="1" si="255"/>
        <v/>
      </c>
      <c r="AA524" s="369" t="str">
        <f t="shared" ca="1" si="256"/>
        <v/>
      </c>
      <c r="AB524" s="344"/>
      <c r="AC524" s="363">
        <f t="shared" ca="1" si="257"/>
        <v>15.999999999999917</v>
      </c>
      <c r="AD524" s="376">
        <f t="shared" ca="1" si="258"/>
        <v>498.19274828577528</v>
      </c>
      <c r="AE524" s="377" t="e">
        <f t="shared" ca="1" si="237"/>
        <v>#N/A</v>
      </c>
      <c r="AF524" s="344"/>
      <c r="AG524" s="359">
        <f t="shared" ca="1" si="259"/>
        <v>-3.5282215801490038</v>
      </c>
      <c r="AH524" s="357">
        <f t="shared" ca="1" si="260"/>
        <v>-0.30748661713116732</v>
      </c>
    </row>
    <row r="525" spans="1:34" x14ac:dyDescent="0.2">
      <c r="A525" s="402">
        <f t="shared" ca="1" si="238"/>
        <v>0.1</v>
      </c>
      <c r="B525" s="357">
        <f t="shared" ca="1" si="239"/>
        <v>16.099999999999916</v>
      </c>
      <c r="C525" s="342"/>
      <c r="D525" s="359">
        <f t="shared" ca="1" si="240"/>
        <v>-0.28686426684039318</v>
      </c>
      <c r="E525" s="360">
        <f t="shared" ca="1" si="241"/>
        <v>-9.8998213868673997</v>
      </c>
      <c r="F525" s="357">
        <f t="shared" ca="1" si="242"/>
        <v>9.9039767063269615</v>
      </c>
      <c r="G525" s="359">
        <f t="shared" ca="1" si="243"/>
        <v>28.436440348049629</v>
      </c>
      <c r="H525" s="360">
        <f t="shared" ca="1" si="244"/>
        <v>7.922864318015657</v>
      </c>
      <c r="I525" s="357">
        <f t="shared" ca="1" si="245"/>
        <v>29.519534526646428</v>
      </c>
      <c r="J525" s="359">
        <f t="shared" ca="1" si="246"/>
        <v>501.03782664191442</v>
      </c>
      <c r="K525" s="360">
        <f t="shared" ca="1" si="247"/>
        <v>1387.2421067934235</v>
      </c>
      <c r="L525" s="357">
        <f t="shared" ca="1" si="232"/>
        <v>1474.9506997139631</v>
      </c>
      <c r="M525" s="359">
        <f t="shared" ca="1" si="248"/>
        <v>0.27172541617937068</v>
      </c>
      <c r="N525" s="357">
        <f t="shared" ca="1" si="249"/>
        <v>15.568719533513754</v>
      </c>
      <c r="O525" s="343"/>
      <c r="P525" s="363">
        <f t="shared" ca="1" si="250"/>
        <v>23</v>
      </c>
      <c r="Q525" s="357">
        <f t="shared" ca="1" si="251"/>
        <v>0</v>
      </c>
      <c r="R525" s="359">
        <f t="shared" ca="1" si="252"/>
        <v>0</v>
      </c>
      <c r="S525" s="360">
        <f t="shared" ca="1" si="253"/>
        <v>8.3819999999999997</v>
      </c>
      <c r="T525" s="357">
        <f t="shared" ca="1" si="233"/>
        <v>82.227419999999995</v>
      </c>
      <c r="U525" s="364">
        <f t="shared" ca="1" si="234"/>
        <v>0</v>
      </c>
      <c r="V525" s="359">
        <f t="shared" ca="1" si="235"/>
        <v>1.0660854871014758</v>
      </c>
      <c r="W525" s="357">
        <f t="shared" ca="1" si="236"/>
        <v>2.4675781327561461</v>
      </c>
      <c r="X525" s="343"/>
      <c r="Y525" s="367" t="str">
        <f t="shared" ca="1" si="254"/>
        <v/>
      </c>
      <c r="Z525" s="368" t="str">
        <f t="shared" ca="1" si="255"/>
        <v/>
      </c>
      <c r="AA525" s="369" t="str">
        <f t="shared" ca="1" si="256"/>
        <v/>
      </c>
      <c r="AB525" s="344"/>
      <c r="AC525" s="363" t="e">
        <f t="shared" ca="1" si="257"/>
        <v>#N/A</v>
      </c>
      <c r="AD525" s="376" t="e">
        <f t="shared" ca="1" si="258"/>
        <v>#N/A</v>
      </c>
      <c r="AE525" s="377" t="e">
        <f t="shared" ca="1" si="237"/>
        <v>#N/A</v>
      </c>
      <c r="AF525" s="344"/>
      <c r="AG525" s="359">
        <f t="shared" ca="1" si="259"/>
        <v>-3.2319167126529167</v>
      </c>
      <c r="AH525" s="357">
        <f t="shared" ca="1" si="260"/>
        <v>-0.30059771976623406</v>
      </c>
    </row>
    <row r="526" spans="1:34" x14ac:dyDescent="0.2">
      <c r="A526" s="402">
        <f t="shared" ca="1" si="238"/>
        <v>0.1</v>
      </c>
      <c r="B526" s="357">
        <f t="shared" ca="1" si="239"/>
        <v>16.199999999999918</v>
      </c>
      <c r="C526" s="342"/>
      <c r="D526" s="359">
        <f t="shared" ca="1" si="240"/>
        <v>-0.28358873942610535</v>
      </c>
      <c r="E526" s="360">
        <f t="shared" ca="1" si="241"/>
        <v>-9.8890125302987943</v>
      </c>
      <c r="F526" s="357">
        <f t="shared" ca="1" si="242"/>
        <v>9.8930779536773006</v>
      </c>
      <c r="G526" s="359">
        <f t="shared" ca="1" si="243"/>
        <v>28.408081474107018</v>
      </c>
      <c r="H526" s="360">
        <f t="shared" ca="1" si="244"/>
        <v>6.9339630649857771</v>
      </c>
      <c r="I526" s="357">
        <f t="shared" ca="1" si="245"/>
        <v>29.242074769518137</v>
      </c>
      <c r="J526" s="359">
        <f t="shared" ca="1" si="246"/>
        <v>503.88005273302224</v>
      </c>
      <c r="K526" s="360">
        <f t="shared" ca="1" si="247"/>
        <v>1387.9849481625736</v>
      </c>
      <c r="L526" s="357">
        <f t="shared" ca="1" si="232"/>
        <v>1476.6168507328146</v>
      </c>
      <c r="M526" s="359">
        <f t="shared" ca="1" si="248"/>
        <v>0.23940312244999232</v>
      </c>
      <c r="N526" s="357">
        <f t="shared" ca="1" si="249"/>
        <v>13.716788518638209</v>
      </c>
      <c r="O526" s="343"/>
      <c r="P526" s="363">
        <f t="shared" ca="1" si="250"/>
        <v>23</v>
      </c>
      <c r="Q526" s="357">
        <f t="shared" ca="1" si="251"/>
        <v>0</v>
      </c>
      <c r="R526" s="359">
        <f t="shared" ca="1" si="252"/>
        <v>0</v>
      </c>
      <c r="S526" s="360">
        <f t="shared" ca="1" si="253"/>
        <v>8.3819999999999997</v>
      </c>
      <c r="T526" s="357">
        <f t="shared" ca="1" si="233"/>
        <v>82.227419999999995</v>
      </c>
      <c r="U526" s="364">
        <f t="shared" ca="1" si="234"/>
        <v>0</v>
      </c>
      <c r="V526" s="359">
        <f t="shared" ca="1" si="235"/>
        <v>1.0660059137763491</v>
      </c>
      <c r="W526" s="357">
        <f t="shared" ca="1" si="236"/>
        <v>2.4212289161621441</v>
      </c>
      <c r="X526" s="343"/>
      <c r="Y526" s="367" t="str">
        <f t="shared" ca="1" si="254"/>
        <v/>
      </c>
      <c r="Z526" s="368" t="str">
        <f t="shared" ca="1" si="255"/>
        <v/>
      </c>
      <c r="AA526" s="369" t="str">
        <f t="shared" ca="1" si="256"/>
        <v/>
      </c>
      <c r="AB526" s="344"/>
      <c r="AC526" s="363" t="e">
        <f t="shared" ca="1" si="257"/>
        <v>#N/A</v>
      </c>
      <c r="AD526" s="376" t="e">
        <f t="shared" ca="1" si="258"/>
        <v>#N/A</v>
      </c>
      <c r="AE526" s="377" t="e">
        <f t="shared" ca="1" si="237"/>
        <v>#N/A</v>
      </c>
      <c r="AF526" s="344"/>
      <c r="AG526" s="359">
        <f t="shared" ca="1" si="259"/>
        <v>-2.9273347352675922</v>
      </c>
      <c r="AH526" s="357">
        <f t="shared" ca="1" si="260"/>
        <v>-0.29439013752757648</v>
      </c>
    </row>
    <row r="527" spans="1:34" x14ac:dyDescent="0.2">
      <c r="A527" s="402">
        <f t="shared" ca="1" si="238"/>
        <v>0.1</v>
      </c>
      <c r="B527" s="357">
        <f t="shared" ca="1" si="239"/>
        <v>16.299999999999919</v>
      </c>
      <c r="C527" s="342"/>
      <c r="D527" s="359">
        <f t="shared" ca="1" si="240"/>
        <v>-0.28062213022367316</v>
      </c>
      <c r="E527" s="360">
        <f t="shared" ca="1" si="241"/>
        <v>-9.8784954205007516</v>
      </c>
      <c r="F527" s="357">
        <f t="shared" ca="1" si="242"/>
        <v>9.8824804858307509</v>
      </c>
      <c r="G527" s="359">
        <f t="shared" ca="1" si="243"/>
        <v>28.380019261084652</v>
      </c>
      <c r="H527" s="360">
        <f t="shared" ca="1" si="244"/>
        <v>5.9461135229357023</v>
      </c>
      <c r="I527" s="357">
        <f t="shared" ca="1" si="245"/>
        <v>28.996236984946421</v>
      </c>
      <c r="J527" s="359">
        <f t="shared" ca="1" si="246"/>
        <v>506.7194577697818</v>
      </c>
      <c r="K527" s="360">
        <f t="shared" ca="1" si="247"/>
        <v>1388.6289519919696</v>
      </c>
      <c r="L527" s="357">
        <f t="shared" ca="1" si="232"/>
        <v>1478.1931454288433</v>
      </c>
      <c r="M527" s="359">
        <f t="shared" ca="1" si="248"/>
        <v>0.20653012468977427</v>
      </c>
      <c r="N527" s="357">
        <f t="shared" ca="1" si="249"/>
        <v>11.833304487034706</v>
      </c>
      <c r="O527" s="343"/>
      <c r="P527" s="363">
        <f t="shared" ca="1" si="250"/>
        <v>23</v>
      </c>
      <c r="Q527" s="357">
        <f t="shared" ca="1" si="251"/>
        <v>0</v>
      </c>
      <c r="R527" s="359">
        <f t="shared" ca="1" si="252"/>
        <v>0</v>
      </c>
      <c r="S527" s="360">
        <f t="shared" ca="1" si="253"/>
        <v>8.3819999999999997</v>
      </c>
      <c r="T527" s="357">
        <f t="shared" ca="1" si="233"/>
        <v>82.227419999999995</v>
      </c>
      <c r="U527" s="364">
        <f t="shared" ca="1" si="234"/>
        <v>0</v>
      </c>
      <c r="V527" s="359">
        <f t="shared" ca="1" si="235"/>
        <v>1.065936932422521</v>
      </c>
      <c r="W527" s="357">
        <f t="shared" ca="1" si="236"/>
        <v>2.3805355007683842</v>
      </c>
      <c r="X527" s="343"/>
      <c r="Y527" s="367" t="str">
        <f t="shared" ca="1" si="254"/>
        <v/>
      </c>
      <c r="Z527" s="368" t="str">
        <f t="shared" ca="1" si="255"/>
        <v/>
      </c>
      <c r="AA527" s="369" t="str">
        <f t="shared" ca="1" si="256"/>
        <v/>
      </c>
      <c r="AB527" s="344"/>
      <c r="AC527" s="363" t="e">
        <f t="shared" ca="1" si="257"/>
        <v>#N/A</v>
      </c>
      <c r="AD527" s="376" t="e">
        <f t="shared" ca="1" si="258"/>
        <v>#N/A</v>
      </c>
      <c r="AE527" s="377" t="e">
        <f t="shared" ca="1" si="237"/>
        <v>#N/A</v>
      </c>
      <c r="AF527" s="344"/>
      <c r="AG527" s="359">
        <f t="shared" ca="1" si="259"/>
        <v>-2.6150353326476705</v>
      </c>
      <c r="AH527" s="357">
        <f t="shared" ca="1" si="260"/>
        <v>-0.28886052447651445</v>
      </c>
    </row>
    <row r="528" spans="1:34" x14ac:dyDescent="0.2">
      <c r="A528" s="402">
        <f t="shared" ca="1" si="238"/>
        <v>0.1</v>
      </c>
      <c r="B528" s="357">
        <f t="shared" ca="1" si="239"/>
        <v>16.39999999999992</v>
      </c>
      <c r="C528" s="342"/>
      <c r="D528" s="359">
        <f t="shared" ca="1" si="240"/>
        <v>-0.2779700794904838</v>
      </c>
      <c r="E528" s="360">
        <f t="shared" ca="1" si="241"/>
        <v>-9.8682396239207737</v>
      </c>
      <c r="F528" s="357">
        <f t="shared" ca="1" si="242"/>
        <v>9.8721537994609854</v>
      </c>
      <c r="G528" s="359">
        <f t="shared" ca="1" si="243"/>
        <v>28.352222253135604</v>
      </c>
      <c r="H528" s="360">
        <f t="shared" ca="1" si="244"/>
        <v>4.9592895605436249</v>
      </c>
      <c r="I528" s="357">
        <f t="shared" ca="1" si="245"/>
        <v>28.782686803641433</v>
      </c>
      <c r="J528" s="359">
        <f t="shared" ca="1" si="246"/>
        <v>509.5560698454928</v>
      </c>
      <c r="K528" s="360">
        <f t="shared" ca="1" si="247"/>
        <v>1389.1742221461436</v>
      </c>
      <c r="L528" s="357">
        <f t="shared" ca="1" si="232"/>
        <v>1479.6798328664645</v>
      </c>
      <c r="M528" s="359">
        <f t="shared" ca="1" si="248"/>
        <v>0.17316526515610733</v>
      </c>
      <c r="N528" s="357">
        <f t="shared" ca="1" si="249"/>
        <v>9.9216388517087619</v>
      </c>
      <c r="O528" s="343"/>
      <c r="P528" s="363">
        <f t="shared" ca="1" si="250"/>
        <v>23</v>
      </c>
      <c r="Q528" s="357">
        <f t="shared" ca="1" si="251"/>
        <v>0</v>
      </c>
      <c r="R528" s="359">
        <f t="shared" ca="1" si="252"/>
        <v>0</v>
      </c>
      <c r="S528" s="360">
        <f t="shared" ca="1" si="253"/>
        <v>8.3819999999999997</v>
      </c>
      <c r="T528" s="357">
        <f t="shared" ca="1" si="233"/>
        <v>82.227419999999995</v>
      </c>
      <c r="U528" s="364">
        <f t="shared" ca="1" si="234"/>
        <v>0</v>
      </c>
      <c r="V528" s="359">
        <f t="shared" ca="1" si="235"/>
        <v>1.0658785300026159</v>
      </c>
      <c r="W528" s="357">
        <f t="shared" ca="1" si="236"/>
        <v>2.3454719837691864</v>
      </c>
      <c r="X528" s="343"/>
      <c r="Y528" s="367" t="str">
        <f t="shared" ca="1" si="254"/>
        <v/>
      </c>
      <c r="Z528" s="368" t="str">
        <f t="shared" ca="1" si="255"/>
        <v/>
      </c>
      <c r="AA528" s="369" t="str">
        <f t="shared" ca="1" si="256"/>
        <v/>
      </c>
      <c r="AB528" s="344"/>
      <c r="AC528" s="363" t="e">
        <f t="shared" ca="1" si="257"/>
        <v>#N/A</v>
      </c>
      <c r="AD528" s="376" t="e">
        <f t="shared" ca="1" si="258"/>
        <v>#N/A</v>
      </c>
      <c r="AE528" s="377" t="e">
        <f t="shared" ca="1" si="237"/>
        <v>#N/A</v>
      </c>
      <c r="AF528" s="344"/>
      <c r="AG528" s="359">
        <f t="shared" ca="1" si="259"/>
        <v>-2.2956933797950683</v>
      </c>
      <c r="AH528" s="357">
        <f t="shared" ca="1" si="260"/>
        <v>-0.28400566699694396</v>
      </c>
    </row>
    <row r="529" spans="1:34" x14ac:dyDescent="0.2">
      <c r="A529" s="402">
        <f t="shared" ca="1" si="238"/>
        <v>0.1</v>
      </c>
      <c r="B529" s="357">
        <f t="shared" ca="1" si="239"/>
        <v>16.499999999999922</v>
      </c>
      <c r="C529" s="342"/>
      <c r="D529" s="359">
        <f t="shared" ca="1" si="240"/>
        <v>-0.27563754040965321</v>
      </c>
      <c r="E529" s="360">
        <f t="shared" ca="1" si="241"/>
        <v>-9.858213729577983</v>
      </c>
      <c r="F529" s="357">
        <f t="shared" ca="1" si="242"/>
        <v>9.8620664159050833</v>
      </c>
      <c r="G529" s="359">
        <f t="shared" ca="1" si="243"/>
        <v>28.324658499094639</v>
      </c>
      <c r="H529" s="360">
        <f t="shared" ca="1" si="244"/>
        <v>3.9734681875858264</v>
      </c>
      <c r="I529" s="357">
        <f t="shared" ca="1" si="245"/>
        <v>28.602005673170734</v>
      </c>
      <c r="J529" s="359">
        <f t="shared" ca="1" si="246"/>
        <v>512.38991388310433</v>
      </c>
      <c r="K529" s="360">
        <f t="shared" ca="1" si="247"/>
        <v>1389.6208600335501</v>
      </c>
      <c r="L529" s="357">
        <f t="shared" ca="1" si="232"/>
        <v>1481.0771615582757</v>
      </c>
      <c r="M529" s="359">
        <f t="shared" ca="1" si="248"/>
        <v>0.13937349464979842</v>
      </c>
      <c r="N529" s="357">
        <f t="shared" ca="1" si="249"/>
        <v>7.9855130194226094</v>
      </c>
      <c r="O529" s="343"/>
      <c r="P529" s="363">
        <f t="shared" ca="1" si="250"/>
        <v>23</v>
      </c>
      <c r="Q529" s="357">
        <f t="shared" ca="1" si="251"/>
        <v>0</v>
      </c>
      <c r="R529" s="359">
        <f t="shared" ca="1" si="252"/>
        <v>0</v>
      </c>
      <c r="S529" s="360">
        <f t="shared" ca="1" si="253"/>
        <v>8.3819999999999997</v>
      </c>
      <c r="T529" s="357">
        <f t="shared" ca="1" si="233"/>
        <v>82.227419999999995</v>
      </c>
      <c r="U529" s="364">
        <f t="shared" ca="1" si="234"/>
        <v>0</v>
      </c>
      <c r="V529" s="359">
        <f t="shared" ca="1" si="235"/>
        <v>1.0658306940379842</v>
      </c>
      <c r="W529" s="357">
        <f t="shared" ca="1" si="236"/>
        <v>2.3160134191606732</v>
      </c>
      <c r="X529" s="343"/>
      <c r="Y529" s="367" t="str">
        <f t="shared" ca="1" si="254"/>
        <v/>
      </c>
      <c r="Z529" s="368" t="str">
        <f t="shared" ca="1" si="255"/>
        <v/>
      </c>
      <c r="AA529" s="369" t="str">
        <f t="shared" ca="1" si="256"/>
        <v/>
      </c>
      <c r="AB529" s="344"/>
      <c r="AC529" s="363" t="e">
        <f t="shared" ca="1" si="257"/>
        <v>#N/A</v>
      </c>
      <c r="AD529" s="376" t="e">
        <f t="shared" ca="1" si="258"/>
        <v>#N/A</v>
      </c>
      <c r="AE529" s="377" t="e">
        <f t="shared" ca="1" si="237"/>
        <v>#N/A</v>
      </c>
      <c r="AF529" s="344"/>
      <c r="AG529" s="359">
        <f t="shared" ca="1" si="259"/>
        <v>-1.9700965941279698</v>
      </c>
      <c r="AH529" s="357">
        <f t="shared" ca="1" si="260"/>
        <v>-0.27982247479947348</v>
      </c>
    </row>
    <row r="530" spans="1:34" x14ac:dyDescent="0.2">
      <c r="A530" s="402">
        <f t="shared" ca="1" si="238"/>
        <v>0.1</v>
      </c>
      <c r="B530" s="357">
        <f t="shared" ca="1" si="239"/>
        <v>16.599999999999923</v>
      </c>
      <c r="C530" s="342"/>
      <c r="D530" s="359">
        <f t="shared" ca="1" si="240"/>
        <v>-0.27362867589302936</v>
      </c>
      <c r="E530" s="360">
        <f t="shared" ca="1" si="241"/>
        <v>-9.8483854526933463</v>
      </c>
      <c r="F530" s="357">
        <f t="shared" ca="1" si="242"/>
        <v>9.8521859846986697</v>
      </c>
      <c r="G530" s="359">
        <f t="shared" ca="1" si="243"/>
        <v>28.297295631505335</v>
      </c>
      <c r="H530" s="360">
        <f t="shared" ca="1" si="244"/>
        <v>2.988629642316492</v>
      </c>
      <c r="I530" s="357">
        <f t="shared" ca="1" si="245"/>
        <v>28.454680585024036</v>
      </c>
      <c r="J530" s="359">
        <f t="shared" ca="1" si="246"/>
        <v>515.22101158963437</v>
      </c>
      <c r="K530" s="360">
        <f t="shared" ca="1" si="247"/>
        <v>1389.9689649250452</v>
      </c>
      <c r="L530" s="357">
        <f t="shared" ca="1" si="232"/>
        <v>1482.3853797977931</v>
      </c>
      <c r="M530" s="359">
        <f t="shared" ca="1" si="248"/>
        <v>0.10522528847148881</v>
      </c>
      <c r="N530" s="357">
        <f t="shared" ca="1" si="249"/>
        <v>6.0289649274629058</v>
      </c>
      <c r="O530" s="343"/>
      <c r="P530" s="363">
        <f t="shared" ca="1" si="250"/>
        <v>23</v>
      </c>
      <c r="Q530" s="357">
        <f t="shared" ca="1" si="251"/>
        <v>0</v>
      </c>
      <c r="R530" s="359">
        <f t="shared" ca="1" si="252"/>
        <v>0</v>
      </c>
      <c r="S530" s="360">
        <f t="shared" ca="1" si="253"/>
        <v>8.3819999999999997</v>
      </c>
      <c r="T530" s="357">
        <f t="shared" ca="1" si="233"/>
        <v>82.227419999999995</v>
      </c>
      <c r="U530" s="364">
        <f t="shared" ca="1" si="234"/>
        <v>0</v>
      </c>
      <c r="V530" s="359">
        <f t="shared" ca="1" si="235"/>
        <v>1.0657934125734112</v>
      </c>
      <c r="W530" s="357">
        <f t="shared" ca="1" si="236"/>
        <v>2.2921357394789874</v>
      </c>
      <c r="X530" s="343"/>
      <c r="Y530" s="367" t="str">
        <f t="shared" ca="1" si="254"/>
        <v/>
      </c>
      <c r="Z530" s="368" t="str">
        <f t="shared" ca="1" si="255"/>
        <v/>
      </c>
      <c r="AA530" s="369" t="str">
        <f t="shared" ca="1" si="256"/>
        <v/>
      </c>
      <c r="AB530" s="344"/>
      <c r="AC530" s="363" t="e">
        <f t="shared" ca="1" si="257"/>
        <v>#N/A</v>
      </c>
      <c r="AD530" s="376" t="e">
        <f t="shared" ca="1" si="258"/>
        <v>#N/A</v>
      </c>
      <c r="AE530" s="377" t="e">
        <f t="shared" ca="1" si="237"/>
        <v>#N/A</v>
      </c>
      <c r="AF530" s="344"/>
      <c r="AG530" s="359">
        <f t="shared" ca="1" si="259"/>
        <v>-1.6391397733189907</v>
      </c>
      <c r="AH530" s="357">
        <f t="shared" ca="1" si="260"/>
        <v>-0.27630797174429411</v>
      </c>
    </row>
    <row r="531" spans="1:34" x14ac:dyDescent="0.2">
      <c r="A531" s="402">
        <f t="shared" ca="1" si="238"/>
        <v>0.1</v>
      </c>
      <c r="B531" s="357">
        <f t="shared" ca="1" si="239"/>
        <v>16.699999999999925</v>
      </c>
      <c r="C531" s="342"/>
      <c r="D531" s="359">
        <f t="shared" ca="1" si="240"/>
        <v>-0.27194676286280905</v>
      </c>
      <c r="E531" s="360">
        <f t="shared" ca="1" si="241"/>
        <v>-9.8387217608073794</v>
      </c>
      <c r="F531" s="357">
        <f t="shared" ca="1" si="242"/>
        <v>9.8424794096008252</v>
      </c>
      <c r="G531" s="359">
        <f t="shared" ca="1" si="243"/>
        <v>28.270100955219053</v>
      </c>
      <c r="H531" s="360">
        <f t="shared" ca="1" si="244"/>
        <v>2.0047574662357541</v>
      </c>
      <c r="I531" s="357">
        <f t="shared" ca="1" si="245"/>
        <v>28.34109490680812</v>
      </c>
      <c r="J531" s="359">
        <f t="shared" ca="1" si="246"/>
        <v>518.0493814189706</v>
      </c>
      <c r="K531" s="360">
        <f t="shared" ca="1" si="247"/>
        <v>1390.2186342804728</v>
      </c>
      <c r="L531" s="357">
        <f t="shared" ca="1" si="232"/>
        <v>1483.6047360025652</v>
      </c>
      <c r="M531" s="359">
        <f t="shared" ca="1" si="248"/>
        <v>7.0795892425353737E-2</v>
      </c>
      <c r="N531" s="357">
        <f t="shared" ca="1" si="249"/>
        <v>4.0563058428349628</v>
      </c>
      <c r="O531" s="343"/>
      <c r="P531" s="363">
        <f t="shared" ca="1" si="250"/>
        <v>23</v>
      </c>
      <c r="Q531" s="357">
        <f t="shared" ca="1" si="251"/>
        <v>0</v>
      </c>
      <c r="R531" s="359">
        <f t="shared" ca="1" si="252"/>
        <v>0</v>
      </c>
      <c r="S531" s="360">
        <f t="shared" ca="1" si="253"/>
        <v>8.3819999999999997</v>
      </c>
      <c r="T531" s="357">
        <f t="shared" ca="1" si="233"/>
        <v>82.227419999999995</v>
      </c>
      <c r="U531" s="364">
        <f t="shared" ca="1" si="234"/>
        <v>0</v>
      </c>
      <c r="V531" s="359">
        <f t="shared" ca="1" si="235"/>
        <v>1.0657666741410223</v>
      </c>
      <c r="W531" s="357">
        <f t="shared" ca="1" si="236"/>
        <v>2.273815676430329</v>
      </c>
      <c r="X531" s="343"/>
      <c r="Y531" s="367" t="str">
        <f t="shared" ca="1" si="254"/>
        <v/>
      </c>
      <c r="Z531" s="368" t="str">
        <f t="shared" ca="1" si="255"/>
        <v/>
      </c>
      <c r="AA531" s="369" t="str">
        <f t="shared" ca="1" si="256"/>
        <v/>
      </c>
      <c r="AB531" s="344"/>
      <c r="AC531" s="363" t="e">
        <f t="shared" ca="1" si="257"/>
        <v>#N/A</v>
      </c>
      <c r="AD531" s="376" t="e">
        <f t="shared" ca="1" si="258"/>
        <v>#N/A</v>
      </c>
      <c r="AE531" s="377" t="e">
        <f t="shared" ca="1" si="237"/>
        <v>#N/A</v>
      </c>
      <c r="AF531" s="344"/>
      <c r="AG531" s="359">
        <f t="shared" ca="1" si="259"/>
        <v>-1.30381549463391</v>
      </c>
      <c r="AH531" s="357">
        <f t="shared" ca="1" si="260"/>
        <v>-0.27345928650429341</v>
      </c>
    </row>
    <row r="532" spans="1:34" x14ac:dyDescent="0.2">
      <c r="A532" s="402">
        <f t="shared" ca="1" si="238"/>
        <v>0.1</v>
      </c>
      <c r="B532" s="357">
        <f t="shared" ca="1" si="239"/>
        <v>16.799999999999926</v>
      </c>
      <c r="C532" s="342"/>
      <c r="D532" s="359">
        <f t="shared" ca="1" si="240"/>
        <v>-0.27059410732118849</v>
      </c>
      <c r="E532" s="360">
        <f t="shared" ca="1" si="241"/>
        <v>-9.8291890208609747</v>
      </c>
      <c r="F532" s="357">
        <f t="shared" ca="1" si="242"/>
        <v>9.832912995584314</v>
      </c>
      <c r="G532" s="359">
        <f t="shared" ca="1" si="243"/>
        <v>28.243041544486935</v>
      </c>
      <c r="H532" s="360">
        <f t="shared" ca="1" si="244"/>
        <v>1.0218385641496566</v>
      </c>
      <c r="I532" s="357">
        <f t="shared" ca="1" si="245"/>
        <v>28.261520655031966</v>
      </c>
      <c r="J532" s="359">
        <f t="shared" ca="1" si="246"/>
        <v>520.87503854395595</v>
      </c>
      <c r="K532" s="360">
        <f t="shared" ca="1" si="247"/>
        <v>1390.3699640819921</v>
      </c>
      <c r="L532" s="357">
        <f t="shared" ca="1" si="232"/>
        <v>1484.7354790667353</v>
      </c>
      <c r="M532" s="359">
        <f t="shared" ca="1" si="248"/>
        <v>3.616441409525413E-2</v>
      </c>
      <c r="N532" s="357">
        <f t="shared" ca="1" si="249"/>
        <v>2.0720682962214871</v>
      </c>
      <c r="O532" s="343"/>
      <c r="P532" s="363">
        <f t="shared" ca="1" si="250"/>
        <v>23</v>
      </c>
      <c r="Q532" s="357">
        <f t="shared" ca="1" si="251"/>
        <v>0</v>
      </c>
      <c r="R532" s="359">
        <f t="shared" ca="1" si="252"/>
        <v>0</v>
      </c>
      <c r="S532" s="360">
        <f t="shared" ca="1" si="253"/>
        <v>8.3819999999999997</v>
      </c>
      <c r="T532" s="357">
        <f t="shared" ca="1" si="233"/>
        <v>82.227419999999995</v>
      </c>
      <c r="U532" s="364">
        <f t="shared" ca="1" si="234"/>
        <v>0</v>
      </c>
      <c r="V532" s="359">
        <f t="shared" ca="1" si="235"/>
        <v>1.0657504677235223</v>
      </c>
      <c r="W532" s="357">
        <f t="shared" ca="1" si="236"/>
        <v>2.2610306806916407</v>
      </c>
      <c r="X532" s="343"/>
      <c r="Y532" s="367" t="str">
        <f t="shared" ca="1" si="254"/>
        <v/>
      </c>
      <c r="Z532" s="368" t="str">
        <f t="shared" ca="1" si="255"/>
        <v/>
      </c>
      <c r="AA532" s="369" t="str">
        <f t="shared" ca="1" si="256"/>
        <v/>
      </c>
      <c r="AB532" s="344"/>
      <c r="AC532" s="363" t="e">
        <f t="shared" ca="1" si="257"/>
        <v>#N/A</v>
      </c>
      <c r="AD532" s="376" t="e">
        <f t="shared" ca="1" si="258"/>
        <v>#N/A</v>
      </c>
      <c r="AE532" s="377" t="e">
        <f t="shared" ca="1" si="237"/>
        <v>#N/A</v>
      </c>
      <c r="AF532" s="344"/>
      <c r="AG532" s="359">
        <f t="shared" ca="1" si="259"/>
        <v>-0.96520134096511945</v>
      </c>
      <c r="AH532" s="357">
        <f t="shared" ca="1" si="260"/>
        <v>-0.27127364309595908</v>
      </c>
    </row>
    <row r="533" spans="1:34" x14ac:dyDescent="0.2">
      <c r="A533" s="402">
        <f t="shared" ca="1" si="238"/>
        <v>0.1</v>
      </c>
      <c r="B533" s="357">
        <f t="shared" ca="1" si="239"/>
        <v>16.899999999999928</v>
      </c>
      <c r="C533" s="342"/>
      <c r="D533" s="359">
        <f t="shared" ca="1" si="240"/>
        <v>-0.26957197334271954</v>
      </c>
      <c r="E533" s="360">
        <f t="shared" ca="1" si="241"/>
        <v>-9.8197531647836733</v>
      </c>
      <c r="F533" s="357">
        <f t="shared" ca="1" si="242"/>
        <v>9.8234526143352916</v>
      </c>
      <c r="G533" s="359">
        <f t="shared" ca="1" si="243"/>
        <v>28.216084347152663</v>
      </c>
      <c r="H533" s="360">
        <f t="shared" ca="1" si="244"/>
        <v>3.9863247671289237E-2</v>
      </c>
      <c r="I533" s="357">
        <f t="shared" ca="1" si="245"/>
        <v>28.216112506228573</v>
      </c>
      <c r="J533" s="359">
        <f t="shared" ca="1" si="246"/>
        <v>523.69799483853797</v>
      </c>
      <c r="K533" s="360">
        <f t="shared" ca="1" si="247"/>
        <v>1390.4230491725832</v>
      </c>
      <c r="L533" s="357">
        <f t="shared" ca="1" si="232"/>
        <v>1485.7778587219184</v>
      </c>
      <c r="M533" s="359">
        <f t="shared" ca="1" si="248"/>
        <v>1.4127835974351184E-3</v>
      </c>
      <c r="N533" s="357">
        <f t="shared" ca="1" si="249"/>
        <v>8.0946537498341797E-2</v>
      </c>
      <c r="O533" s="343"/>
      <c r="P533" s="363">
        <f t="shared" ca="1" si="250"/>
        <v>23</v>
      </c>
      <c r="Q533" s="357">
        <f t="shared" ca="1" si="251"/>
        <v>0</v>
      </c>
      <c r="R533" s="359">
        <f t="shared" ca="1" si="252"/>
        <v>0</v>
      </c>
      <c r="S533" s="360">
        <f t="shared" ca="1" si="253"/>
        <v>8.3819999999999997</v>
      </c>
      <c r="T533" s="357">
        <f t="shared" ca="1" si="233"/>
        <v>82.227419999999995</v>
      </c>
      <c r="U533" s="364">
        <f t="shared" ca="1" si="234"/>
        <v>0</v>
      </c>
      <c r="V533" s="359">
        <f t="shared" ca="1" si="235"/>
        <v>1.0657447827169273</v>
      </c>
      <c r="W533" s="357">
        <f t="shared" ca="1" si="236"/>
        <v>2.2537588412041245</v>
      </c>
      <c r="X533" s="343"/>
      <c r="Y533" s="367" t="str">
        <f t="shared" ca="1" si="254"/>
        <v>Apogée</v>
      </c>
      <c r="Z533" s="368" t="str">
        <f t="shared" ca="1" si="255"/>
        <v/>
      </c>
      <c r="AA533" s="369" t="str">
        <f t="shared" ca="1" si="256"/>
        <v/>
      </c>
      <c r="AB533" s="344"/>
      <c r="AC533" s="363" t="e">
        <f t="shared" ca="1" si="257"/>
        <v>#N/A</v>
      </c>
      <c r="AD533" s="376" t="e">
        <f t="shared" ca="1" si="258"/>
        <v>#N/A</v>
      </c>
      <c r="AE533" s="377" t="e">
        <f t="shared" ca="1" si="237"/>
        <v>#N/A</v>
      </c>
      <c r="AF533" s="344"/>
      <c r="AG533" s="359">
        <f t="shared" ca="1" si="259"/>
        <v>-0.6244439261413971</v>
      </c>
      <c r="AH533" s="357">
        <f t="shared" ca="1" si="260"/>
        <v>-0.26974835131133867</v>
      </c>
    </row>
    <row r="534" spans="1:34" x14ac:dyDescent="0.2">
      <c r="A534" s="402">
        <f t="shared" ca="1" si="238"/>
        <v>0.1</v>
      </c>
      <c r="B534" s="357">
        <f t="shared" ca="1" si="239"/>
        <v>16.999999999999929</v>
      </c>
      <c r="C534" s="342"/>
      <c r="D534" s="359">
        <f t="shared" ca="1" si="240"/>
        <v>-0.26888052875221607</v>
      </c>
      <c r="E534" s="360">
        <f t="shared" ca="1" si="241"/>
        <v>-9.8103798702534259</v>
      </c>
      <c r="F534" s="357">
        <f t="shared" ca="1" si="242"/>
        <v>9.81406388492635</v>
      </c>
      <c r="G534" s="359">
        <f t="shared" ca="1" si="243"/>
        <v>28.189196294277441</v>
      </c>
      <c r="H534" s="360">
        <f t="shared" ca="1" si="244"/>
        <v>-0.94117473935405338</v>
      </c>
      <c r="I534" s="357">
        <f t="shared" ca="1" si="245"/>
        <v>28.204903786528028</v>
      </c>
      <c r="J534" s="359">
        <f t="shared" ca="1" si="246"/>
        <v>526.51825887060943</v>
      </c>
      <c r="K534" s="360">
        <f t="shared" ca="1" si="247"/>
        <v>1390.377983597999</v>
      </c>
      <c r="L534" s="357">
        <f t="shared" ca="1" si="232"/>
        <v>1486.7321259050589</v>
      </c>
      <c r="M534" s="359">
        <f t="shared" ca="1" si="248"/>
        <v>-3.3375383969723546E-2</v>
      </c>
      <c r="N534" s="357">
        <f t="shared" ca="1" si="249"/>
        <v>-1.9122686410937426</v>
      </c>
      <c r="O534" s="343"/>
      <c r="P534" s="363">
        <f t="shared" ca="1" si="250"/>
        <v>23</v>
      </c>
      <c r="Q534" s="357">
        <f t="shared" ca="1" si="251"/>
        <v>0</v>
      </c>
      <c r="R534" s="359">
        <f t="shared" ca="1" si="252"/>
        <v>0</v>
      </c>
      <c r="S534" s="360">
        <f t="shared" ca="1" si="253"/>
        <v>8.3819999999999997</v>
      </c>
      <c r="T534" s="357">
        <f t="shared" ca="1" si="233"/>
        <v>82.227419999999995</v>
      </c>
      <c r="U534" s="364">
        <f t="shared" ca="1" si="234"/>
        <v>0</v>
      </c>
      <c r="V534" s="359">
        <f t="shared" ca="1" si="235"/>
        <v>1.0657496088929741</v>
      </c>
      <c r="W534" s="357">
        <f t="shared" ca="1" si="236"/>
        <v>2.251978804318564</v>
      </c>
      <c r="X534" s="343"/>
      <c r="Y534" s="367" t="str">
        <f t="shared" ca="1" si="254"/>
        <v/>
      </c>
      <c r="Z534" s="368" t="str">
        <f t="shared" ca="1" si="255"/>
        <v/>
      </c>
      <c r="AA534" s="369" t="str">
        <f t="shared" ca="1" si="256"/>
        <v/>
      </c>
      <c r="AB534" s="344"/>
      <c r="AC534" s="363">
        <f t="shared" ca="1" si="257"/>
        <v>16.999999999999929</v>
      </c>
      <c r="AD534" s="376">
        <f t="shared" ca="1" si="258"/>
        <v>526.51825887060943</v>
      </c>
      <c r="AE534" s="377" t="e">
        <f t="shared" ca="1" si="237"/>
        <v>#N/A</v>
      </c>
      <c r="AF534" s="344"/>
      <c r="AG534" s="359">
        <f t="shared" ca="1" si="259"/>
        <v>-0.28274019956986673</v>
      </c>
      <c r="AH534" s="357">
        <f t="shared" ca="1" si="260"/>
        <v>-0.26888079708949231</v>
      </c>
    </row>
    <row r="535" spans="1:34" x14ac:dyDescent="0.2">
      <c r="A535" s="402">
        <f t="shared" ca="1" si="238"/>
        <v>0.1</v>
      </c>
      <c r="B535" s="357">
        <f t="shared" ca="1" si="239"/>
        <v>17.09999999999993</v>
      </c>
      <c r="C535" s="342"/>
      <c r="D535" s="359">
        <f t="shared" ca="1" si="240"/>
        <v>-0.26851880969270625</v>
      </c>
      <c r="E535" s="360">
        <f t="shared" ca="1" si="241"/>
        <v>-9.8010347525312209</v>
      </c>
      <c r="F535" s="357">
        <f t="shared" ca="1" si="242"/>
        <v>9.8047123655660364</v>
      </c>
      <c r="G535" s="359">
        <f t="shared" ca="1" si="243"/>
        <v>28.162344413308169</v>
      </c>
      <c r="H535" s="360">
        <f t="shared" ca="1" si="244"/>
        <v>-1.9212782146071756</v>
      </c>
      <c r="I535" s="357">
        <f t="shared" ca="1" si="245"/>
        <v>28.227804605241865</v>
      </c>
      <c r="J535" s="359">
        <f t="shared" ca="1" si="246"/>
        <v>529.33583590598869</v>
      </c>
      <c r="K535" s="360">
        <f t="shared" ca="1" si="247"/>
        <v>1390.234860950301</v>
      </c>
      <c r="L535" s="357">
        <f t="shared" ca="1" si="232"/>
        <v>1487.5985331317704</v>
      </c>
      <c r="M535" s="359">
        <f t="shared" ca="1" si="248"/>
        <v>-6.8115985871875159E-2</v>
      </c>
      <c r="N535" s="357">
        <f t="shared" ca="1" si="249"/>
        <v>-3.9027585078311895</v>
      </c>
      <c r="O535" s="343"/>
      <c r="P535" s="363">
        <f t="shared" ca="1" si="250"/>
        <v>23</v>
      </c>
      <c r="Q535" s="357">
        <f t="shared" ca="1" si="251"/>
        <v>0</v>
      </c>
      <c r="R535" s="359">
        <f t="shared" ca="1" si="252"/>
        <v>0</v>
      </c>
      <c r="S535" s="360">
        <f t="shared" ca="1" si="253"/>
        <v>8.3819999999999997</v>
      </c>
      <c r="T535" s="357">
        <f t="shared" ca="1" si="233"/>
        <v>82.227419999999995</v>
      </c>
      <c r="U535" s="364">
        <f t="shared" ca="1" si="234"/>
        <v>0</v>
      </c>
      <c r="V535" s="359">
        <f t="shared" ca="1" si="235"/>
        <v>1.0657649363613899</v>
      </c>
      <c r="W535" s="357">
        <f t="shared" ca="1" si="236"/>
        <v>2.2556696931797422</v>
      </c>
      <c r="X535" s="343"/>
      <c r="Y535" s="367" t="str">
        <f t="shared" ca="1" si="254"/>
        <v/>
      </c>
      <c r="Z535" s="368" t="str">
        <f t="shared" ca="1" si="255"/>
        <v/>
      </c>
      <c r="AA535" s="369" t="str">
        <f t="shared" ca="1" si="256"/>
        <v/>
      </c>
      <c r="AB535" s="344"/>
      <c r="AC535" s="363" t="e">
        <f t="shared" ca="1" si="257"/>
        <v>#N/A</v>
      </c>
      <c r="AD535" s="376" t="e">
        <f t="shared" ca="1" si="258"/>
        <v>#N/A</v>
      </c>
      <c r="AE535" s="377" t="e">
        <f t="shared" ca="1" si="237"/>
        <v>#N/A</v>
      </c>
      <c r="AF535" s="344"/>
      <c r="AG535" s="359">
        <f t="shared" ca="1" si="259"/>
        <v>5.8683302237348689E-2</v>
      </c>
      <c r="AH535" s="357">
        <f t="shared" ca="1" si="260"/>
        <v>-0.26866843287026532</v>
      </c>
    </row>
    <row r="536" spans="1:34" x14ac:dyDescent="0.2">
      <c r="A536" s="402">
        <f t="shared" ca="1" si="238"/>
        <v>0.1</v>
      </c>
      <c r="B536" s="357">
        <f t="shared" ca="1" si="239"/>
        <v>17.199999999999932</v>
      </c>
      <c r="C536" s="342"/>
      <c r="D536" s="359">
        <f t="shared" ca="1" si="240"/>
        <v>-0.26848470557254339</v>
      </c>
      <c r="E536" s="360">
        <f t="shared" ca="1" si="241"/>
        <v>-9.7916835626962939</v>
      </c>
      <c r="F536" s="357">
        <f t="shared" ca="1" si="242"/>
        <v>9.7953637517502727</v>
      </c>
      <c r="G536" s="359">
        <f t="shared" ca="1" si="243"/>
        <v>28.135495942750914</v>
      </c>
      <c r="H536" s="360">
        <f t="shared" ca="1" si="244"/>
        <v>-2.900446570876805</v>
      </c>
      <c r="I536" s="357">
        <f t="shared" ca="1" si="245"/>
        <v>28.284602211363413</v>
      </c>
      <c r="J536" s="359">
        <f t="shared" ca="1" si="246"/>
        <v>532.15072792379169</v>
      </c>
      <c r="K536" s="360">
        <f t="shared" ca="1" si="247"/>
        <v>1389.9937747110268</v>
      </c>
      <c r="L536" s="357">
        <f t="shared" ca="1" si="232"/>
        <v>1488.3773348735292</v>
      </c>
      <c r="M536" s="359">
        <f t="shared" ca="1" si="248"/>
        <v>-0.10272564645073561</v>
      </c>
      <c r="N536" s="357">
        <f t="shared" ca="1" si="249"/>
        <v>-5.8857459893801947</v>
      </c>
      <c r="O536" s="343"/>
      <c r="P536" s="363">
        <f t="shared" ca="1" si="250"/>
        <v>23</v>
      </c>
      <c r="Q536" s="357">
        <f t="shared" ca="1" si="251"/>
        <v>0</v>
      </c>
      <c r="R536" s="359">
        <f t="shared" ca="1" si="252"/>
        <v>0</v>
      </c>
      <c r="S536" s="360">
        <f t="shared" ca="1" si="253"/>
        <v>8.3819999999999997</v>
      </c>
      <c r="T536" s="357">
        <f t="shared" ca="1" si="233"/>
        <v>82.227419999999995</v>
      </c>
      <c r="U536" s="364">
        <f t="shared" ca="1" si="234"/>
        <v>0</v>
      </c>
      <c r="V536" s="359">
        <f t="shared" ca="1" si="235"/>
        <v>1.0657907555322315</v>
      </c>
      <c r="W536" s="357">
        <f t="shared" ca="1" si="236"/>
        <v>2.264811027755897</v>
      </c>
      <c r="X536" s="343"/>
      <c r="Y536" s="367" t="str">
        <f t="shared" ca="1" si="254"/>
        <v/>
      </c>
      <c r="Z536" s="368" t="str">
        <f t="shared" ca="1" si="255"/>
        <v/>
      </c>
      <c r="AA536" s="369" t="str">
        <f t="shared" ca="1" si="256"/>
        <v/>
      </c>
      <c r="AB536" s="344"/>
      <c r="AC536" s="363" t="e">
        <f t="shared" ca="1" si="257"/>
        <v>#N/A</v>
      </c>
      <c r="AD536" s="376" t="e">
        <f t="shared" ca="1" si="258"/>
        <v>#N/A</v>
      </c>
      <c r="AE536" s="377" t="e">
        <f t="shared" ca="1" si="237"/>
        <v>#N/A</v>
      </c>
      <c r="AF536" s="344"/>
      <c r="AG536" s="359">
        <f t="shared" ca="1" si="259"/>
        <v>0.39859244183681891</v>
      </c>
      <c r="AH536" s="357">
        <f t="shared" ca="1" si="260"/>
        <v>-0.26910876797658584</v>
      </c>
    </row>
    <row r="537" spans="1:34" x14ac:dyDescent="0.2">
      <c r="A537" s="402">
        <f t="shared" ca="1" si="238"/>
        <v>0.1</v>
      </c>
      <c r="B537" s="357">
        <f t="shared" ca="1" si="239"/>
        <v>17.299999999999933</v>
      </c>
      <c r="C537" s="342"/>
      <c r="D537" s="359">
        <f t="shared" ca="1" si="240"/>
        <v>-0.26877496505495369</v>
      </c>
      <c r="E537" s="360">
        <f t="shared" ca="1" si="241"/>
        <v>-9.7822923872634977</v>
      </c>
      <c r="F537" s="357">
        <f t="shared" ca="1" si="242"/>
        <v>9.785984075797062</v>
      </c>
      <c r="G537" s="359">
        <f t="shared" ca="1" si="243"/>
        <v>28.108618446245419</v>
      </c>
      <c r="H537" s="360">
        <f t="shared" ca="1" si="244"/>
        <v>-3.8786758096031546</v>
      </c>
      <c r="I537" s="357">
        <f t="shared" ca="1" si="245"/>
        <v>28.374963559317727</v>
      </c>
      <c r="J537" s="359">
        <f t="shared" ca="1" si="246"/>
        <v>534.96293364324151</v>
      </c>
      <c r="K537" s="360">
        <f t="shared" ca="1" si="247"/>
        <v>1389.6548185920028</v>
      </c>
      <c r="L537" s="357">
        <f t="shared" ca="1" si="232"/>
        <v>1489.0687879369964</v>
      </c>
      <c r="M537" s="359">
        <f t="shared" ca="1" si="248"/>
        <v>-0.13712290562062662</v>
      </c>
      <c r="N537" s="357">
        <f t="shared" ca="1" si="249"/>
        <v>-7.85656376663262</v>
      </c>
      <c r="O537" s="343"/>
      <c r="P537" s="363">
        <f t="shared" ca="1" si="250"/>
        <v>23</v>
      </c>
      <c r="Q537" s="357">
        <f t="shared" ca="1" si="251"/>
        <v>0</v>
      </c>
      <c r="R537" s="359">
        <f t="shared" ca="1" si="252"/>
        <v>0</v>
      </c>
      <c r="S537" s="360">
        <f t="shared" ca="1" si="253"/>
        <v>8.3819999999999997</v>
      </c>
      <c r="T537" s="357">
        <f t="shared" ca="1" si="233"/>
        <v>82.227419999999995</v>
      </c>
      <c r="U537" s="364">
        <f t="shared" ca="1" si="234"/>
        <v>0</v>
      </c>
      <c r="V537" s="359">
        <f t="shared" ca="1" si="235"/>
        <v>1.0658270570784965</v>
      </c>
      <c r="W537" s="357">
        <f t="shared" ca="1" si="236"/>
        <v>2.2793826459269662</v>
      </c>
      <c r="X537" s="343"/>
      <c r="Y537" s="367" t="str">
        <f t="shared" ca="1" si="254"/>
        <v/>
      </c>
      <c r="Z537" s="368" t="str">
        <f t="shared" ca="1" si="255"/>
        <v/>
      </c>
      <c r="AA537" s="369" t="str">
        <f t="shared" ca="1" si="256"/>
        <v/>
      </c>
      <c r="AB537" s="344"/>
      <c r="AC537" s="363" t="e">
        <f t="shared" ca="1" si="257"/>
        <v>#N/A</v>
      </c>
      <c r="AD537" s="376" t="e">
        <f t="shared" ca="1" si="258"/>
        <v>#N/A</v>
      </c>
      <c r="AE537" s="377" t="e">
        <f t="shared" ca="1" si="237"/>
        <v>#N/A</v>
      </c>
      <c r="AF537" s="344"/>
      <c r="AG537" s="359">
        <f t="shared" ca="1" si="259"/>
        <v>0.73576779746172927</v>
      </c>
      <c r="AH537" s="357">
        <f t="shared" ca="1" si="260"/>
        <v>-0.27019935907371717</v>
      </c>
    </row>
    <row r="538" spans="1:34" x14ac:dyDescent="0.2">
      <c r="A538" s="402">
        <f t="shared" ca="1" si="238"/>
        <v>0.1</v>
      </c>
      <c r="B538" s="357">
        <f t="shared" ca="1" si="239"/>
        <v>17.399999999999935</v>
      </c>
      <c r="C538" s="342"/>
      <c r="D538" s="359">
        <f t="shared" ca="1" si="240"/>
        <v>-0.26938522287611905</v>
      </c>
      <c r="E538" s="360">
        <f t="shared" ca="1" si="241"/>
        <v>-9.7728278440851764</v>
      </c>
      <c r="F538" s="357">
        <f t="shared" ca="1" si="242"/>
        <v>9.7765399026665118</v>
      </c>
      <c r="G538" s="359">
        <f t="shared" ca="1" si="243"/>
        <v>28.081679923957807</v>
      </c>
      <c r="H538" s="360">
        <f t="shared" ca="1" si="244"/>
        <v>-4.8559585940116721</v>
      </c>
      <c r="I538" s="357">
        <f t="shared" ca="1" si="245"/>
        <v>28.498439978679023</v>
      </c>
      <c r="J538" s="359">
        <f t="shared" ca="1" si="246"/>
        <v>537.77244856175173</v>
      </c>
      <c r="K538" s="360">
        <f t="shared" ca="1" si="247"/>
        <v>1389.2180868718222</v>
      </c>
      <c r="L538" s="357">
        <f t="shared" ca="1" si="232"/>
        <v>1489.6731518436879</v>
      </c>
      <c r="M538" s="359">
        <f t="shared" ca="1" si="248"/>
        <v>-0.17122933931013057</v>
      </c>
      <c r="N538" s="357">
        <f t="shared" ca="1" si="249"/>
        <v>-9.8107184712839999</v>
      </c>
      <c r="O538" s="343"/>
      <c r="P538" s="363">
        <f t="shared" ca="1" si="250"/>
        <v>23</v>
      </c>
      <c r="Q538" s="357">
        <f t="shared" ca="1" si="251"/>
        <v>0</v>
      </c>
      <c r="R538" s="359">
        <f t="shared" ca="1" si="252"/>
        <v>0</v>
      </c>
      <c r="S538" s="360">
        <f t="shared" ca="1" si="253"/>
        <v>8.3819999999999997</v>
      </c>
      <c r="T538" s="357">
        <f t="shared" ca="1" si="233"/>
        <v>82.227419999999995</v>
      </c>
      <c r="U538" s="364">
        <f t="shared" ca="1" si="234"/>
        <v>0</v>
      </c>
      <c r="V538" s="359">
        <f t="shared" ca="1" si="235"/>
        <v>1.0658738318992131</v>
      </c>
      <c r="W538" s="357">
        <f t="shared" ca="1" si="236"/>
        <v>2.2993646260420775</v>
      </c>
      <c r="X538" s="343"/>
      <c r="Y538" s="367" t="str">
        <f t="shared" ca="1" si="254"/>
        <v/>
      </c>
      <c r="Z538" s="368" t="str">
        <f t="shared" ca="1" si="255"/>
        <v/>
      </c>
      <c r="AA538" s="369" t="str">
        <f t="shared" ca="1" si="256"/>
        <v/>
      </c>
      <c r="AB538" s="344"/>
      <c r="AC538" s="363" t="e">
        <f t="shared" ca="1" si="257"/>
        <v>#N/A</v>
      </c>
      <c r="AD538" s="376" t="e">
        <f t="shared" ca="1" si="258"/>
        <v>#N/A</v>
      </c>
      <c r="AE538" s="377" t="e">
        <f t="shared" ca="1" si="237"/>
        <v>#N/A</v>
      </c>
      <c r="AF538" s="344"/>
      <c r="AG538" s="359">
        <f t="shared" ca="1" si="259"/>
        <v>1.0690263774956219</v>
      </c>
      <c r="AH538" s="357">
        <f t="shared" ca="1" si="260"/>
        <v>-0.27193780075482776</v>
      </c>
    </row>
    <row r="539" spans="1:34" x14ac:dyDescent="0.2">
      <c r="A539" s="402">
        <f t="shared" ca="1" si="238"/>
        <v>0.1</v>
      </c>
      <c r="B539" s="357">
        <f t="shared" ca="1" si="239"/>
        <v>17.499999999999936</v>
      </c>
      <c r="C539" s="342"/>
      <c r="D539" s="359">
        <f t="shared" ca="1" si="240"/>
        <v>-0.27031004641455769</v>
      </c>
      <c r="E539" s="360">
        <f t="shared" ca="1" si="241"/>
        <v>-9.7632572696331241</v>
      </c>
      <c r="F539" s="357">
        <f t="shared" ca="1" si="242"/>
        <v>9.7669985171615892</v>
      </c>
      <c r="G539" s="359">
        <f t="shared" ca="1" si="243"/>
        <v>28.054648919316353</v>
      </c>
      <c r="H539" s="360">
        <f t="shared" ca="1" si="244"/>
        <v>-5.8322843209749848</v>
      </c>
      <c r="I539" s="357">
        <f t="shared" ca="1" si="245"/>
        <v>28.654473758678396</v>
      </c>
      <c r="J539" s="359">
        <f t="shared" ca="1" si="246"/>
        <v>540.57926500391545</v>
      </c>
      <c r="K539" s="360">
        <f t="shared" ca="1" si="247"/>
        <v>1388.6836747260729</v>
      </c>
      <c r="L539" s="357">
        <f t="shared" ca="1" si="232"/>
        <v>1490.1906892082245</v>
      </c>
      <c r="M539" s="359">
        <f t="shared" ca="1" si="248"/>
        <v>-0.20497057446084474</v>
      </c>
      <c r="N539" s="357">
        <f t="shared" ca="1" si="249"/>
        <v>-11.743948840978383</v>
      </c>
      <c r="O539" s="343"/>
      <c r="P539" s="363">
        <f t="shared" ca="1" si="250"/>
        <v>23</v>
      </c>
      <c r="Q539" s="357">
        <f t="shared" ca="1" si="251"/>
        <v>0</v>
      </c>
      <c r="R539" s="359">
        <f t="shared" ca="1" si="252"/>
        <v>0</v>
      </c>
      <c r="S539" s="360">
        <f t="shared" ca="1" si="253"/>
        <v>8.3819999999999997</v>
      </c>
      <c r="T539" s="357">
        <f t="shared" ca="1" si="233"/>
        <v>82.227419999999995</v>
      </c>
      <c r="U539" s="364">
        <f t="shared" ca="1" si="234"/>
        <v>0</v>
      </c>
      <c r="V539" s="359">
        <f t="shared" ca="1" si="235"/>
        <v>1.0659310710832022</v>
      </c>
      <c r="W539" s="357">
        <f t="shared" ca="1" si="236"/>
        <v>2.3247372113424856</v>
      </c>
      <c r="X539" s="343"/>
      <c r="Y539" s="367" t="str">
        <f t="shared" ca="1" si="254"/>
        <v/>
      </c>
      <c r="Z539" s="368" t="str">
        <f t="shared" ca="1" si="255"/>
        <v/>
      </c>
      <c r="AA539" s="369" t="str">
        <f t="shared" ca="1" si="256"/>
        <v/>
      </c>
      <c r="AB539" s="344"/>
      <c r="AC539" s="363" t="e">
        <f t="shared" ca="1" si="257"/>
        <v>#N/A</v>
      </c>
      <c r="AD539" s="376" t="e">
        <f t="shared" ca="1" si="258"/>
        <v>#N/A</v>
      </c>
      <c r="AE539" s="377" t="e">
        <f t="shared" ca="1" si="237"/>
        <v>#N/A</v>
      </c>
      <c r="AF539" s="344"/>
      <c r="AG539" s="359">
        <f t="shared" ca="1" si="259"/>
        <v>1.3972418444717913</v>
      </c>
      <c r="AH539" s="357">
        <f t="shared" ca="1" si="260"/>
        <v>-0.27432171630184654</v>
      </c>
    </row>
    <row r="540" spans="1:34" x14ac:dyDescent="0.2">
      <c r="A540" s="402">
        <f t="shared" ca="1" si="238"/>
        <v>0.1</v>
      </c>
      <c r="B540" s="357">
        <f t="shared" ca="1" si="239"/>
        <v>17.599999999999937</v>
      </c>
      <c r="C540" s="342"/>
      <c r="D540" s="359">
        <f t="shared" ca="1" si="240"/>
        <v>-0.27154300014881122</v>
      </c>
      <c r="E540" s="360">
        <f t="shared" ca="1" si="241"/>
        <v>-9.7535488932050765</v>
      </c>
      <c r="F540" s="357">
        <f t="shared" ca="1" si="242"/>
        <v>9.7573280980538826</v>
      </c>
      <c r="G540" s="359">
        <f t="shared" ca="1" si="243"/>
        <v>28.027494619301471</v>
      </c>
      <c r="H540" s="360">
        <f t="shared" ca="1" si="244"/>
        <v>-6.807639210295493</v>
      </c>
      <c r="I540" s="357">
        <f t="shared" ca="1" si="245"/>
        <v>28.842406388034366</v>
      </c>
      <c r="J540" s="359">
        <f t="shared" ca="1" si="246"/>
        <v>543.38337218084632</v>
      </c>
      <c r="K540" s="360">
        <f t="shared" ca="1" si="247"/>
        <v>1388.0516785495095</v>
      </c>
      <c r="L540" s="357">
        <f t="shared" ca="1" si="232"/>
        <v>1490.6216661134169</v>
      </c>
      <c r="M540" s="359">
        <f t="shared" ca="1" si="248"/>
        <v>-0.23827716789501999</v>
      </c>
      <c r="N540" s="357">
        <f t="shared" ca="1" si="249"/>
        <v>-13.652276074714763</v>
      </c>
      <c r="O540" s="343"/>
      <c r="P540" s="363">
        <f t="shared" ca="1" si="250"/>
        <v>23</v>
      </c>
      <c r="Q540" s="357">
        <f t="shared" ca="1" si="251"/>
        <v>0</v>
      </c>
      <c r="R540" s="359">
        <f t="shared" ca="1" si="252"/>
        <v>0</v>
      </c>
      <c r="S540" s="360">
        <f t="shared" ca="1" si="253"/>
        <v>8.3819999999999997</v>
      </c>
      <c r="T540" s="357">
        <f t="shared" ca="1" si="233"/>
        <v>82.227419999999995</v>
      </c>
      <c r="U540" s="364">
        <f t="shared" ca="1" si="234"/>
        <v>0</v>
      </c>
      <c r="V540" s="359">
        <f t="shared" ca="1" si="235"/>
        <v>1.0659987658737076</v>
      </c>
      <c r="W540" s="357">
        <f t="shared" ca="1" si="236"/>
        <v>2.355480736621788</v>
      </c>
      <c r="X540" s="343"/>
      <c r="Y540" s="367" t="str">
        <f t="shared" ca="1" si="254"/>
        <v/>
      </c>
      <c r="Z540" s="368" t="str">
        <f t="shared" ca="1" si="255"/>
        <v/>
      </c>
      <c r="AA540" s="369" t="str">
        <f t="shared" ca="1" si="256"/>
        <v/>
      </c>
      <c r="AB540" s="344"/>
      <c r="AC540" s="363" t="e">
        <f t="shared" ca="1" si="257"/>
        <v>#N/A</v>
      </c>
      <c r="AD540" s="376" t="e">
        <f t="shared" ca="1" si="258"/>
        <v>#N/A</v>
      </c>
      <c r="AE540" s="377" t="e">
        <f t="shared" ca="1" si="237"/>
        <v>#N/A</v>
      </c>
      <c r="AF540" s="344"/>
      <c r="AG540" s="359">
        <f t="shared" ca="1" si="259"/>
        <v>1.7193624689446199</v>
      </c>
      <c r="AH540" s="357">
        <f t="shared" ca="1" si="260"/>
        <v>-0.27734874866887205</v>
      </c>
    </row>
    <row r="541" spans="1:34" x14ac:dyDescent="0.2">
      <c r="A541" s="402">
        <f t="shared" ca="1" si="238"/>
        <v>0.1</v>
      </c>
      <c r="B541" s="357">
        <f t="shared" ca="1" si="239"/>
        <v>17.699999999999939</v>
      </c>
      <c r="C541" s="342"/>
      <c r="D541" s="359">
        <f t="shared" ca="1" si="240"/>
        <v>-0.27307672548725836</v>
      </c>
      <c r="E541" s="360">
        <f t="shared" ca="1" si="241"/>
        <v>-9.7436719942650196</v>
      </c>
      <c r="F541" s="357">
        <f t="shared" ca="1" si="242"/>
        <v>9.7474978753435639</v>
      </c>
      <c r="G541" s="359">
        <f t="shared" ca="1" si="243"/>
        <v>28.000186946752745</v>
      </c>
      <c r="H541" s="360">
        <f t="shared" ca="1" si="244"/>
        <v>-7.782006409721995</v>
      </c>
      <c r="I541" s="357">
        <f t="shared" ca="1" si="245"/>
        <v>29.061488138325902</v>
      </c>
      <c r="J541" s="359">
        <f t="shared" ca="1" si="246"/>
        <v>546.18475625914903</v>
      </c>
      <c r="K541" s="360">
        <f t="shared" ca="1" si="247"/>
        <v>1387.3221962685086</v>
      </c>
      <c r="L541" s="357">
        <f t="shared" ca="1" si="232"/>
        <v>1490.9663524805462</v>
      </c>
      <c r="M541" s="359">
        <f t="shared" ca="1" si="248"/>
        <v>-0.27108532664266094</v>
      </c>
      <c r="N541" s="357">
        <f t="shared" ca="1" si="249"/>
        <v>-15.532045104549802</v>
      </c>
      <c r="O541" s="343"/>
      <c r="P541" s="363">
        <f t="shared" ca="1" si="250"/>
        <v>23</v>
      </c>
      <c r="Q541" s="357">
        <f t="shared" ca="1" si="251"/>
        <v>0</v>
      </c>
      <c r="R541" s="359">
        <f t="shared" ca="1" si="252"/>
        <v>0</v>
      </c>
      <c r="S541" s="360">
        <f t="shared" ca="1" si="253"/>
        <v>8.3819999999999997</v>
      </c>
      <c r="T541" s="357">
        <f t="shared" ca="1" si="233"/>
        <v>82.227419999999995</v>
      </c>
      <c r="U541" s="364">
        <f t="shared" ca="1" si="234"/>
        <v>0</v>
      </c>
      <c r="V541" s="359">
        <f t="shared" ca="1" si="235"/>
        <v>1.0660769076340531</v>
      </c>
      <c r="W541" s="357">
        <f t="shared" ca="1" si="236"/>
        <v>2.3915755574618953</v>
      </c>
      <c r="X541" s="343"/>
      <c r="Y541" s="367" t="str">
        <f t="shared" ca="1" si="254"/>
        <v/>
      </c>
      <c r="Z541" s="368" t="str">
        <f t="shared" ca="1" si="255"/>
        <v/>
      </c>
      <c r="AA541" s="369" t="str">
        <f t="shared" ca="1" si="256"/>
        <v/>
      </c>
      <c r="AB541" s="344"/>
      <c r="AC541" s="363" t="e">
        <f t="shared" ca="1" si="257"/>
        <v>#N/A</v>
      </c>
      <c r="AD541" s="376" t="e">
        <f t="shared" ca="1" si="258"/>
        <v>#N/A</v>
      </c>
      <c r="AE541" s="377" t="e">
        <f t="shared" ca="1" si="237"/>
        <v>#N/A</v>
      </c>
      <c r="AF541" s="344"/>
      <c r="AG541" s="359">
        <f t="shared" ca="1" si="259"/>
        <v>2.0344261944283963</v>
      </c>
      <c r="AH541" s="357">
        <f t="shared" ca="1" si="260"/>
        <v>-0.28101655173249679</v>
      </c>
    </row>
    <row r="542" spans="1:34" x14ac:dyDescent="0.2">
      <c r="A542" s="402">
        <f t="shared" ca="1" si="238"/>
        <v>0.1</v>
      </c>
      <c r="B542" s="357">
        <f t="shared" ca="1" si="239"/>
        <v>17.79999999999994</v>
      </c>
      <c r="C542" s="342"/>
      <c r="D542" s="359">
        <f t="shared" ca="1" si="240"/>
        <v>-0.27490303297357971</v>
      </c>
      <c r="E542" s="360">
        <f t="shared" ca="1" si="241"/>
        <v>-9.7335970399511744</v>
      </c>
      <c r="F542" s="357">
        <f t="shared" ca="1" si="242"/>
        <v>9.737478267687397</v>
      </c>
      <c r="G542" s="359">
        <f t="shared" ca="1" si="243"/>
        <v>27.972696643455386</v>
      </c>
      <c r="H542" s="360">
        <f t="shared" ca="1" si="244"/>
        <v>-8.7553661137171126</v>
      </c>
      <c r="I542" s="357">
        <f t="shared" ca="1" si="245"/>
        <v>29.310888647258821</v>
      </c>
      <c r="J542" s="359">
        <f t="shared" ca="1" si="246"/>
        <v>548.98340043865949</v>
      </c>
      <c r="K542" s="360">
        <f t="shared" ca="1" si="247"/>
        <v>1386.4953276423366</v>
      </c>
      <c r="L542" s="357">
        <f t="shared" ca="1" si="232"/>
        <v>1491.2250224333093</v>
      </c>
      <c r="M542" s="359">
        <f t="shared" ca="1" si="248"/>
        <v>-0.30333745639443771</v>
      </c>
      <c r="N542" s="357">
        <f t="shared" ca="1" si="249"/>
        <v>-17.379956019634928</v>
      </c>
      <c r="O542" s="343"/>
      <c r="P542" s="363">
        <f t="shared" ca="1" si="250"/>
        <v>23</v>
      </c>
      <c r="Q542" s="357">
        <f t="shared" ca="1" si="251"/>
        <v>0</v>
      </c>
      <c r="R542" s="359">
        <f t="shared" ca="1" si="252"/>
        <v>0</v>
      </c>
      <c r="S542" s="360">
        <f t="shared" ca="1" si="253"/>
        <v>8.3819999999999997</v>
      </c>
      <c r="T542" s="357">
        <f t="shared" ca="1" si="233"/>
        <v>82.227419999999995</v>
      </c>
      <c r="U542" s="364">
        <f t="shared" ca="1" si="234"/>
        <v>0</v>
      </c>
      <c r="V542" s="359">
        <f t="shared" ca="1" si="235"/>
        <v>1.0661654878144917</v>
      </c>
      <c r="W542" s="357">
        <f t="shared" ca="1" si="236"/>
        <v>2.4330019823428701</v>
      </c>
      <c r="X542" s="343"/>
      <c r="Y542" s="367" t="str">
        <f t="shared" ca="1" si="254"/>
        <v/>
      </c>
      <c r="Z542" s="368" t="str">
        <f t="shared" ca="1" si="255"/>
        <v/>
      </c>
      <c r="AA542" s="369" t="str">
        <f t="shared" ca="1" si="256"/>
        <v/>
      </c>
      <c r="AB542" s="344"/>
      <c r="AC542" s="363" t="e">
        <f t="shared" ca="1" si="257"/>
        <v>#N/A</v>
      </c>
      <c r="AD542" s="376" t="e">
        <f t="shared" ca="1" si="258"/>
        <v>#N/A</v>
      </c>
      <c r="AE542" s="377" t="e">
        <f t="shared" ca="1" si="237"/>
        <v>#N/A</v>
      </c>
      <c r="AF542" s="344"/>
      <c r="AG542" s="359">
        <f t="shared" ca="1" si="259"/>
        <v>2.3415723900703709</v>
      </c>
      <c r="AH542" s="357">
        <f t="shared" ca="1" si="260"/>
        <v>-0.28532278184942678</v>
      </c>
    </row>
    <row r="543" spans="1:34" x14ac:dyDescent="0.2">
      <c r="A543" s="402">
        <f t="shared" ca="1" si="238"/>
        <v>0.1</v>
      </c>
      <c r="B543" s="357">
        <f t="shared" ca="1" si="239"/>
        <v>17.899999999999942</v>
      </c>
      <c r="C543" s="342"/>
      <c r="D543" s="359">
        <f t="shared" ca="1" si="240"/>
        <v>-0.27701300358616859</v>
      </c>
      <c r="E543" s="360">
        <f t="shared" ca="1" si="241"/>
        <v>-9.7232958007026902</v>
      </c>
      <c r="F543" s="357">
        <f t="shared" ca="1" si="242"/>
        <v>9.7272409979458416</v>
      </c>
      <c r="G543" s="359">
        <f t="shared" ca="1" si="243"/>
        <v>27.944995343096767</v>
      </c>
      <c r="H543" s="360">
        <f t="shared" ca="1" si="244"/>
        <v>-9.727695693787382</v>
      </c>
      <c r="I543" s="357">
        <f t="shared" ca="1" si="245"/>
        <v>29.589708147202629</v>
      </c>
      <c r="J543" s="359">
        <f t="shared" ca="1" si="246"/>
        <v>551.77928503798705</v>
      </c>
      <c r="K543" s="360">
        <f t="shared" ca="1" si="247"/>
        <v>1385.5711745519613</v>
      </c>
      <c r="L543" s="357">
        <f t="shared" ca="1" si="232"/>
        <v>1491.3979546540668</v>
      </c>
      <c r="M543" s="359">
        <f t="shared" ca="1" si="248"/>
        <v>-0.33498253382914095</v>
      </c>
      <c r="N543" s="357">
        <f t="shared" ca="1" si="249"/>
        <v>-19.193085399008101</v>
      </c>
      <c r="O543" s="343"/>
      <c r="P543" s="363">
        <f t="shared" ca="1" si="250"/>
        <v>23</v>
      </c>
      <c r="Q543" s="357">
        <f t="shared" ca="1" si="251"/>
        <v>0</v>
      </c>
      <c r="R543" s="359">
        <f t="shared" ca="1" si="252"/>
        <v>0</v>
      </c>
      <c r="S543" s="360">
        <f t="shared" ca="1" si="253"/>
        <v>8.3819999999999997</v>
      </c>
      <c r="T543" s="357">
        <f t="shared" ca="1" si="233"/>
        <v>82.227419999999995</v>
      </c>
      <c r="U543" s="364">
        <f t="shared" ca="1" si="234"/>
        <v>0</v>
      </c>
      <c r="V543" s="359">
        <f t="shared" ca="1" si="235"/>
        <v>1.0662644979203635</v>
      </c>
      <c r="W543" s="357">
        <f t="shared" ca="1" si="236"/>
        <v>2.4797402078789155</v>
      </c>
      <c r="X543" s="343"/>
      <c r="Y543" s="367" t="str">
        <f t="shared" ca="1" si="254"/>
        <v/>
      </c>
      <c r="Z543" s="368" t="str">
        <f t="shared" ca="1" si="255"/>
        <v/>
      </c>
      <c r="AA543" s="369" t="str">
        <f t="shared" ca="1" si="256"/>
        <v/>
      </c>
      <c r="AB543" s="344"/>
      <c r="AC543" s="363" t="e">
        <f t="shared" ca="1" si="257"/>
        <v>#N/A</v>
      </c>
      <c r="AD543" s="376" t="e">
        <f t="shared" ca="1" si="258"/>
        <v>#N/A</v>
      </c>
      <c r="AE543" s="377" t="e">
        <f t="shared" ca="1" si="237"/>
        <v>#N/A</v>
      </c>
      <c r="AF543" s="344"/>
      <c r="AG543" s="359">
        <f t="shared" ca="1" si="259"/>
        <v>2.6400500777293479</v>
      </c>
      <c r="AH543" s="357">
        <f t="shared" ca="1" si="260"/>
        <v>-0.29026508975696375</v>
      </c>
    </row>
    <row r="544" spans="1:34" x14ac:dyDescent="0.2">
      <c r="A544" s="402">
        <f t="shared" ca="1" si="238"/>
        <v>0.1</v>
      </c>
      <c r="B544" s="357">
        <f t="shared" ca="1" si="239"/>
        <v>17.999999999999943</v>
      </c>
      <c r="C544" s="342"/>
      <c r="D544" s="359">
        <f t="shared" ca="1" si="240"/>
        <v>-0.27939709576257155</v>
      </c>
      <c r="E544" s="360">
        <f t="shared" ca="1" si="241"/>
        <v>-9.7127414428974799</v>
      </c>
      <c r="F544" s="357">
        <f t="shared" ca="1" si="242"/>
        <v>9.7167591857418589</v>
      </c>
      <c r="G544" s="359">
        <f t="shared" ca="1" si="243"/>
        <v>27.917055633520512</v>
      </c>
      <c r="H544" s="360">
        <f t="shared" ca="1" si="244"/>
        <v>-10.698969838077129</v>
      </c>
      <c r="I544" s="357">
        <f t="shared" ca="1" si="245"/>
        <v>29.896988992892972</v>
      </c>
      <c r="J544" s="359">
        <f t="shared" ca="1" si="246"/>
        <v>554.57238758681797</v>
      </c>
      <c r="K544" s="360">
        <f t="shared" ca="1" si="247"/>
        <v>1384.5498412753682</v>
      </c>
      <c r="L544" s="357">
        <f t="shared" ca="1" si="232"/>
        <v>1491.4854327312053</v>
      </c>
      <c r="M544" s="359">
        <f t="shared" ca="1" si="248"/>
        <v>-0.36597630694910749</v>
      </c>
      <c r="N544" s="357">
        <f t="shared" ca="1" si="249"/>
        <v>-20.968897789968199</v>
      </c>
      <c r="O544" s="343"/>
      <c r="P544" s="363">
        <f t="shared" ca="1" si="250"/>
        <v>23</v>
      </c>
      <c r="Q544" s="357">
        <f t="shared" ca="1" si="251"/>
        <v>0</v>
      </c>
      <c r="R544" s="359">
        <f t="shared" ca="1" si="252"/>
        <v>0</v>
      </c>
      <c r="S544" s="360">
        <f t="shared" ca="1" si="253"/>
        <v>8.3819999999999997</v>
      </c>
      <c r="T544" s="357">
        <f t="shared" ca="1" si="233"/>
        <v>82.227419999999995</v>
      </c>
      <c r="U544" s="364">
        <f t="shared" ca="1" si="234"/>
        <v>0</v>
      </c>
      <c r="V544" s="359">
        <f t="shared" ca="1" si="235"/>
        <v>1.066373929481681</v>
      </c>
      <c r="W544" s="357">
        <f t="shared" ca="1" si="236"/>
        <v>2.5317702573840064</v>
      </c>
      <c r="X544" s="343"/>
      <c r="Y544" s="367" t="str">
        <f t="shared" ca="1" si="254"/>
        <v/>
      </c>
      <c r="Z544" s="368" t="str">
        <f t="shared" ca="1" si="255"/>
        <v/>
      </c>
      <c r="AA544" s="369" t="str">
        <f t="shared" ca="1" si="256"/>
        <v/>
      </c>
      <c r="AB544" s="344"/>
      <c r="AC544" s="363">
        <f t="shared" ca="1" si="257"/>
        <v>17.999999999999943</v>
      </c>
      <c r="AD544" s="376">
        <f t="shared" ca="1" si="258"/>
        <v>554.57238758681797</v>
      </c>
      <c r="AE544" s="377" t="e">
        <f t="shared" ca="1" si="237"/>
        <v>#N/A</v>
      </c>
      <c r="AF544" s="344"/>
      <c r="AG544" s="359">
        <f t="shared" ca="1" si="259"/>
        <v>2.9292226249003526</v>
      </c>
      <c r="AH544" s="357">
        <f t="shared" ca="1" si="260"/>
        <v>-0.2958411128464466</v>
      </c>
    </row>
    <row r="545" spans="1:34" x14ac:dyDescent="0.2">
      <c r="A545" s="402">
        <f t="shared" ca="1" si="238"/>
        <v>0.1</v>
      </c>
      <c r="B545" s="357">
        <f t="shared" ca="1" si="239"/>
        <v>18.099999999999945</v>
      </c>
      <c r="C545" s="342"/>
      <c r="D545" s="359">
        <f t="shared" ca="1" si="240"/>
        <v>-0.28204525487646853</v>
      </c>
      <c r="E545" s="360">
        <f t="shared" ca="1" si="241"/>
        <v>-9.7019085982952724</v>
      </c>
      <c r="F545" s="357">
        <f t="shared" ca="1" si="242"/>
        <v>9.7060074168256261</v>
      </c>
      <c r="G545" s="359">
        <f t="shared" ca="1" si="243"/>
        <v>27.888851108032863</v>
      </c>
      <c r="H545" s="360">
        <f t="shared" ca="1" si="244"/>
        <v>-11.669160697906657</v>
      </c>
      <c r="I545" s="357">
        <f t="shared" ca="1" si="245"/>
        <v>30.23172716732531</v>
      </c>
      <c r="J545" s="359">
        <f t="shared" ca="1" si="246"/>
        <v>557.36268292389559</v>
      </c>
      <c r="K545" s="360">
        <f t="shared" ca="1" si="247"/>
        <v>1383.431434748569</v>
      </c>
      <c r="L545" s="357">
        <f t="shared" ca="1" si="232"/>
        <v>1491.4877454966256</v>
      </c>
      <c r="M545" s="359">
        <f t="shared" ca="1" si="248"/>
        <v>-0.39628133469614418</v>
      </c>
      <c r="N545" s="357">
        <f t="shared" ca="1" si="249"/>
        <v>-22.705247977900257</v>
      </c>
      <c r="O545" s="343"/>
      <c r="P545" s="363">
        <f t="shared" ca="1" si="250"/>
        <v>23</v>
      </c>
      <c r="Q545" s="357">
        <f t="shared" ca="1" si="251"/>
        <v>0</v>
      </c>
      <c r="R545" s="359">
        <f t="shared" ca="1" si="252"/>
        <v>0</v>
      </c>
      <c r="S545" s="360">
        <f t="shared" ca="1" si="253"/>
        <v>8.3819999999999997</v>
      </c>
      <c r="T545" s="357">
        <f t="shared" ca="1" si="233"/>
        <v>82.227419999999995</v>
      </c>
      <c r="U545" s="364">
        <f t="shared" ca="1" si="234"/>
        <v>0</v>
      </c>
      <c r="V545" s="359">
        <f t="shared" ca="1" si="235"/>
        <v>1.0664937740242135</v>
      </c>
      <c r="W545" s="357">
        <f t="shared" ca="1" si="236"/>
        <v>2.5890719229204957</v>
      </c>
      <c r="X545" s="343"/>
      <c r="Y545" s="367" t="str">
        <f t="shared" ca="1" si="254"/>
        <v/>
      </c>
      <c r="Z545" s="368" t="str">
        <f t="shared" ca="1" si="255"/>
        <v/>
      </c>
      <c r="AA545" s="369" t="str">
        <f t="shared" ca="1" si="256"/>
        <v/>
      </c>
      <c r="AB545" s="344"/>
      <c r="AC545" s="363" t="e">
        <f t="shared" ca="1" si="257"/>
        <v>#N/A</v>
      </c>
      <c r="AD545" s="376" t="e">
        <f t="shared" ca="1" si="258"/>
        <v>#N/A</v>
      </c>
      <c r="AE545" s="377" t="e">
        <f t="shared" ca="1" si="237"/>
        <v>#N/A</v>
      </c>
      <c r="AF545" s="344"/>
      <c r="AG545" s="359">
        <f t="shared" ca="1" si="259"/>
        <v>3.2085690775144218</v>
      </c>
      <c r="AH545" s="357">
        <f t="shared" ca="1" si="260"/>
        <v>-0.30204846783393063</v>
      </c>
    </row>
    <row r="546" spans="1:34" x14ac:dyDescent="0.2">
      <c r="A546" s="402">
        <f t="shared" ca="1" si="238"/>
        <v>0.1</v>
      </c>
      <c r="B546" s="357">
        <f t="shared" ca="1" si="239"/>
        <v>18.199999999999946</v>
      </c>
      <c r="C546" s="342"/>
      <c r="D546" s="359">
        <f t="shared" ca="1" si="240"/>
        <v>-0.28494702214650769</v>
      </c>
      <c r="E546" s="360">
        <f t="shared" ca="1" si="241"/>
        <v>-9.6907734108896353</v>
      </c>
      <c r="F546" s="357">
        <f t="shared" ca="1" si="242"/>
        <v>9.6949617898491844</v>
      </c>
      <c r="G546" s="359">
        <f t="shared" ca="1" si="243"/>
        <v>27.860356405818212</v>
      </c>
      <c r="H546" s="360">
        <f t="shared" ca="1" si="244"/>
        <v>-12.63823803899562</v>
      </c>
      <c r="I546" s="357">
        <f t="shared" ca="1" si="245"/>
        <v>30.592883482756768</v>
      </c>
      <c r="J546" s="359">
        <f t="shared" ca="1" si="246"/>
        <v>560.15014329958819</v>
      </c>
      <c r="K546" s="360">
        <f t="shared" ca="1" si="247"/>
        <v>1382.216064811724</v>
      </c>
      <c r="L546" s="357">
        <f t="shared" ca="1" si="232"/>
        <v>1491.4051873525709</v>
      </c>
      <c r="M546" s="359">
        <f t="shared" ca="1" si="248"/>
        <v>-0.42586688266103501</v>
      </c>
      <c r="N546" s="357">
        <f t="shared" ca="1" si="249"/>
        <v>-24.400375010870363</v>
      </c>
      <c r="O546" s="343"/>
      <c r="P546" s="363">
        <f t="shared" ca="1" si="250"/>
        <v>23</v>
      </c>
      <c r="Q546" s="357">
        <f t="shared" ca="1" si="251"/>
        <v>0</v>
      </c>
      <c r="R546" s="359">
        <f t="shared" ca="1" si="252"/>
        <v>0</v>
      </c>
      <c r="S546" s="360">
        <f t="shared" ca="1" si="253"/>
        <v>8.3819999999999997</v>
      </c>
      <c r="T546" s="357">
        <f t="shared" ca="1" si="233"/>
        <v>82.227419999999995</v>
      </c>
      <c r="U546" s="364">
        <f t="shared" ca="1" si="234"/>
        <v>0</v>
      </c>
      <c r="V546" s="359">
        <f t="shared" ca="1" si="235"/>
        <v>1.0666240230421344</v>
      </c>
      <c r="W546" s="357">
        <f t="shared" ca="1" si="236"/>
        <v>2.6516247109347035</v>
      </c>
      <c r="X546" s="343"/>
      <c r="Y546" s="367" t="str">
        <f t="shared" ca="1" si="254"/>
        <v/>
      </c>
      <c r="Z546" s="368" t="str">
        <f t="shared" ca="1" si="255"/>
        <v/>
      </c>
      <c r="AA546" s="369" t="str">
        <f t="shared" ca="1" si="256"/>
        <v/>
      </c>
      <c r="AB546" s="344"/>
      <c r="AC546" s="363" t="e">
        <f t="shared" ca="1" si="257"/>
        <v>#N/A</v>
      </c>
      <c r="AD546" s="376" t="e">
        <f t="shared" ca="1" si="258"/>
        <v>#N/A</v>
      </c>
      <c r="AE546" s="377" t="e">
        <f t="shared" ca="1" si="237"/>
        <v>#N/A</v>
      </c>
      <c r="AF546" s="344"/>
      <c r="AG546" s="359">
        <f t="shared" ca="1" si="259"/>
        <v>3.4776824546757314</v>
      </c>
      <c r="AH546" s="357">
        <f t="shared" ca="1" si="260"/>
        <v>-0.30888474384639653</v>
      </c>
    </row>
    <row r="547" spans="1:34" x14ac:dyDescent="0.2">
      <c r="A547" s="402">
        <f t="shared" ca="1" si="238"/>
        <v>0.1</v>
      </c>
      <c r="B547" s="357">
        <f t="shared" ca="1" si="239"/>
        <v>18.299999999999947</v>
      </c>
      <c r="C547" s="342"/>
      <c r="D547" s="359">
        <f t="shared" ca="1" si="240"/>
        <v>-0.28809164032641449</v>
      </c>
      <c r="E547" s="360">
        <f t="shared" ca="1" si="241"/>
        <v>-9.6793135624521458</v>
      </c>
      <c r="F547" s="357">
        <f t="shared" ca="1" si="242"/>
        <v>9.6835999418344425</v>
      </c>
      <c r="G547" s="359">
        <f t="shared" ca="1" si="243"/>
        <v>27.831547241785572</v>
      </c>
      <c r="H547" s="360">
        <f t="shared" ca="1" si="244"/>
        <v>-13.606169395240835</v>
      </c>
      <c r="I547" s="357">
        <f t="shared" ca="1" si="245"/>
        <v>30.979394240103055</v>
      </c>
      <c r="J547" s="359">
        <f t="shared" ca="1" si="246"/>
        <v>562.93473848196834</v>
      </c>
      <c r="K547" s="360">
        <f t="shared" ca="1" si="247"/>
        <v>1380.9038444400121</v>
      </c>
      <c r="L547" s="357">
        <f t="shared" ca="1" si="232"/>
        <v>1491.2380585872154</v>
      </c>
      <c r="M547" s="359">
        <f t="shared" ca="1" si="248"/>
        <v>-0.45470869549000908</v>
      </c>
      <c r="N547" s="357">
        <f t="shared" ca="1" si="249"/>
        <v>-26.052889159476852</v>
      </c>
      <c r="O547" s="343"/>
      <c r="P547" s="363">
        <f t="shared" ca="1" si="250"/>
        <v>23</v>
      </c>
      <c r="Q547" s="357">
        <f t="shared" ca="1" si="251"/>
        <v>0</v>
      </c>
      <c r="R547" s="359">
        <f t="shared" ca="1" si="252"/>
        <v>0</v>
      </c>
      <c r="S547" s="360">
        <f t="shared" ca="1" si="253"/>
        <v>8.3819999999999997</v>
      </c>
      <c r="T547" s="357">
        <f t="shared" ca="1" si="233"/>
        <v>82.227419999999995</v>
      </c>
      <c r="U547" s="364">
        <f t="shared" ca="1" si="234"/>
        <v>0</v>
      </c>
      <c r="V547" s="359">
        <f t="shared" ca="1" si="235"/>
        <v>1.0667646679722655</v>
      </c>
      <c r="W547" s="357">
        <f t="shared" ca="1" si="236"/>
        <v>2.7194077915363408</v>
      </c>
      <c r="X547" s="343"/>
      <c r="Y547" s="367" t="str">
        <f t="shared" ca="1" si="254"/>
        <v/>
      </c>
      <c r="Z547" s="368" t="str">
        <f t="shared" ca="1" si="255"/>
        <v/>
      </c>
      <c r="AA547" s="369" t="str">
        <f t="shared" ca="1" si="256"/>
        <v/>
      </c>
      <c r="AB547" s="344"/>
      <c r="AC547" s="363" t="e">
        <f t="shared" ca="1" si="257"/>
        <v>#N/A</v>
      </c>
      <c r="AD547" s="376" t="e">
        <f t="shared" ca="1" si="258"/>
        <v>#N/A</v>
      </c>
      <c r="AE547" s="377" t="e">
        <f t="shared" ca="1" si="237"/>
        <v>#N/A</v>
      </c>
      <c r="AF547" s="344"/>
      <c r="AG547" s="359">
        <f t="shared" ca="1" si="259"/>
        <v>3.7362654338792058</v>
      </c>
      <c r="AH547" s="357">
        <f t="shared" ca="1" si="260"/>
        <v>-0.31634749593589878</v>
      </c>
    </row>
    <row r="548" spans="1:34" x14ac:dyDescent="0.2">
      <c r="A548" s="402">
        <f t="shared" ca="1" si="238"/>
        <v>0.1</v>
      </c>
      <c r="B548" s="357">
        <f t="shared" ca="1" si="239"/>
        <v>18.399999999999949</v>
      </c>
      <c r="C548" s="342"/>
      <c r="D548" s="359">
        <f t="shared" ca="1" si="240"/>
        <v>-0.29146815397325859</v>
      </c>
      <c r="E548" s="360">
        <f t="shared" ca="1" si="241"/>
        <v>-9.6675082785794899</v>
      </c>
      <c r="F548" s="357">
        <f t="shared" ca="1" si="242"/>
        <v>9.6719010541456392</v>
      </c>
      <c r="G548" s="359">
        <f t="shared" ca="1" si="243"/>
        <v>27.802400426388246</v>
      </c>
      <c r="H548" s="360">
        <f t="shared" ca="1" si="244"/>
        <v>-14.572920223098784</v>
      </c>
      <c r="I548" s="357">
        <f t="shared" ca="1" si="245"/>
        <v>31.390181160643767</v>
      </c>
      <c r="J548" s="359">
        <f t="shared" ca="1" si="246"/>
        <v>565.71643586537698</v>
      </c>
      <c r="K548" s="360">
        <f t="shared" ca="1" si="247"/>
        <v>1379.4948899590952</v>
      </c>
      <c r="L548" s="357">
        <f t="shared" ca="1" si="232"/>
        <v>1490.986665678631</v>
      </c>
      <c r="M548" s="359">
        <f t="shared" ca="1" si="248"/>
        <v>-0.48278866866023928</v>
      </c>
      <c r="N548" s="357">
        <f t="shared" ca="1" si="249"/>
        <v>-27.661753110971627</v>
      </c>
      <c r="O548" s="343"/>
      <c r="P548" s="363">
        <f t="shared" ca="1" si="250"/>
        <v>23</v>
      </c>
      <c r="Q548" s="357">
        <f t="shared" ca="1" si="251"/>
        <v>0</v>
      </c>
      <c r="R548" s="359">
        <f t="shared" ca="1" si="252"/>
        <v>0</v>
      </c>
      <c r="S548" s="360">
        <f t="shared" ca="1" si="253"/>
        <v>8.3819999999999997</v>
      </c>
      <c r="T548" s="357">
        <f t="shared" ca="1" si="233"/>
        <v>82.227419999999995</v>
      </c>
      <c r="U548" s="364">
        <f t="shared" ca="1" si="234"/>
        <v>0</v>
      </c>
      <c r="V548" s="359">
        <f t="shared" ca="1" si="235"/>
        <v>1.0669157001699281</v>
      </c>
      <c r="W548" s="357">
        <f t="shared" ca="1" si="236"/>
        <v>2.792399951435129</v>
      </c>
      <c r="X548" s="343"/>
      <c r="Y548" s="367" t="str">
        <f t="shared" ca="1" si="254"/>
        <v/>
      </c>
      <c r="Z548" s="368" t="str">
        <f t="shared" ca="1" si="255"/>
        <v/>
      </c>
      <c r="AA548" s="369" t="str">
        <f t="shared" ca="1" si="256"/>
        <v/>
      </c>
      <c r="AB548" s="344"/>
      <c r="AC548" s="363" t="e">
        <f t="shared" ca="1" si="257"/>
        <v>#N/A</v>
      </c>
      <c r="AD548" s="376" t="e">
        <f t="shared" ca="1" si="258"/>
        <v>#N/A</v>
      </c>
      <c r="AE548" s="377" t="e">
        <f t="shared" ca="1" si="237"/>
        <v>#N/A</v>
      </c>
      <c r="AF548" s="344"/>
      <c r="AG548" s="359">
        <f t="shared" ca="1" si="259"/>
        <v>3.9841239184621409</v>
      </c>
      <c r="AH548" s="357">
        <f t="shared" ca="1" si="260"/>
        <v>-0.32443423902843488</v>
      </c>
    </row>
    <row r="549" spans="1:34" x14ac:dyDescent="0.2">
      <c r="A549" s="402">
        <f t="shared" ca="1" si="238"/>
        <v>0.1</v>
      </c>
      <c r="B549" s="357">
        <f t="shared" ca="1" si="239"/>
        <v>18.49999999999995</v>
      </c>
      <c r="C549" s="342"/>
      <c r="D549" s="359">
        <f t="shared" ca="1" si="240"/>
        <v>-0.29506550257556485</v>
      </c>
      <c r="E549" s="360">
        <f t="shared" ca="1" si="241"/>
        <v>-9.6553383174230891</v>
      </c>
      <c r="F549" s="357">
        <f t="shared" ca="1" si="242"/>
        <v>9.6598458411461561</v>
      </c>
      <c r="G549" s="359">
        <f t="shared" ca="1" si="243"/>
        <v>27.772893876130688</v>
      </c>
      <c r="H549" s="360">
        <f t="shared" ca="1" si="244"/>
        <v>-15.538454054841093</v>
      </c>
      <c r="I549" s="357">
        <f t="shared" ca="1" si="245"/>
        <v>31.824160455057175</v>
      </c>
      <c r="J549" s="359">
        <f t="shared" ca="1" si="246"/>
        <v>568.49520058050291</v>
      </c>
      <c r="K549" s="360">
        <f t="shared" ca="1" si="247"/>
        <v>1377.9893212451982</v>
      </c>
      <c r="L549" s="357">
        <f t="shared" ca="1" si="232"/>
        <v>1490.6513215869325</v>
      </c>
      <c r="M549" s="359">
        <f t="shared" ca="1" si="248"/>
        <v>-0.5100944428135501</v>
      </c>
      <c r="N549" s="357">
        <f t="shared" ca="1" si="249"/>
        <v>-29.226258726293747</v>
      </c>
      <c r="O549" s="343"/>
      <c r="P549" s="363">
        <f t="shared" ca="1" si="250"/>
        <v>23</v>
      </c>
      <c r="Q549" s="357">
        <f t="shared" ca="1" si="251"/>
        <v>0</v>
      </c>
      <c r="R549" s="359">
        <f t="shared" ca="1" si="252"/>
        <v>0</v>
      </c>
      <c r="S549" s="360">
        <f t="shared" ca="1" si="253"/>
        <v>8.3819999999999997</v>
      </c>
      <c r="T549" s="357">
        <f t="shared" ca="1" si="233"/>
        <v>82.227419999999995</v>
      </c>
      <c r="U549" s="364">
        <f t="shared" ca="1" si="234"/>
        <v>0</v>
      </c>
      <c r="V549" s="359">
        <f t="shared" ca="1" si="235"/>
        <v>1.0670771108863999</v>
      </c>
      <c r="W549" s="357">
        <f t="shared" ca="1" si="236"/>
        <v>2.8705795505088654</v>
      </c>
      <c r="X549" s="343"/>
      <c r="Y549" s="367" t="str">
        <f t="shared" ca="1" si="254"/>
        <v/>
      </c>
      <c r="Z549" s="368" t="str">
        <f t="shared" ca="1" si="255"/>
        <v/>
      </c>
      <c r="AA549" s="369" t="str">
        <f t="shared" ca="1" si="256"/>
        <v/>
      </c>
      <c r="AB549" s="344"/>
      <c r="AC549" s="363" t="e">
        <f t="shared" ca="1" si="257"/>
        <v>#N/A</v>
      </c>
      <c r="AD549" s="376" t="e">
        <f t="shared" ca="1" si="258"/>
        <v>#N/A</v>
      </c>
      <c r="AE549" s="377" t="e">
        <f t="shared" ca="1" si="237"/>
        <v>#N/A</v>
      </c>
      <c r="AF549" s="344"/>
      <c r="AG549" s="359">
        <f t="shared" ca="1" si="259"/>
        <v>4.2211590017309319</v>
      </c>
      <c r="AH549" s="357">
        <f t="shared" ca="1" si="260"/>
        <v>-0.33314244230913015</v>
      </c>
    </row>
    <row r="550" spans="1:34" x14ac:dyDescent="0.2">
      <c r="A550" s="402">
        <f t="shared" ca="1" si="238"/>
        <v>0.1</v>
      </c>
      <c r="B550" s="357">
        <f t="shared" ca="1" si="239"/>
        <v>18.599999999999952</v>
      </c>
      <c r="C550" s="342"/>
      <c r="D550" s="359">
        <f t="shared" ca="1" si="240"/>
        <v>-0.29887260530949727</v>
      </c>
      <c r="E550" s="360">
        <f t="shared" ca="1" si="241"/>
        <v>-9.6427859434971026</v>
      </c>
      <c r="F550" s="357">
        <f t="shared" ca="1" si="242"/>
        <v>9.6474165239358154</v>
      </c>
      <c r="G550" s="359">
        <f t="shared" ca="1" si="243"/>
        <v>27.743006615599739</v>
      </c>
      <c r="H550" s="360">
        <f t="shared" ca="1" si="244"/>
        <v>-16.502732649190804</v>
      </c>
      <c r="I550" s="357">
        <f t="shared" ca="1" si="245"/>
        <v>32.280250943322592</v>
      </c>
      <c r="J550" s="359">
        <f t="shared" ca="1" si="246"/>
        <v>571.27099560508941</v>
      </c>
      <c r="K550" s="360">
        <f t="shared" ca="1" si="247"/>
        <v>1376.3872619099966</v>
      </c>
      <c r="L550" s="357">
        <f t="shared" ca="1" si="232"/>
        <v>1490.2323460345799</v>
      </c>
      <c r="M550" s="359">
        <f t="shared" ca="1" si="248"/>
        <v>-0.5366189430668612</v>
      </c>
      <c r="N550" s="357">
        <f t="shared" ca="1" si="249"/>
        <v>-30.746000644502157</v>
      </c>
      <c r="O550" s="343"/>
      <c r="P550" s="363">
        <f t="shared" ca="1" si="250"/>
        <v>23</v>
      </c>
      <c r="Q550" s="357">
        <f t="shared" ca="1" si="251"/>
        <v>0</v>
      </c>
      <c r="R550" s="359">
        <f t="shared" ca="1" si="252"/>
        <v>0</v>
      </c>
      <c r="S550" s="360">
        <f t="shared" ca="1" si="253"/>
        <v>8.3819999999999997</v>
      </c>
      <c r="T550" s="357">
        <f t="shared" ca="1" si="233"/>
        <v>82.227419999999995</v>
      </c>
      <c r="U550" s="364">
        <f t="shared" ca="1" si="234"/>
        <v>0</v>
      </c>
      <c r="V550" s="359">
        <f t="shared" ca="1" si="235"/>
        <v>1.0672488912479505</v>
      </c>
      <c r="W550" s="357">
        <f t="shared" ca="1" si="236"/>
        <v>2.9539244819432997</v>
      </c>
      <c r="X550" s="343"/>
      <c r="Y550" s="367" t="str">
        <f t="shared" ca="1" si="254"/>
        <v/>
      </c>
      <c r="Z550" s="368" t="str">
        <f t="shared" ca="1" si="255"/>
        <v/>
      </c>
      <c r="AA550" s="369" t="str">
        <f t="shared" ca="1" si="256"/>
        <v/>
      </c>
      <c r="AB550" s="344"/>
      <c r="AC550" s="363" t="e">
        <f t="shared" ca="1" si="257"/>
        <v>#N/A</v>
      </c>
      <c r="AD550" s="376" t="e">
        <f t="shared" ca="1" si="258"/>
        <v>#N/A</v>
      </c>
      <c r="AE550" s="377" t="e">
        <f t="shared" ca="1" si="237"/>
        <v>#N/A</v>
      </c>
      <c r="AF550" s="344"/>
      <c r="AG550" s="359">
        <f t="shared" ca="1" si="259"/>
        <v>4.4473578303449894</v>
      </c>
      <c r="AH550" s="357">
        <f t="shared" ca="1" si="260"/>
        <v>-0.34246952404066638</v>
      </c>
    </row>
    <row r="551" spans="1:34" x14ac:dyDescent="0.2">
      <c r="A551" s="402">
        <f t="shared" ca="1" si="238"/>
        <v>0.1</v>
      </c>
      <c r="B551" s="357">
        <f t="shared" ca="1" si="239"/>
        <v>18.699999999999953</v>
      </c>
      <c r="C551" s="342"/>
      <c r="D551" s="359">
        <f t="shared" ca="1" si="240"/>
        <v>-0.30287843665089709</v>
      </c>
      <c r="E551" s="360">
        <f t="shared" ca="1" si="241"/>
        <v>-9.6298348890403211</v>
      </c>
      <c r="F551" s="357">
        <f t="shared" ca="1" si="242"/>
        <v>9.6345967916444906</v>
      </c>
      <c r="G551" s="359">
        <f t="shared" ca="1" si="243"/>
        <v>27.71271877193465</v>
      </c>
      <c r="H551" s="360">
        <f t="shared" ca="1" si="244"/>
        <v>-17.465716138094837</v>
      </c>
      <c r="I551" s="357">
        <f t="shared" ca="1" si="245"/>
        <v>32.757381182702098</v>
      </c>
      <c r="J551" s="359">
        <f t="shared" ca="1" si="246"/>
        <v>574.04378187446616</v>
      </c>
      <c r="K551" s="360">
        <f t="shared" ca="1" si="247"/>
        <v>1374.6888394706323</v>
      </c>
      <c r="L551" s="357">
        <f t="shared" ca="1" si="232"/>
        <v>1489.7300657749556</v>
      </c>
      <c r="M551" s="359">
        <f t="shared" ca="1" si="248"/>
        <v>-0.56235988396983982</v>
      </c>
      <c r="N551" s="357">
        <f t="shared" ca="1" si="249"/>
        <v>-32.220847918938503</v>
      </c>
      <c r="O551" s="343"/>
      <c r="P551" s="363">
        <f t="shared" ca="1" si="250"/>
        <v>23</v>
      </c>
      <c r="Q551" s="357">
        <f t="shared" ca="1" si="251"/>
        <v>0</v>
      </c>
      <c r="R551" s="359">
        <f t="shared" ca="1" si="252"/>
        <v>0</v>
      </c>
      <c r="S551" s="360">
        <f t="shared" ca="1" si="253"/>
        <v>8.3819999999999997</v>
      </c>
      <c r="T551" s="357">
        <f t="shared" ca="1" si="233"/>
        <v>82.227419999999995</v>
      </c>
      <c r="U551" s="364">
        <f t="shared" ca="1" si="234"/>
        <v>0</v>
      </c>
      <c r="V551" s="359">
        <f t="shared" ca="1" si="235"/>
        <v>1.0674310322364224</v>
      </c>
      <c r="W551" s="357">
        <f t="shared" ca="1" si="236"/>
        <v>3.0424121358555194</v>
      </c>
      <c r="X551" s="343"/>
      <c r="Y551" s="367" t="str">
        <f t="shared" ca="1" si="254"/>
        <v/>
      </c>
      <c r="Z551" s="368" t="str">
        <f t="shared" ca="1" si="255"/>
        <v/>
      </c>
      <c r="AA551" s="369" t="str">
        <f t="shared" ca="1" si="256"/>
        <v/>
      </c>
      <c r="AB551" s="344"/>
      <c r="AC551" s="363" t="e">
        <f t="shared" ca="1" si="257"/>
        <v>#N/A</v>
      </c>
      <c r="AD551" s="376" t="e">
        <f t="shared" ca="1" si="258"/>
        <v>#N/A</v>
      </c>
      <c r="AE551" s="377" t="e">
        <f t="shared" ca="1" si="237"/>
        <v>#N/A</v>
      </c>
      <c r="AF551" s="344"/>
      <c r="AG551" s="359">
        <f t="shared" ca="1" si="259"/>
        <v>4.6627838309630425</v>
      </c>
      <c r="AH551" s="357">
        <f t="shared" ca="1" si="260"/>
        <v>-0.35241284680783819</v>
      </c>
    </row>
    <row r="552" spans="1:34" x14ac:dyDescent="0.2">
      <c r="A552" s="402">
        <f t="shared" ca="1" si="238"/>
        <v>0.1</v>
      </c>
      <c r="B552" s="357">
        <f t="shared" ca="1" si="239"/>
        <v>18.799999999999955</v>
      </c>
      <c r="C552" s="342"/>
      <c r="D552" s="359">
        <f t="shared" ca="1" si="240"/>
        <v>-0.3070720924826314</v>
      </c>
      <c r="E552" s="360">
        <f t="shared" ca="1" si="241"/>
        <v>-9.6164703053724239</v>
      </c>
      <c r="F552" s="357">
        <f t="shared" ca="1" si="242"/>
        <v>9.6213717527227516</v>
      </c>
      <c r="G552" s="359">
        <f t="shared" ca="1" si="243"/>
        <v>27.682011562686387</v>
      </c>
      <c r="H552" s="360">
        <f t="shared" ca="1" si="244"/>
        <v>-18.42736316863208</v>
      </c>
      <c r="I552" s="357">
        <f t="shared" ca="1" si="245"/>
        <v>33.254495598420391</v>
      </c>
      <c r="J552" s="359">
        <f t="shared" ca="1" si="246"/>
        <v>576.81351839119725</v>
      </c>
      <c r="K552" s="360">
        <f t="shared" ca="1" si="247"/>
        <v>1372.894185505296</v>
      </c>
      <c r="L552" s="357">
        <f t="shared" ca="1" si="232"/>
        <v>1489.1448148494767</v>
      </c>
      <c r="M552" s="359">
        <f t="shared" ca="1" si="248"/>
        <v>-0.58731925837091792</v>
      </c>
      <c r="N552" s="357">
        <f t="shared" ca="1" si="249"/>
        <v>-33.650914731407141</v>
      </c>
      <c r="O552" s="343"/>
      <c r="P552" s="363">
        <f t="shared" ca="1" si="250"/>
        <v>23</v>
      </c>
      <c r="Q552" s="357">
        <f t="shared" ca="1" si="251"/>
        <v>0</v>
      </c>
      <c r="R552" s="359">
        <f t="shared" ca="1" si="252"/>
        <v>0</v>
      </c>
      <c r="S552" s="360">
        <f t="shared" ca="1" si="253"/>
        <v>8.3819999999999997</v>
      </c>
      <c r="T552" s="357">
        <f t="shared" ca="1" si="233"/>
        <v>82.227419999999995</v>
      </c>
      <c r="U552" s="364">
        <f t="shared" ca="1" si="234"/>
        <v>0</v>
      </c>
      <c r="V552" s="359">
        <f t="shared" ca="1" si="235"/>
        <v>1.0676235246713057</v>
      </c>
      <c r="W552" s="357">
        <f t="shared" ca="1" si="236"/>
        <v>3.1360193662894069</v>
      </c>
      <c r="X552" s="343"/>
      <c r="Y552" s="367" t="str">
        <f t="shared" ca="1" si="254"/>
        <v/>
      </c>
      <c r="Z552" s="368" t="str">
        <f t="shared" ca="1" si="255"/>
        <v/>
      </c>
      <c r="AA552" s="369" t="str">
        <f t="shared" ca="1" si="256"/>
        <v/>
      </c>
      <c r="AB552" s="344"/>
      <c r="AC552" s="363" t="e">
        <f t="shared" ca="1" si="257"/>
        <v>#N/A</v>
      </c>
      <c r="AD552" s="376" t="e">
        <f t="shared" ca="1" si="258"/>
        <v>#N/A</v>
      </c>
      <c r="AE552" s="377" t="e">
        <f t="shared" ca="1" si="237"/>
        <v>#N/A</v>
      </c>
      <c r="AF552" s="344"/>
      <c r="AG552" s="359">
        <f t="shared" ca="1" si="259"/>
        <v>4.8675667072730135</v>
      </c>
      <c r="AH552" s="357">
        <f t="shared" ca="1" si="260"/>
        <v>-0.36296971317770454</v>
      </c>
    </row>
    <row r="553" spans="1:34" x14ac:dyDescent="0.2">
      <c r="A553" s="402">
        <f t="shared" ca="1" si="238"/>
        <v>0.1</v>
      </c>
      <c r="B553" s="357">
        <f t="shared" ca="1" si="239"/>
        <v>18.899999999999956</v>
      </c>
      <c r="C553" s="342"/>
      <c r="D553" s="359">
        <f t="shared" ca="1" si="240"/>
        <v>-0.31144284668752242</v>
      </c>
      <c r="E553" s="360">
        <f t="shared" ca="1" si="241"/>
        <v>-9.6026787065604911</v>
      </c>
      <c r="F553" s="357">
        <f t="shared" ca="1" si="242"/>
        <v>9.6077278785456404</v>
      </c>
      <c r="G553" s="359">
        <f t="shared" ca="1" si="243"/>
        <v>27.650867278017635</v>
      </c>
      <c r="H553" s="360">
        <f t="shared" ca="1" si="244"/>
        <v>-19.387631039288131</v>
      </c>
      <c r="I553" s="357">
        <f t="shared" ca="1" si="245"/>
        <v>33.770559642121938</v>
      </c>
      <c r="J553" s="359">
        <f t="shared" ca="1" si="246"/>
        <v>579.58016233323247</v>
      </c>
      <c r="K553" s="360">
        <f t="shared" ca="1" si="247"/>
        <v>1371.0034357949</v>
      </c>
      <c r="L553" s="357">
        <f t="shared" ca="1" si="232"/>
        <v>1488.4769348336026</v>
      </c>
      <c r="M553" s="359">
        <f t="shared" ca="1" si="248"/>
        <v>-0.61150282567360026</v>
      </c>
      <c r="N553" s="357">
        <f t="shared" ca="1" si="249"/>
        <v>-35.036531071421415</v>
      </c>
      <c r="O553" s="343"/>
      <c r="P553" s="363">
        <f t="shared" ca="1" si="250"/>
        <v>23</v>
      </c>
      <c r="Q553" s="357">
        <f t="shared" ca="1" si="251"/>
        <v>0</v>
      </c>
      <c r="R553" s="359">
        <f t="shared" ca="1" si="252"/>
        <v>0</v>
      </c>
      <c r="S553" s="360">
        <f t="shared" ca="1" si="253"/>
        <v>8.3819999999999997</v>
      </c>
      <c r="T553" s="357">
        <f t="shared" ca="1" si="233"/>
        <v>82.227419999999995</v>
      </c>
      <c r="U553" s="364">
        <f t="shared" ca="1" si="234"/>
        <v>0</v>
      </c>
      <c r="V553" s="359">
        <f t="shared" ca="1" si="235"/>
        <v>1.0678263591932473</v>
      </c>
      <c r="W553" s="357">
        <f t="shared" ca="1" si="236"/>
        <v>3.2347224614535941</v>
      </c>
      <c r="X553" s="343"/>
      <c r="Y553" s="367" t="str">
        <f t="shared" ca="1" si="254"/>
        <v/>
      </c>
      <c r="Z553" s="368" t="str">
        <f t="shared" ca="1" si="255"/>
        <v/>
      </c>
      <c r="AA553" s="369" t="str">
        <f t="shared" ca="1" si="256"/>
        <v/>
      </c>
      <c r="AB553" s="344"/>
      <c r="AC553" s="363" t="e">
        <f t="shared" ca="1" si="257"/>
        <v>#N/A</v>
      </c>
      <c r="AD553" s="376" t="e">
        <f t="shared" ca="1" si="258"/>
        <v>#N/A</v>
      </c>
      <c r="AE553" s="377" t="e">
        <f t="shared" ca="1" si="237"/>
        <v>#N/A</v>
      </c>
      <c r="AF553" s="344"/>
      <c r="AG553" s="359">
        <f t="shared" ca="1" si="259"/>
        <v>5.061892547314903</v>
      </c>
      <c r="AH553" s="357">
        <f t="shared" ca="1" si="260"/>
        <v>-0.37413736176203854</v>
      </c>
    </row>
    <row r="554" spans="1:34" x14ac:dyDescent="0.2">
      <c r="A554" s="402">
        <f t="shared" ca="1" si="238"/>
        <v>0.1</v>
      </c>
      <c r="B554" s="357">
        <f t="shared" ca="1" si="239"/>
        <v>18.999999999999957</v>
      </c>
      <c r="C554" s="342"/>
      <c r="D554" s="359">
        <f t="shared" ca="1" si="240"/>
        <v>-0.3159801985011349</v>
      </c>
      <c r="E554" s="360">
        <f t="shared" ca="1" si="241"/>
        <v>-9.5884479075225517</v>
      </c>
      <c r="F554" s="357">
        <f t="shared" ca="1" si="242"/>
        <v>9.5936529414565772</v>
      </c>
      <c r="G554" s="359">
        <f t="shared" ca="1" si="243"/>
        <v>27.61926925816752</v>
      </c>
      <c r="H554" s="360">
        <f t="shared" ca="1" si="244"/>
        <v>-20.346475830040387</v>
      </c>
      <c r="I554" s="357">
        <f t="shared" ca="1" si="245"/>
        <v>34.304564026636093</v>
      </c>
      <c r="J554" s="359">
        <f t="shared" ca="1" si="246"/>
        <v>582.34366916004171</v>
      </c>
      <c r="K554" s="360">
        <f t="shared" ca="1" si="247"/>
        <v>1369.0167304514337</v>
      </c>
      <c r="L554" s="357">
        <f t="shared" ca="1" si="232"/>
        <v>1487.7267750721951</v>
      </c>
      <c r="M554" s="359">
        <f t="shared" ca="1" si="248"/>
        <v>-0.63491961206276715</v>
      </c>
      <c r="N554" s="357">
        <f t="shared" ca="1" si="249"/>
        <v>-36.378214101280072</v>
      </c>
      <c r="O554" s="343"/>
      <c r="P554" s="363">
        <f t="shared" ca="1" si="250"/>
        <v>23</v>
      </c>
      <c r="Q554" s="357">
        <f t="shared" ca="1" si="251"/>
        <v>0</v>
      </c>
      <c r="R554" s="359">
        <f t="shared" ca="1" si="252"/>
        <v>0</v>
      </c>
      <c r="S554" s="360">
        <f t="shared" ca="1" si="253"/>
        <v>8.3819999999999997</v>
      </c>
      <c r="T554" s="357">
        <f t="shared" ca="1" si="233"/>
        <v>82.227419999999995</v>
      </c>
      <c r="U554" s="364">
        <f t="shared" ca="1" si="234"/>
        <v>0</v>
      </c>
      <c r="V554" s="359">
        <f t="shared" ca="1" si="235"/>
        <v>1.0680395262489388</v>
      </c>
      <c r="W554" s="357">
        <f t="shared" ca="1" si="236"/>
        <v>3.3384971170592008</v>
      </c>
      <c r="X554" s="343"/>
      <c r="Y554" s="367" t="str">
        <f t="shared" ca="1" si="254"/>
        <v/>
      </c>
      <c r="Z554" s="368" t="str">
        <f t="shared" ca="1" si="255"/>
        <v/>
      </c>
      <c r="AA554" s="369" t="str">
        <f t="shared" ca="1" si="256"/>
        <v/>
      </c>
      <c r="AB554" s="344"/>
      <c r="AC554" s="363">
        <f t="shared" ca="1" si="257"/>
        <v>18.999999999999957</v>
      </c>
      <c r="AD554" s="376">
        <f t="shared" ca="1" si="258"/>
        <v>582.34366916004171</v>
      </c>
      <c r="AE554" s="377" t="e">
        <f t="shared" ca="1" si="237"/>
        <v>#N/A</v>
      </c>
      <c r="AF554" s="344"/>
      <c r="AG554" s="359">
        <f t="shared" ca="1" si="259"/>
        <v>5.2459943103303956</v>
      </c>
      <c r="AH554" s="357">
        <f t="shared" ca="1" si="260"/>
        <v>-0.38591296366661826</v>
      </c>
    </row>
    <row r="555" spans="1:34" x14ac:dyDescent="0.2">
      <c r="A555" s="402">
        <f t="shared" ca="1" si="238"/>
        <v>0.1</v>
      </c>
      <c r="B555" s="357">
        <f t="shared" ca="1" si="239"/>
        <v>19.099999999999959</v>
      </c>
      <c r="C555" s="342"/>
      <c r="D555" s="359">
        <f t="shared" ca="1" si="240"/>
        <v>-0.32067391111575194</v>
      </c>
      <c r="E555" s="360">
        <f t="shared" ca="1" si="241"/>
        <v>-9.573766958464633</v>
      </c>
      <c r="F555" s="357">
        <f t="shared" ca="1" si="242"/>
        <v>9.579135949147993</v>
      </c>
      <c r="G555" s="359">
        <f t="shared" ca="1" si="243"/>
        <v>27.587201867055946</v>
      </c>
      <c r="H555" s="360">
        <f t="shared" ca="1" si="244"/>
        <v>-21.30385252588685</v>
      </c>
      <c r="I555" s="357">
        <f t="shared" ca="1" si="245"/>
        <v>34.855528102417708</v>
      </c>
      <c r="J555" s="359">
        <f t="shared" ca="1" si="246"/>
        <v>585.10399271630286</v>
      </c>
      <c r="K555" s="360">
        <f t="shared" ca="1" si="247"/>
        <v>1366.9342140336373</v>
      </c>
      <c r="L555" s="357">
        <f t="shared" ca="1" si="232"/>
        <v>1486.8946929047522</v>
      </c>
      <c r="M555" s="359">
        <f t="shared" ca="1" si="248"/>
        <v>-0.6575814324486321</v>
      </c>
      <c r="N555" s="357">
        <f t="shared" ca="1" si="249"/>
        <v>-37.676640765473664</v>
      </c>
      <c r="O555" s="343"/>
      <c r="P555" s="363">
        <f t="shared" ca="1" si="250"/>
        <v>23</v>
      </c>
      <c r="Q555" s="357">
        <f t="shared" ca="1" si="251"/>
        <v>0</v>
      </c>
      <c r="R555" s="359">
        <f t="shared" ca="1" si="252"/>
        <v>0</v>
      </c>
      <c r="S555" s="360">
        <f t="shared" ca="1" si="253"/>
        <v>8.3819999999999997</v>
      </c>
      <c r="T555" s="357">
        <f t="shared" ca="1" si="233"/>
        <v>82.227419999999995</v>
      </c>
      <c r="U555" s="364">
        <f t="shared" ca="1" si="234"/>
        <v>0</v>
      </c>
      <c r="V555" s="359">
        <f t="shared" ca="1" si="235"/>
        <v>1.0682630160772986</v>
      </c>
      <c r="W555" s="357">
        <f t="shared" ca="1" si="236"/>
        <v>3.4473184126055978</v>
      </c>
      <c r="X555" s="343"/>
      <c r="Y555" s="367" t="str">
        <f t="shared" ca="1" si="254"/>
        <v/>
      </c>
      <c r="Z555" s="368" t="str">
        <f t="shared" ca="1" si="255"/>
        <v/>
      </c>
      <c r="AA555" s="369" t="str">
        <f t="shared" ca="1" si="256"/>
        <v/>
      </c>
      <c r="AB555" s="344"/>
      <c r="AC555" s="363" t="e">
        <f t="shared" ca="1" si="257"/>
        <v>#N/A</v>
      </c>
      <c r="AD555" s="376" t="e">
        <f t="shared" ca="1" si="258"/>
        <v>#N/A</v>
      </c>
      <c r="AE555" s="377" t="e">
        <f t="shared" ca="1" si="237"/>
        <v>#N/A</v>
      </c>
      <c r="AF555" s="344"/>
      <c r="AG555" s="359">
        <f t="shared" ca="1" si="259"/>
        <v>5.4201428936188458</v>
      </c>
      <c r="AH555" s="357">
        <f t="shared" ca="1" si="260"/>
        <v>-0.3982936193103318</v>
      </c>
    </row>
    <row r="556" spans="1:34" x14ac:dyDescent="0.2">
      <c r="A556" s="402">
        <f t="shared" ca="1" si="238"/>
        <v>0.1</v>
      </c>
      <c r="B556" s="357">
        <f t="shared" ca="1" si="239"/>
        <v>19.19999999999996</v>
      </c>
      <c r="C556" s="342"/>
      <c r="D556" s="359">
        <f t="shared" ca="1" si="240"/>
        <v>-0.32551404218106494</v>
      </c>
      <c r="E556" s="360">
        <f t="shared" ca="1" si="241"/>
        <v>-9.5586260772966618</v>
      </c>
      <c r="F556" s="357">
        <f t="shared" ca="1" si="242"/>
        <v>9.5641670770241571</v>
      </c>
      <c r="G556" s="359">
        <f t="shared" ca="1" si="243"/>
        <v>27.554650462837838</v>
      </c>
      <c r="H556" s="360">
        <f t="shared" ca="1" si="244"/>
        <v>-22.259715133616517</v>
      </c>
      <c r="I556" s="357">
        <f t="shared" ca="1" si="245"/>
        <v>35.422502451957364</v>
      </c>
      <c r="J556" s="359">
        <f t="shared" ca="1" si="246"/>
        <v>587.86108533279753</v>
      </c>
      <c r="K556" s="360">
        <f t="shared" ca="1" si="247"/>
        <v>1364.7560356506622</v>
      </c>
      <c r="L556" s="357">
        <f t="shared" ca="1" si="232"/>
        <v>1485.9810538810939</v>
      </c>
      <c r="M556" s="359">
        <f t="shared" ca="1" si="248"/>
        <v>-0.67950244125232417</v>
      </c>
      <c r="N556" s="357">
        <f t="shared" ca="1" si="249"/>
        <v>-38.93262205259434</v>
      </c>
      <c r="O556" s="343"/>
      <c r="P556" s="363">
        <f t="shared" ca="1" si="250"/>
        <v>23</v>
      </c>
      <c r="Q556" s="357">
        <f t="shared" ca="1" si="251"/>
        <v>0</v>
      </c>
      <c r="R556" s="359">
        <f t="shared" ca="1" si="252"/>
        <v>0</v>
      </c>
      <c r="S556" s="360">
        <f t="shared" ca="1" si="253"/>
        <v>8.3819999999999997</v>
      </c>
      <c r="T556" s="357">
        <f t="shared" ca="1" si="233"/>
        <v>82.227419999999995</v>
      </c>
      <c r="U556" s="364">
        <f t="shared" ca="1" si="234"/>
        <v>0</v>
      </c>
      <c r="V556" s="359">
        <f t="shared" ca="1" si="235"/>
        <v>1.0684968186968913</v>
      </c>
      <c r="W556" s="357">
        <f t="shared" ca="1" si="236"/>
        <v>3.5611607904573743</v>
      </c>
      <c r="X556" s="343"/>
      <c r="Y556" s="367" t="str">
        <f t="shared" ca="1" si="254"/>
        <v/>
      </c>
      <c r="Z556" s="368" t="str">
        <f t="shared" ca="1" si="255"/>
        <v/>
      </c>
      <c r="AA556" s="369" t="str">
        <f t="shared" ca="1" si="256"/>
        <v/>
      </c>
      <c r="AB556" s="344"/>
      <c r="AC556" s="363" t="e">
        <f t="shared" ca="1" si="257"/>
        <v>#N/A</v>
      </c>
      <c r="AD556" s="376" t="e">
        <f t="shared" ca="1" si="258"/>
        <v>#N/A</v>
      </c>
      <c r="AE556" s="377" t="e">
        <f t="shared" ca="1" si="237"/>
        <v>#N/A</v>
      </c>
      <c r="AF556" s="344"/>
      <c r="AG556" s="359">
        <f t="shared" ca="1" si="259"/>
        <v>5.5846389168641508</v>
      </c>
      <c r="AH556" s="357">
        <f t="shared" ca="1" si="260"/>
        <v>-0.41127635559599118</v>
      </c>
    </row>
    <row r="557" spans="1:34" x14ac:dyDescent="0.2">
      <c r="A557" s="402">
        <f t="shared" ca="1" si="238"/>
        <v>0.1</v>
      </c>
      <c r="B557" s="357">
        <f t="shared" ca="1" si="239"/>
        <v>19.299999999999962</v>
      </c>
      <c r="C557" s="342"/>
      <c r="D557" s="359">
        <f t="shared" ca="1" si="240"/>
        <v>-0.3304909669454234</v>
      </c>
      <c r="E557" s="360">
        <f t="shared" ca="1" si="241"/>
        <v>-9.5430165814166195</v>
      </c>
      <c r="F557" s="357">
        <f t="shared" ca="1" si="242"/>
        <v>9.5487375999356612</v>
      </c>
      <c r="G557" s="359">
        <f t="shared" ca="1" si="243"/>
        <v>27.521601366143294</v>
      </c>
      <c r="H557" s="360">
        <f t="shared" ca="1" si="244"/>
        <v>-23.21401679175818</v>
      </c>
      <c r="I557" s="357">
        <f t="shared" ca="1" si="245"/>
        <v>36.004570784345304</v>
      </c>
      <c r="J557" s="359">
        <f t="shared" ca="1" si="246"/>
        <v>590.61489792424663</v>
      </c>
      <c r="K557" s="360">
        <f t="shared" ca="1" si="247"/>
        <v>1362.4823490543934</v>
      </c>
      <c r="L557" s="357">
        <f t="shared" ca="1" si="232"/>
        <v>1484.9862319681101</v>
      </c>
      <c r="M557" s="359">
        <f t="shared" ca="1" si="248"/>
        <v>-0.70069871682932428</v>
      </c>
      <c r="N557" s="357">
        <f t="shared" ca="1" si="249"/>
        <v>-40.147079184552666</v>
      </c>
      <c r="O557" s="343"/>
      <c r="P557" s="363">
        <f t="shared" ca="1" si="250"/>
        <v>23</v>
      </c>
      <c r="Q557" s="357">
        <f t="shared" ca="1" si="251"/>
        <v>0</v>
      </c>
      <c r="R557" s="359">
        <f t="shared" ca="1" si="252"/>
        <v>0</v>
      </c>
      <c r="S557" s="360">
        <f t="shared" ca="1" si="253"/>
        <v>8.3819999999999997</v>
      </c>
      <c r="T557" s="357">
        <f t="shared" ca="1" si="233"/>
        <v>82.227419999999995</v>
      </c>
      <c r="U557" s="364">
        <f t="shared" ca="1" si="234"/>
        <v>0</v>
      </c>
      <c r="V557" s="359">
        <f t="shared" ca="1" si="235"/>
        <v>1.0687409238945014</v>
      </c>
      <c r="W557" s="357">
        <f t="shared" ca="1" si="236"/>
        <v>3.6799980375537391</v>
      </c>
      <c r="X557" s="343"/>
      <c r="Y557" s="367" t="str">
        <f t="shared" ca="1" si="254"/>
        <v/>
      </c>
      <c r="Z557" s="368" t="str">
        <f t="shared" ca="1" si="255"/>
        <v/>
      </c>
      <c r="AA557" s="369" t="str">
        <f t="shared" ca="1" si="256"/>
        <v/>
      </c>
      <c r="AB557" s="344"/>
      <c r="AC557" s="363" t="e">
        <f t="shared" ca="1" si="257"/>
        <v>#N/A</v>
      </c>
      <c r="AD557" s="376" t="e">
        <f t="shared" ca="1" si="258"/>
        <v>#N/A</v>
      </c>
      <c r="AE557" s="377" t="e">
        <f t="shared" ca="1" si="237"/>
        <v>#N/A</v>
      </c>
      <c r="AF557" s="344"/>
      <c r="AG557" s="359">
        <f t="shared" ca="1" si="259"/>
        <v>5.739805306476069</v>
      </c>
      <c r="AH557" s="357">
        <f t="shared" ca="1" si="260"/>
        <v>-0.4248581234141463</v>
      </c>
    </row>
    <row r="558" spans="1:34" x14ac:dyDescent="0.2">
      <c r="A558" s="402">
        <f t="shared" ca="1" si="238"/>
        <v>0.1</v>
      </c>
      <c r="B558" s="357">
        <f t="shared" ca="1" si="239"/>
        <v>19.399999999999963</v>
      </c>
      <c r="C558" s="342"/>
      <c r="D558" s="359">
        <f t="shared" ca="1" si="240"/>
        <v>-0.33559539483241718</v>
      </c>
      <c r="E558" s="360">
        <f t="shared" ca="1" si="241"/>
        <v>-9.5269308200045284</v>
      </c>
      <c r="F558" s="357">
        <f t="shared" ca="1" si="242"/>
        <v>9.5328398244271835</v>
      </c>
      <c r="G558" s="359">
        <f t="shared" ca="1" si="243"/>
        <v>27.488041826660051</v>
      </c>
      <c r="H558" s="360">
        <f t="shared" ca="1" si="244"/>
        <v>-24.166709873758634</v>
      </c>
      <c r="I558" s="357">
        <f t="shared" ca="1" si="245"/>
        <v>36.600851213962713</v>
      </c>
      <c r="J558" s="359">
        <f t="shared" ca="1" si="246"/>
        <v>593.36538008388675</v>
      </c>
      <c r="K558" s="360">
        <f t="shared" ca="1" si="247"/>
        <v>1360.1133127211176</v>
      </c>
      <c r="L558" s="357">
        <f t="shared" ca="1" si="232"/>
        <v>1483.9106097482113</v>
      </c>
      <c r="M558" s="359">
        <f t="shared" ca="1" si="248"/>
        <v>-0.72118788234016651</v>
      </c>
      <c r="N558" s="357">
        <f t="shared" ca="1" si="249"/>
        <v>-41.321021894068934</v>
      </c>
      <c r="O558" s="343"/>
      <c r="P558" s="363">
        <f t="shared" ca="1" si="250"/>
        <v>23</v>
      </c>
      <c r="Q558" s="357">
        <f t="shared" ca="1" si="251"/>
        <v>0</v>
      </c>
      <c r="R558" s="359">
        <f t="shared" ca="1" si="252"/>
        <v>0</v>
      </c>
      <c r="S558" s="360">
        <f t="shared" ca="1" si="253"/>
        <v>8.3819999999999997</v>
      </c>
      <c r="T558" s="357">
        <f t="shared" ca="1" si="233"/>
        <v>82.227419999999995</v>
      </c>
      <c r="U558" s="364">
        <f t="shared" ca="1" si="234"/>
        <v>0</v>
      </c>
      <c r="V558" s="359">
        <f t="shared" ca="1" si="235"/>
        <v>1.0689953212147905</v>
      </c>
      <c r="W558" s="357">
        <f t="shared" ca="1" si="236"/>
        <v>3.8038032695922612</v>
      </c>
      <c r="X558" s="343"/>
      <c r="Y558" s="367" t="str">
        <f t="shared" ca="1" si="254"/>
        <v/>
      </c>
      <c r="Z558" s="368" t="str">
        <f t="shared" ca="1" si="255"/>
        <v/>
      </c>
      <c r="AA558" s="369" t="str">
        <f t="shared" ca="1" si="256"/>
        <v/>
      </c>
      <c r="AB558" s="344"/>
      <c r="AC558" s="363" t="e">
        <f t="shared" ca="1" si="257"/>
        <v>#N/A</v>
      </c>
      <c r="AD558" s="376" t="e">
        <f t="shared" ca="1" si="258"/>
        <v>#N/A</v>
      </c>
      <c r="AE558" s="377" t="e">
        <f t="shared" ca="1" si="237"/>
        <v>#N/A</v>
      </c>
      <c r="AF558" s="344"/>
      <c r="AG558" s="359">
        <f t="shared" ca="1" si="259"/>
        <v>5.885980716780427</v>
      </c>
      <c r="AH558" s="357">
        <f t="shared" ca="1" si="260"/>
        <v>-0.43903579546095672</v>
      </c>
    </row>
    <row r="559" spans="1:34" x14ac:dyDescent="0.2">
      <c r="A559" s="402">
        <f t="shared" ca="1" si="238"/>
        <v>0.1</v>
      </c>
      <c r="B559" s="357">
        <f t="shared" ca="1" si="239"/>
        <v>19.499999999999964</v>
      </c>
      <c r="C559" s="342"/>
      <c r="D559" s="359">
        <f t="shared" ca="1" si="240"/>
        <v>-0.3408183802600977</v>
      </c>
      <c r="E559" s="360">
        <f t="shared" ca="1" si="241"/>
        <v>-9.5103621077365457</v>
      </c>
      <c r="F559" s="357">
        <f t="shared" ca="1" si="242"/>
        <v>9.5164670224088006</v>
      </c>
      <c r="G559" s="359">
        <f t="shared" ca="1" si="243"/>
        <v>27.453959988634043</v>
      </c>
      <c r="H559" s="360">
        <f t="shared" ca="1" si="244"/>
        <v>-25.117746084532289</v>
      </c>
      <c r="I559" s="357">
        <f t="shared" ca="1" si="245"/>
        <v>37.210497005879354</v>
      </c>
      <c r="J559" s="359">
        <f t="shared" ca="1" si="246"/>
        <v>596.11248017465141</v>
      </c>
      <c r="K559" s="360">
        <f t="shared" ca="1" si="247"/>
        <v>1357.6490899232031</v>
      </c>
      <c r="L559" s="357">
        <f t="shared" ca="1" si="232"/>
        <v>1482.7545786101205</v>
      </c>
      <c r="M559" s="359">
        <f t="shared" ca="1" si="248"/>
        <v>-0.74098876424334881</v>
      </c>
      <c r="N559" s="357">
        <f t="shared" ca="1" si="249"/>
        <v>-42.455528857758253</v>
      </c>
      <c r="O559" s="343"/>
      <c r="P559" s="363">
        <f t="shared" ca="1" si="250"/>
        <v>23</v>
      </c>
      <c r="Q559" s="357">
        <f t="shared" ca="1" si="251"/>
        <v>0</v>
      </c>
      <c r="R559" s="359">
        <f t="shared" ca="1" si="252"/>
        <v>0</v>
      </c>
      <c r="S559" s="360">
        <f t="shared" ca="1" si="253"/>
        <v>8.3819999999999997</v>
      </c>
      <c r="T559" s="357">
        <f t="shared" ca="1" si="233"/>
        <v>82.227419999999995</v>
      </c>
      <c r="U559" s="364">
        <f t="shared" ca="1" si="234"/>
        <v>0</v>
      </c>
      <c r="V559" s="359">
        <f t="shared" ca="1" si="235"/>
        <v>1.0692599999509682</v>
      </c>
      <c r="W559" s="357">
        <f t="shared" ca="1" si="236"/>
        <v>3.9325489175318644</v>
      </c>
      <c r="X559" s="343"/>
      <c r="Y559" s="367" t="str">
        <f t="shared" ca="1" si="254"/>
        <v/>
      </c>
      <c r="Z559" s="368" t="str">
        <f t="shared" ca="1" si="255"/>
        <v/>
      </c>
      <c r="AA559" s="369" t="str">
        <f t="shared" ca="1" si="256"/>
        <v/>
      </c>
      <c r="AB559" s="344"/>
      <c r="AC559" s="363" t="e">
        <f t="shared" ca="1" si="257"/>
        <v>#N/A</v>
      </c>
      <c r="AD559" s="376" t="e">
        <f t="shared" ca="1" si="258"/>
        <v>#N/A</v>
      </c>
      <c r="AE559" s="377" t="e">
        <f t="shared" ca="1" si="237"/>
        <v>#N/A</v>
      </c>
      <c r="AF559" s="344"/>
      <c r="AG559" s="359">
        <f t="shared" ca="1" si="259"/>
        <v>6.0235137885554977</v>
      </c>
      <c r="AH559" s="357">
        <f t="shared" ca="1" si="260"/>
        <v>-0.45380616435126003</v>
      </c>
    </row>
    <row r="560" spans="1:34" x14ac:dyDescent="0.2">
      <c r="A560" s="402">
        <f t="shared" ca="1" si="238"/>
        <v>0.1</v>
      </c>
      <c r="B560" s="357">
        <f t="shared" ca="1" si="239"/>
        <v>19.599999999999966</v>
      </c>
      <c r="C560" s="342"/>
      <c r="D560" s="359">
        <f t="shared" ca="1" si="240"/>
        <v>-0.34615132849307351</v>
      </c>
      <c r="E560" s="360">
        <f t="shared" ca="1" si="241"/>
        <v>-9.4933046606204687</v>
      </c>
      <c r="F560" s="357">
        <f t="shared" ca="1" si="242"/>
        <v>9.4996133669521434</v>
      </c>
      <c r="G560" s="359">
        <f t="shared" ca="1" si="243"/>
        <v>27.419344855784736</v>
      </c>
      <c r="H560" s="360">
        <f t="shared" ca="1" si="244"/>
        <v>-26.067076550594336</v>
      </c>
      <c r="I560" s="357">
        <f t="shared" ca="1" si="245"/>
        <v>37.832696866797562</v>
      </c>
      <c r="J560" s="359">
        <f t="shared" ca="1" si="246"/>
        <v>598.85614541687232</v>
      </c>
      <c r="K560" s="360">
        <f t="shared" ca="1" si="247"/>
        <v>1355.0898487914467</v>
      </c>
      <c r="L560" s="357">
        <f t="shared" ca="1" si="232"/>
        <v>1481.5185389326655</v>
      </c>
      <c r="M560" s="359">
        <f t="shared" ca="1" si="248"/>
        <v>-0.76012108829053704</v>
      </c>
      <c r="N560" s="357">
        <f t="shared" ca="1" si="249"/>
        <v>-43.551730277938795</v>
      </c>
      <c r="O560" s="343"/>
      <c r="P560" s="363">
        <f t="shared" ca="1" si="250"/>
        <v>23</v>
      </c>
      <c r="Q560" s="357">
        <f t="shared" ca="1" si="251"/>
        <v>0</v>
      </c>
      <c r="R560" s="359">
        <f t="shared" ca="1" si="252"/>
        <v>0</v>
      </c>
      <c r="S560" s="360">
        <f t="shared" ca="1" si="253"/>
        <v>8.3819999999999997</v>
      </c>
      <c r="T560" s="357">
        <f t="shared" ca="1" si="233"/>
        <v>82.227419999999995</v>
      </c>
      <c r="U560" s="364">
        <f t="shared" ca="1" si="234"/>
        <v>0</v>
      </c>
      <c r="V560" s="359">
        <f t="shared" ca="1" si="235"/>
        <v>1.0695349491364032</v>
      </c>
      <c r="W560" s="357">
        <f t="shared" ca="1" si="236"/>
        <v>4.0662067162643769</v>
      </c>
      <c r="X560" s="343"/>
      <c r="Y560" s="367" t="str">
        <f t="shared" ca="1" si="254"/>
        <v/>
      </c>
      <c r="Z560" s="368" t="str">
        <f t="shared" ca="1" si="255"/>
        <v/>
      </c>
      <c r="AA560" s="369" t="str">
        <f t="shared" ca="1" si="256"/>
        <v/>
      </c>
      <c r="AB560" s="344"/>
      <c r="AC560" s="363" t="e">
        <f t="shared" ca="1" si="257"/>
        <v>#N/A</v>
      </c>
      <c r="AD560" s="376" t="e">
        <f t="shared" ca="1" si="258"/>
        <v>#N/A</v>
      </c>
      <c r="AE560" s="377" t="e">
        <f t="shared" ca="1" si="237"/>
        <v>#N/A</v>
      </c>
      <c r="AF560" s="344"/>
      <c r="AG560" s="359">
        <f t="shared" ca="1" si="259"/>
        <v>6.1527582179280298</v>
      </c>
      <c r="AH560" s="357">
        <f t="shared" ca="1" si="260"/>
        <v>-0.46916594100833509</v>
      </c>
    </row>
    <row r="561" spans="1:34" x14ac:dyDescent="0.2">
      <c r="A561" s="402">
        <f t="shared" ca="1" si="238"/>
        <v>0.1</v>
      </c>
      <c r="B561" s="357">
        <f t="shared" ca="1" si="239"/>
        <v>19.699999999999967</v>
      </c>
      <c r="C561" s="342"/>
      <c r="D561" s="359">
        <f t="shared" ca="1" si="240"/>
        <v>-0.35158599727898487</v>
      </c>
      <c r="E561" s="360">
        <f t="shared" ca="1" si="241"/>
        <v>-9.4757535344702148</v>
      </c>
      <c r="F561" s="357">
        <f t="shared" ca="1" si="242"/>
        <v>9.4822738707288678</v>
      </c>
      <c r="G561" s="359">
        <f t="shared" ca="1" si="243"/>
        <v>27.384186256056836</v>
      </c>
      <c r="H561" s="360">
        <f t="shared" ca="1" si="244"/>
        <v>-27.014651904041358</v>
      </c>
      <c r="I561" s="357">
        <f t="shared" ca="1" si="245"/>
        <v>38.46667485503442</v>
      </c>
      <c r="J561" s="359">
        <f t="shared" ca="1" si="246"/>
        <v>601.59632197246435</v>
      </c>
      <c r="K561" s="360">
        <f t="shared" ca="1" si="247"/>
        <v>1352.4357623687149</v>
      </c>
      <c r="L561" s="357">
        <f t="shared" ca="1" si="232"/>
        <v>1480.2029002622053</v>
      </c>
      <c r="M561" s="359">
        <f t="shared" ca="1" si="248"/>
        <v>-0.77860521192013865</v>
      </c>
      <c r="N561" s="357">
        <f t="shared" ca="1" si="249"/>
        <v>-44.610792549913</v>
      </c>
      <c r="O561" s="343"/>
      <c r="P561" s="363">
        <f t="shared" ca="1" si="250"/>
        <v>23</v>
      </c>
      <c r="Q561" s="357">
        <f t="shared" ca="1" si="251"/>
        <v>0</v>
      </c>
      <c r="R561" s="359">
        <f t="shared" ca="1" si="252"/>
        <v>0</v>
      </c>
      <c r="S561" s="360">
        <f t="shared" ca="1" si="253"/>
        <v>8.3819999999999997</v>
      </c>
      <c r="T561" s="357">
        <f t="shared" ca="1" si="233"/>
        <v>82.227419999999995</v>
      </c>
      <c r="U561" s="364">
        <f t="shared" ca="1" si="234"/>
        <v>0</v>
      </c>
      <c r="V561" s="359">
        <f t="shared" ca="1" si="235"/>
        <v>1.0698201575371102</v>
      </c>
      <c r="W561" s="357">
        <f t="shared" ca="1" si="236"/>
        <v>4.2047476953098659</v>
      </c>
      <c r="X561" s="343"/>
      <c r="Y561" s="367" t="str">
        <f t="shared" ca="1" si="254"/>
        <v/>
      </c>
      <c r="Z561" s="368" t="str">
        <f t="shared" ca="1" si="255"/>
        <v/>
      </c>
      <c r="AA561" s="369" t="str">
        <f t="shared" ca="1" si="256"/>
        <v/>
      </c>
      <c r="AB561" s="344"/>
      <c r="AC561" s="363" t="e">
        <f t="shared" ca="1" si="257"/>
        <v>#N/A</v>
      </c>
      <c r="AD561" s="376" t="e">
        <f t="shared" ca="1" si="258"/>
        <v>#N/A</v>
      </c>
      <c r="AE561" s="377" t="e">
        <f t="shared" ca="1" si="237"/>
        <v>#N/A</v>
      </c>
      <c r="AF561" s="344"/>
      <c r="AG561" s="359">
        <f t="shared" ca="1" si="259"/>
        <v>6.2740685890689658</v>
      </c>
      <c r="AH561" s="357">
        <f t="shared" ca="1" si="260"/>
        <v>-0.48511175331238093</v>
      </c>
    </row>
    <row r="562" spans="1:34" x14ac:dyDescent="0.2">
      <c r="A562" s="402">
        <f t="shared" ca="1" si="238"/>
        <v>0.1</v>
      </c>
      <c r="B562" s="357">
        <f t="shared" ca="1" si="239"/>
        <v>19.799999999999969</v>
      </c>
      <c r="C562" s="342"/>
      <c r="D562" s="359">
        <f t="shared" ca="1" si="240"/>
        <v>-0.35711449496747166</v>
      </c>
      <c r="E562" s="360">
        <f t="shared" ca="1" si="241"/>
        <v>-9.4577045663790731</v>
      </c>
      <c r="F562" s="357">
        <f t="shared" ca="1" si="242"/>
        <v>9.4644443274512131</v>
      </c>
      <c r="G562" s="359">
        <f t="shared" ca="1" si="243"/>
        <v>27.348474806560088</v>
      </c>
      <c r="H562" s="360">
        <f t="shared" ca="1" si="244"/>
        <v>-27.960422360679264</v>
      </c>
      <c r="I562" s="357">
        <f t="shared" ca="1" si="245"/>
        <v>39.111689976688872</v>
      </c>
      <c r="J562" s="359">
        <f t="shared" ca="1" si="246"/>
        <v>604.3329550255952</v>
      </c>
      <c r="K562" s="360">
        <f t="shared" ca="1" si="247"/>
        <v>1349.6870086554788</v>
      </c>
      <c r="L562" s="357">
        <f t="shared" ca="1" si="232"/>
        <v>1478.8080814843224</v>
      </c>
      <c r="M562" s="359">
        <f t="shared" ca="1" si="248"/>
        <v>-0.79646189123432776</v>
      </c>
      <c r="N562" s="357">
        <f t="shared" ca="1" si="249"/>
        <v>-45.6339049107346</v>
      </c>
      <c r="O562" s="343"/>
      <c r="P562" s="363">
        <f t="shared" ca="1" si="250"/>
        <v>23</v>
      </c>
      <c r="Q562" s="357">
        <f t="shared" ca="1" si="251"/>
        <v>0</v>
      </c>
      <c r="R562" s="359">
        <f t="shared" ca="1" si="252"/>
        <v>0</v>
      </c>
      <c r="S562" s="360">
        <f t="shared" ca="1" si="253"/>
        <v>8.3819999999999997</v>
      </c>
      <c r="T562" s="357">
        <f t="shared" ca="1" si="233"/>
        <v>82.227419999999995</v>
      </c>
      <c r="U562" s="364">
        <f t="shared" ca="1" si="234"/>
        <v>0</v>
      </c>
      <c r="V562" s="359">
        <f t="shared" ca="1" si="235"/>
        <v>1.0701156136450469</v>
      </c>
      <c r="W562" s="357">
        <f t="shared" ca="1" si="236"/>
        <v>4.3481421713975772</v>
      </c>
      <c r="X562" s="343"/>
      <c r="Y562" s="367" t="str">
        <f t="shared" ca="1" si="254"/>
        <v/>
      </c>
      <c r="Z562" s="368" t="str">
        <f t="shared" ca="1" si="255"/>
        <v/>
      </c>
      <c r="AA562" s="369" t="str">
        <f t="shared" ca="1" si="256"/>
        <v/>
      </c>
      <c r="AB562" s="344"/>
      <c r="AC562" s="363" t="e">
        <f t="shared" ca="1" si="257"/>
        <v>#N/A</v>
      </c>
      <c r="AD562" s="376" t="e">
        <f t="shared" ca="1" si="258"/>
        <v>#N/A</v>
      </c>
      <c r="AE562" s="377" t="e">
        <f t="shared" ca="1" si="237"/>
        <v>#N/A</v>
      </c>
      <c r="AF562" s="344"/>
      <c r="AG562" s="359">
        <f t="shared" ca="1" si="259"/>
        <v>6.3877969113024928</v>
      </c>
      <c r="AH562" s="357">
        <f t="shared" ca="1" si="260"/>
        <v>-0.50164014499043974</v>
      </c>
    </row>
    <row r="563" spans="1:34" x14ac:dyDescent="0.2">
      <c r="A563" s="402">
        <f t="shared" ca="1" si="238"/>
        <v>0.1</v>
      </c>
      <c r="B563" s="357">
        <f t="shared" ca="1" si="239"/>
        <v>19.89999999999997</v>
      </c>
      <c r="C563" s="342"/>
      <c r="D563" s="359">
        <f t="shared" ca="1" si="240"/>
        <v>-0.3627292757474338</v>
      </c>
      <c r="E563" s="360">
        <f t="shared" ca="1" si="241"/>
        <v>-9.4391543194193499</v>
      </c>
      <c r="F563" s="357">
        <f t="shared" ca="1" si="242"/>
        <v>9.4461212565421384</v>
      </c>
      <c r="G563" s="359">
        <f t="shared" ca="1" si="243"/>
        <v>27.312201878985345</v>
      </c>
      <c r="H563" s="360">
        <f t="shared" ca="1" si="244"/>
        <v>-28.904337792621199</v>
      </c>
      <c r="I563" s="357">
        <f t="shared" ca="1" si="245"/>
        <v>39.76703552829153</v>
      </c>
      <c r="J563" s="359">
        <f t="shared" ca="1" si="246"/>
        <v>607.0659888598725</v>
      </c>
      <c r="K563" s="360">
        <f t="shared" ca="1" si="247"/>
        <v>1346.8437706478139</v>
      </c>
      <c r="L563" s="357">
        <f t="shared" ca="1" si="232"/>
        <v>1477.3345109903971</v>
      </c>
      <c r="M563" s="359">
        <f t="shared" ca="1" si="248"/>
        <v>-0.81371208026499309</v>
      </c>
      <c r="N563" s="357">
        <f t="shared" ca="1" si="249"/>
        <v>-46.622267937994593</v>
      </c>
      <c r="O563" s="343"/>
      <c r="P563" s="363">
        <f t="shared" ca="1" si="250"/>
        <v>23</v>
      </c>
      <c r="Q563" s="357">
        <f t="shared" ca="1" si="251"/>
        <v>0</v>
      </c>
      <c r="R563" s="359">
        <f t="shared" ca="1" si="252"/>
        <v>0</v>
      </c>
      <c r="S563" s="360">
        <f t="shared" ca="1" si="253"/>
        <v>8.3819999999999997</v>
      </c>
      <c r="T563" s="357">
        <f t="shared" ca="1" si="233"/>
        <v>82.227419999999995</v>
      </c>
      <c r="U563" s="364">
        <f t="shared" ca="1" si="234"/>
        <v>0</v>
      </c>
      <c r="V563" s="359">
        <f t="shared" ca="1" si="235"/>
        <v>1.070421305672159</v>
      </c>
      <c r="W563" s="357">
        <f t="shared" ca="1" si="236"/>
        <v>4.4963597428015323</v>
      </c>
      <c r="X563" s="343"/>
      <c r="Y563" s="367" t="str">
        <f t="shared" ca="1" si="254"/>
        <v/>
      </c>
      <c r="Z563" s="368" t="str">
        <f t="shared" ca="1" si="255"/>
        <v/>
      </c>
      <c r="AA563" s="369" t="str">
        <f t="shared" ca="1" si="256"/>
        <v/>
      </c>
      <c r="AB563" s="344"/>
      <c r="AC563" s="363" t="e">
        <f t="shared" ca="1" si="257"/>
        <v>#N/A</v>
      </c>
      <c r="AD563" s="376" t="e">
        <f t="shared" ca="1" si="258"/>
        <v>#N/A</v>
      </c>
      <c r="AE563" s="377" t="e">
        <f t="shared" ca="1" si="237"/>
        <v>#N/A</v>
      </c>
      <c r="AF563" s="344"/>
      <c r="AG563" s="359">
        <f t="shared" ca="1" si="259"/>
        <v>6.4942897939363844</v>
      </c>
      <c r="AH563" s="357">
        <f t="shared" ca="1" si="260"/>
        <v>-0.51874757473127864</v>
      </c>
    </row>
    <row r="564" spans="1:34" x14ac:dyDescent="0.2">
      <c r="A564" s="402">
        <f t="shared" ca="1" si="238"/>
        <v>0.1</v>
      </c>
      <c r="B564" s="357">
        <f t="shared" ca="1" si="239"/>
        <v>19.999999999999972</v>
      </c>
      <c r="C564" s="342"/>
      <c r="D564" s="359">
        <f t="shared" ca="1" si="240"/>
        <v>-0.36842313257177911</v>
      </c>
      <c r="E564" s="360">
        <f t="shared" ca="1" si="241"/>
        <v>-9.4201000306876033</v>
      </c>
      <c r="F564" s="357">
        <f t="shared" ca="1" si="242"/>
        <v>9.4273018511541569</v>
      </c>
      <c r="G564" s="359">
        <f t="shared" ca="1" si="243"/>
        <v>27.275359565728166</v>
      </c>
      <c r="H564" s="360">
        <f t="shared" ca="1" si="244"/>
        <v>-29.846347795689958</v>
      </c>
      <c r="I564" s="357">
        <f t="shared" ca="1" si="245"/>
        <v>40.432038239260777</v>
      </c>
      <c r="J564" s="359">
        <f t="shared" ca="1" si="246"/>
        <v>609.79536693210821</v>
      </c>
      <c r="K564" s="360">
        <f t="shared" ca="1" si="247"/>
        <v>1343.9062363683984</v>
      </c>
      <c r="L564" s="357">
        <f t="shared" ca="1" si="232"/>
        <v>1475.78262683965</v>
      </c>
      <c r="M564" s="359">
        <f t="shared" ca="1" si="248"/>
        <v>-0.83037675994425175</v>
      </c>
      <c r="N564" s="357">
        <f t="shared" ca="1" si="249"/>
        <v>-47.577083750553541</v>
      </c>
      <c r="O564" s="343"/>
      <c r="P564" s="363">
        <f t="shared" ca="1" si="250"/>
        <v>23</v>
      </c>
      <c r="Q564" s="357">
        <f t="shared" ca="1" si="251"/>
        <v>0</v>
      </c>
      <c r="R564" s="359">
        <f t="shared" ca="1" si="252"/>
        <v>0</v>
      </c>
      <c r="S564" s="360">
        <f t="shared" ca="1" si="253"/>
        <v>8.3819999999999997</v>
      </c>
      <c r="T564" s="357">
        <f t="shared" ca="1" si="233"/>
        <v>82.227419999999995</v>
      </c>
      <c r="U564" s="364">
        <f t="shared" ca="1" si="234"/>
        <v>0</v>
      </c>
      <c r="V564" s="359">
        <f t="shared" ca="1" si="235"/>
        <v>1.0707372215451225</v>
      </c>
      <c r="W564" s="357">
        <f t="shared" ca="1" si="236"/>
        <v>4.6493692853074631</v>
      </c>
      <c r="X564" s="343"/>
      <c r="Y564" s="367" t="str">
        <f t="shared" ca="1" si="254"/>
        <v/>
      </c>
      <c r="Z564" s="368" t="str">
        <f t="shared" ca="1" si="255"/>
        <v/>
      </c>
      <c r="AA564" s="369" t="str">
        <f t="shared" ca="1" si="256"/>
        <v/>
      </c>
      <c r="AB564" s="344"/>
      <c r="AC564" s="363">
        <f t="shared" ca="1" si="257"/>
        <v>19.999999999999972</v>
      </c>
      <c r="AD564" s="376">
        <f t="shared" ca="1" si="258"/>
        <v>609.79536693210821</v>
      </c>
      <c r="AE564" s="377" t="e">
        <f t="shared" ca="1" si="237"/>
        <v>#N/A</v>
      </c>
      <c r="AF564" s="344"/>
      <c r="AG564" s="359">
        <f t="shared" ca="1" si="259"/>
        <v>6.5938861891537286</v>
      </c>
      <c r="AH564" s="357">
        <f t="shared" ca="1" si="260"/>
        <v>-0.53643041550960779</v>
      </c>
    </row>
    <row r="565" spans="1:34" x14ac:dyDescent="0.2">
      <c r="A565" s="402">
        <f t="shared" ca="1" si="238"/>
        <v>0.1</v>
      </c>
      <c r="B565" s="357">
        <f t="shared" ca="1" si="239"/>
        <v>20.099999999999973</v>
      </c>
      <c r="C565" s="342"/>
      <c r="D565" s="359">
        <f t="shared" ca="1" si="240"/>
        <v>-0.37418918827149894</v>
      </c>
      <c r="E565" s="360">
        <f t="shared" ca="1" si="241"/>
        <v>-9.4005395627278538</v>
      </c>
      <c r="F565" s="357">
        <f t="shared" ca="1" si="242"/>
        <v>9.4079839295691219</v>
      </c>
      <c r="G565" s="359">
        <f t="shared" ca="1" si="243"/>
        <v>27.237940646901016</v>
      </c>
      <c r="H565" s="360">
        <f t="shared" ca="1" si="244"/>
        <v>-30.786401751962742</v>
      </c>
      <c r="I565" s="357">
        <f t="shared" ca="1" si="245"/>
        <v>41.1060572606685</v>
      </c>
      <c r="J565" s="359">
        <f t="shared" ca="1" si="246"/>
        <v>612.52103194273968</v>
      </c>
      <c r="K565" s="360">
        <f t="shared" ca="1" si="247"/>
        <v>1340.8745988910157</v>
      </c>
      <c r="L565" s="357">
        <f t="shared" ca="1" si="232"/>
        <v>1474.1528769172282</v>
      </c>
      <c r="M565" s="359">
        <f t="shared" ca="1" si="248"/>
        <v>-0.8464767940561243</v>
      </c>
      <c r="N565" s="357">
        <f t="shared" ca="1" si="249"/>
        <v>-48.499547755180494</v>
      </c>
      <c r="O565" s="343"/>
      <c r="P565" s="363">
        <f t="shared" ca="1" si="250"/>
        <v>23</v>
      </c>
      <c r="Q565" s="357">
        <f t="shared" ca="1" si="251"/>
        <v>0</v>
      </c>
      <c r="R565" s="359">
        <f t="shared" ca="1" si="252"/>
        <v>0</v>
      </c>
      <c r="S565" s="360">
        <f t="shared" ca="1" si="253"/>
        <v>8.3819999999999997</v>
      </c>
      <c r="T565" s="357">
        <f t="shared" ca="1" si="233"/>
        <v>82.227419999999995</v>
      </c>
      <c r="U565" s="364">
        <f t="shared" ca="1" si="234"/>
        <v>0</v>
      </c>
      <c r="V565" s="359">
        <f t="shared" ca="1" si="235"/>
        <v>1.0710633489007193</v>
      </c>
      <c r="W565" s="357">
        <f t="shared" ca="1" si="236"/>
        <v>4.8071389496953065</v>
      </c>
      <c r="X565" s="343"/>
      <c r="Y565" s="367" t="str">
        <f t="shared" ca="1" si="254"/>
        <v/>
      </c>
      <c r="Z565" s="368" t="str">
        <f t="shared" ca="1" si="255"/>
        <v/>
      </c>
      <c r="AA565" s="369" t="str">
        <f t="shared" ca="1" si="256"/>
        <v/>
      </c>
      <c r="AB565" s="344"/>
      <c r="AC565" s="363" t="e">
        <f t="shared" ca="1" si="257"/>
        <v>#N/A</v>
      </c>
      <c r="AD565" s="376" t="e">
        <f t="shared" ca="1" si="258"/>
        <v>#N/A</v>
      </c>
      <c r="AE565" s="377" t="e">
        <f t="shared" ca="1" si="237"/>
        <v>#N/A</v>
      </c>
      <c r="AF565" s="344"/>
      <c r="AG565" s="359">
        <f t="shared" ca="1" si="259"/>
        <v>6.6869156336044435</v>
      </c>
      <c r="AH565" s="357">
        <f t="shared" ca="1" si="260"/>
        <v>-0.5546849541049228</v>
      </c>
    </row>
    <row r="566" spans="1:34" x14ac:dyDescent="0.2">
      <c r="A566" s="402">
        <f t="shared" ca="1" si="238"/>
        <v>0.1</v>
      </c>
      <c r="B566" s="357">
        <f t="shared" ca="1" si="239"/>
        <v>20.199999999999974</v>
      </c>
      <c r="C566" s="342"/>
      <c r="D566" s="359">
        <f t="shared" ca="1" si="240"/>
        <v>-0.38002088529536016</v>
      </c>
      <c r="E566" s="360">
        <f t="shared" ca="1" si="241"/>
        <v>-9.3804713582973971</v>
      </c>
      <c r="F566" s="357">
        <f t="shared" ca="1" si="242"/>
        <v>9.3881658899434921</v>
      </c>
      <c r="G566" s="359">
        <f t="shared" ca="1" si="243"/>
        <v>27.199938558371482</v>
      </c>
      <c r="H566" s="360">
        <f t="shared" ca="1" si="244"/>
        <v>-31.724448887792484</v>
      </c>
      <c r="I566" s="357">
        <f t="shared" ca="1" si="245"/>
        <v>41.788483040346669</v>
      </c>
      <c r="J566" s="359">
        <f t="shared" ca="1" si="246"/>
        <v>615.24292590300331</v>
      </c>
      <c r="K566" s="360">
        <f t="shared" ca="1" si="247"/>
        <v>1337.7490563590279</v>
      </c>
      <c r="L566" s="357">
        <f t="shared" ca="1" si="232"/>
        <v>1472.4457190888763</v>
      </c>
      <c r="M566" s="359">
        <f t="shared" ca="1" si="248"/>
        <v>-0.86203280942273441</v>
      </c>
      <c r="N566" s="357">
        <f t="shared" ca="1" si="249"/>
        <v>-49.390841781727907</v>
      </c>
      <c r="O566" s="343"/>
      <c r="P566" s="363">
        <f t="shared" ca="1" si="250"/>
        <v>23</v>
      </c>
      <c r="Q566" s="357">
        <f t="shared" ca="1" si="251"/>
        <v>0</v>
      </c>
      <c r="R566" s="359">
        <f t="shared" ca="1" si="252"/>
        <v>0</v>
      </c>
      <c r="S566" s="360">
        <f t="shared" ca="1" si="253"/>
        <v>8.3819999999999997</v>
      </c>
      <c r="T566" s="357">
        <f t="shared" ca="1" si="233"/>
        <v>82.227419999999995</v>
      </c>
      <c r="U566" s="364">
        <f t="shared" ca="1" si="234"/>
        <v>0</v>
      </c>
      <c r="V566" s="359">
        <f t="shared" ca="1" si="235"/>
        <v>1.0713996750818067</v>
      </c>
      <c r="W566" s="357">
        <f t="shared" ca="1" si="236"/>
        <v>4.969636160629169</v>
      </c>
      <c r="X566" s="343"/>
      <c r="Y566" s="367" t="str">
        <f t="shared" ca="1" si="254"/>
        <v/>
      </c>
      <c r="Z566" s="368" t="str">
        <f t="shared" ca="1" si="255"/>
        <v/>
      </c>
      <c r="AA566" s="369" t="str">
        <f t="shared" ca="1" si="256"/>
        <v/>
      </c>
      <c r="AB566" s="344"/>
      <c r="AC566" s="363" t="e">
        <f t="shared" ca="1" si="257"/>
        <v>#N/A</v>
      </c>
      <c r="AD566" s="376" t="e">
        <f t="shared" ca="1" si="258"/>
        <v>#N/A</v>
      </c>
      <c r="AE566" s="377" t="e">
        <f t="shared" ca="1" si="237"/>
        <v>#N/A</v>
      </c>
      <c r="AF566" s="344"/>
      <c r="AG566" s="359">
        <f t="shared" ca="1" si="259"/>
        <v>6.7736969219737162</v>
      </c>
      <c r="AH566" s="357">
        <f t="shared" ca="1" si="260"/>
        <v>-0.57350739080115809</v>
      </c>
    </row>
    <row r="567" spans="1:34" x14ac:dyDescent="0.2">
      <c r="A567" s="402">
        <f t="shared" ca="1" si="238"/>
        <v>0.1</v>
      </c>
      <c r="B567" s="357">
        <f t="shared" ca="1" si="239"/>
        <v>20.299999999999976</v>
      </c>
      <c r="C567" s="342"/>
      <c r="D567" s="359">
        <f t="shared" ca="1" si="240"/>
        <v>-0.38591197444957415</v>
      </c>
      <c r="E567" s="360">
        <f t="shared" ca="1" si="241"/>
        <v>-9.3598943983884659</v>
      </c>
      <c r="F567" s="357">
        <f t="shared" ca="1" si="242"/>
        <v>9.3678466683121648</v>
      </c>
      <c r="G567" s="359">
        <f t="shared" ca="1" si="243"/>
        <v>27.161347360926523</v>
      </c>
      <c r="H567" s="360">
        <f t="shared" ca="1" si="244"/>
        <v>-32.660438327631333</v>
      </c>
      <c r="I567" s="357">
        <f t="shared" ca="1" si="245"/>
        <v>42.478736118367742</v>
      </c>
      <c r="J567" s="359">
        <f t="shared" ca="1" si="246"/>
        <v>617.96099019896826</v>
      </c>
      <c r="K567" s="360">
        <f t="shared" ca="1" si="247"/>
        <v>1334.5298119982567</v>
      </c>
      <c r="L567" s="357">
        <f t="shared" ca="1" si="232"/>
        <v>1470.6616213527134</v>
      </c>
      <c r="M567" s="359">
        <f t="shared" ca="1" si="248"/>
        <v>-0.87706509764085894</v>
      </c>
      <c r="N567" s="357">
        <f t="shared" ca="1" si="249"/>
        <v>-50.252128453050673</v>
      </c>
      <c r="O567" s="343"/>
      <c r="P567" s="363">
        <f t="shared" ca="1" si="250"/>
        <v>23</v>
      </c>
      <c r="Q567" s="357">
        <f t="shared" ca="1" si="251"/>
        <v>0</v>
      </c>
      <c r="R567" s="359">
        <f t="shared" ca="1" si="252"/>
        <v>0</v>
      </c>
      <c r="S567" s="360">
        <f t="shared" ca="1" si="253"/>
        <v>8.3819999999999997</v>
      </c>
      <c r="T567" s="357">
        <f t="shared" ca="1" si="233"/>
        <v>82.227419999999995</v>
      </c>
      <c r="U567" s="364">
        <f t="shared" ca="1" si="234"/>
        <v>0</v>
      </c>
      <c r="V567" s="359">
        <f t="shared" ca="1" si="235"/>
        <v>1.0717461871338287</v>
      </c>
      <c r="W567" s="357">
        <f t="shared" ca="1" si="236"/>
        <v>5.1368276168540881</v>
      </c>
      <c r="X567" s="343"/>
      <c r="Y567" s="367" t="str">
        <f t="shared" ca="1" si="254"/>
        <v/>
      </c>
      <c r="Z567" s="368" t="str">
        <f t="shared" ca="1" si="255"/>
        <v/>
      </c>
      <c r="AA567" s="369" t="str">
        <f t="shared" ca="1" si="256"/>
        <v/>
      </c>
      <c r="AB567" s="344"/>
      <c r="AC567" s="363" t="e">
        <f t="shared" ca="1" si="257"/>
        <v>#N/A</v>
      </c>
      <c r="AD567" s="376" t="e">
        <f t="shared" ca="1" si="258"/>
        <v>#N/A</v>
      </c>
      <c r="AE567" s="377" t="e">
        <f t="shared" ca="1" si="237"/>
        <v>#N/A</v>
      </c>
      <c r="AF567" s="344"/>
      <c r="AG567" s="359">
        <f t="shared" ca="1" si="259"/>
        <v>6.8545371500153278</v>
      </c>
      <c r="AH567" s="357">
        <f t="shared" ca="1" si="260"/>
        <v>-0.59289383925425543</v>
      </c>
    </row>
    <row r="568" spans="1:34" x14ac:dyDescent="0.2">
      <c r="A568" s="402">
        <f t="shared" ca="1" si="238"/>
        <v>0.1</v>
      </c>
      <c r="B568" s="357">
        <f t="shared" ca="1" si="239"/>
        <v>20.399999999999977</v>
      </c>
      <c r="C568" s="342"/>
      <c r="D568" s="359">
        <f t="shared" ca="1" si="240"/>
        <v>-0.39185650295460156</v>
      </c>
      <c r="E568" s="360">
        <f t="shared" ca="1" si="241"/>
        <v>-9.3388081633814259</v>
      </c>
      <c r="F568" s="357">
        <f t="shared" ca="1" si="242"/>
        <v>9.3470256997264833</v>
      </c>
      <c r="G568" s="359">
        <f t="shared" ca="1" si="243"/>
        <v>27.122161710631062</v>
      </c>
      <c r="H568" s="360">
        <f t="shared" ca="1" si="244"/>
        <v>-33.594319143969479</v>
      </c>
      <c r="I568" s="357">
        <f t="shared" ca="1" si="245"/>
        <v>43.176265871477305</v>
      </c>
      <c r="J568" s="359">
        <f t="shared" ca="1" si="246"/>
        <v>620.67516565254618</v>
      </c>
      <c r="K568" s="360">
        <f t="shared" ca="1" si="247"/>
        <v>1331.2170741246766</v>
      </c>
      <c r="L568" s="357">
        <f t="shared" ca="1" si="232"/>
        <v>1468.801061988614</v>
      </c>
      <c r="M568" s="359">
        <f t="shared" ca="1" si="248"/>
        <v>-0.89159353580757017</v>
      </c>
      <c r="N568" s="357">
        <f t="shared" ca="1" si="249"/>
        <v>-51.08454664292001</v>
      </c>
      <c r="O568" s="343"/>
      <c r="P568" s="363">
        <f t="shared" ca="1" si="250"/>
        <v>23</v>
      </c>
      <c r="Q568" s="357">
        <f t="shared" ca="1" si="251"/>
        <v>0</v>
      </c>
      <c r="R568" s="359">
        <f t="shared" ca="1" si="252"/>
        <v>0</v>
      </c>
      <c r="S568" s="360">
        <f t="shared" ca="1" si="253"/>
        <v>8.3819999999999997</v>
      </c>
      <c r="T568" s="357">
        <f t="shared" ca="1" si="233"/>
        <v>82.227419999999995</v>
      </c>
      <c r="U568" s="364">
        <f t="shared" ca="1" si="234"/>
        <v>0</v>
      </c>
      <c r="V568" s="359">
        <f t="shared" ca="1" si="235"/>
        <v>1.0721028718018288</v>
      </c>
      <c r="W568" s="357">
        <f t="shared" ca="1" si="236"/>
        <v>5.3086792926060102</v>
      </c>
      <c r="X568" s="343"/>
      <c r="Y568" s="367" t="str">
        <f t="shared" ca="1" si="254"/>
        <v/>
      </c>
      <c r="Z568" s="368" t="str">
        <f t="shared" ca="1" si="255"/>
        <v/>
      </c>
      <c r="AA568" s="369" t="str">
        <f t="shared" ca="1" si="256"/>
        <v/>
      </c>
      <c r="AB568" s="344"/>
      <c r="AC568" s="363" t="e">
        <f t="shared" ca="1" si="257"/>
        <v>#N/A</v>
      </c>
      <c r="AD568" s="376" t="e">
        <f t="shared" ca="1" si="258"/>
        <v>#N/A</v>
      </c>
      <c r="AE568" s="377" t="e">
        <f t="shared" ca="1" si="237"/>
        <v>#N/A</v>
      </c>
      <c r="AF568" s="344"/>
      <c r="AG568" s="359">
        <f t="shared" ca="1" si="259"/>
        <v>6.9297310697063725</v>
      </c>
      <c r="AH568" s="357">
        <f t="shared" ca="1" si="260"/>
        <v>-0.61284032651563924</v>
      </c>
    </row>
    <row r="569" spans="1:34" x14ac:dyDescent="0.2">
      <c r="A569" s="402">
        <f t="shared" ca="1" si="238"/>
        <v>0.1</v>
      </c>
      <c r="B569" s="357">
        <f t="shared" ca="1" si="239"/>
        <v>20.499999999999979</v>
      </c>
      <c r="C569" s="342"/>
      <c r="D569" s="359">
        <f t="shared" ca="1" si="240"/>
        <v>-0.39784880208440099</v>
      </c>
      <c r="E569" s="360">
        <f t="shared" ca="1" si="241"/>
        <v>-9.3172125971791377</v>
      </c>
      <c r="F569" s="357">
        <f t="shared" ca="1" si="242"/>
        <v>9.3257028823758699</v>
      </c>
      <c r="G569" s="359">
        <f t="shared" ca="1" si="243"/>
        <v>27.082376830422621</v>
      </c>
      <c r="H569" s="360">
        <f t="shared" ca="1" si="244"/>
        <v>-34.526040403687389</v>
      </c>
      <c r="I569" s="357">
        <f t="shared" ca="1" si="245"/>
        <v>43.880549230177898</v>
      </c>
      <c r="J569" s="359">
        <f t="shared" ca="1" si="246"/>
        <v>623.38539257959883</v>
      </c>
      <c r="K569" s="360">
        <f t="shared" ca="1" si="247"/>
        <v>1327.8110561472938</v>
      </c>
      <c r="L569" s="357">
        <f t="shared" ca="1" si="232"/>
        <v>1466.8645297056619</v>
      </c>
      <c r="M569" s="359">
        <f t="shared" ca="1" si="248"/>
        <v>-0.90563752383663521</v>
      </c>
      <c r="N569" s="357">
        <f t="shared" ca="1" si="249"/>
        <v>-51.889207884517688</v>
      </c>
      <c r="O569" s="343"/>
      <c r="P569" s="363">
        <f t="shared" ca="1" si="250"/>
        <v>23</v>
      </c>
      <c r="Q569" s="357">
        <f t="shared" ca="1" si="251"/>
        <v>0</v>
      </c>
      <c r="R569" s="359">
        <f t="shared" ca="1" si="252"/>
        <v>0</v>
      </c>
      <c r="S569" s="360">
        <f t="shared" ca="1" si="253"/>
        <v>8.3819999999999997</v>
      </c>
      <c r="T569" s="357">
        <f t="shared" ca="1" si="233"/>
        <v>82.227419999999995</v>
      </c>
      <c r="U569" s="364">
        <f t="shared" ca="1" si="234"/>
        <v>0</v>
      </c>
      <c r="V569" s="359">
        <f t="shared" ca="1" si="235"/>
        <v>1.0724697155279226</v>
      </c>
      <c r="W569" s="357">
        <f t="shared" ca="1" si="236"/>
        <v>5.4851564401483266</v>
      </c>
      <c r="X569" s="343"/>
      <c r="Y569" s="367" t="str">
        <f t="shared" ca="1" si="254"/>
        <v/>
      </c>
      <c r="Z569" s="368" t="str">
        <f t="shared" ca="1" si="255"/>
        <v/>
      </c>
      <c r="AA569" s="369" t="str">
        <f t="shared" ca="1" si="256"/>
        <v/>
      </c>
      <c r="AB569" s="344"/>
      <c r="AC569" s="363" t="e">
        <f t="shared" ca="1" si="257"/>
        <v>#N/A</v>
      </c>
      <c r="AD569" s="376" t="e">
        <f t="shared" ca="1" si="258"/>
        <v>#N/A</v>
      </c>
      <c r="AE569" s="377" t="e">
        <f t="shared" ca="1" si="237"/>
        <v>#N/A</v>
      </c>
      <c r="AF569" s="344"/>
      <c r="AG569" s="359">
        <f t="shared" ca="1" si="259"/>
        <v>6.9995607048311479</v>
      </c>
      <c r="AH569" s="357">
        <f t="shared" ca="1" si="260"/>
        <v>-0.63334279320043074</v>
      </c>
    </row>
    <row r="570" spans="1:34" x14ac:dyDescent="0.2">
      <c r="A570" s="402">
        <f t="shared" ca="1" si="238"/>
        <v>0.1</v>
      </c>
      <c r="B570" s="357">
        <f t="shared" ca="1" si="239"/>
        <v>20.59999999999998</v>
      </c>
      <c r="C570" s="342"/>
      <c r="D570" s="359">
        <f t="shared" ca="1" si="240"/>
        <v>-0.40388347460718682</v>
      </c>
      <c r="E570" s="360">
        <f t="shared" ca="1" si="241"/>
        <v>-9.295108074155257</v>
      </c>
      <c r="F570" s="357">
        <f t="shared" ca="1" si="242"/>
        <v>9.303878544525773</v>
      </c>
      <c r="G570" s="359">
        <f t="shared" ca="1" si="243"/>
        <v>27.041988482961901</v>
      </c>
      <c r="H570" s="360">
        <f t="shared" ca="1" si="244"/>
        <v>-35.455551211102915</v>
      </c>
      <c r="I570" s="357">
        <f t="shared" ca="1" si="245"/>
        <v>44.591089387856243</v>
      </c>
      <c r="J570" s="359">
        <f t="shared" ca="1" si="246"/>
        <v>626.09161084526806</v>
      </c>
      <c r="K570" s="360">
        <f t="shared" ca="1" si="247"/>
        <v>1324.3119765665542</v>
      </c>
      <c r="L570" s="357">
        <f t="shared" ca="1" si="232"/>
        <v>1464.852523788124</v>
      </c>
      <c r="M570" s="359">
        <f t="shared" ca="1" si="248"/>
        <v>-0.91921593615404495</v>
      </c>
      <c r="N570" s="357">
        <f t="shared" ca="1" si="249"/>
        <v>-52.667193602793716</v>
      </c>
      <c r="O570" s="343"/>
      <c r="P570" s="363">
        <f t="shared" ca="1" si="250"/>
        <v>23</v>
      </c>
      <c r="Q570" s="357">
        <f t="shared" ca="1" si="251"/>
        <v>0</v>
      </c>
      <c r="R570" s="359">
        <f t="shared" ca="1" si="252"/>
        <v>0</v>
      </c>
      <c r="S570" s="360">
        <f t="shared" ca="1" si="253"/>
        <v>8.3819999999999997</v>
      </c>
      <c r="T570" s="357">
        <f t="shared" ca="1" si="233"/>
        <v>82.227419999999995</v>
      </c>
      <c r="U570" s="364">
        <f t="shared" ca="1" si="234"/>
        <v>0</v>
      </c>
      <c r="V570" s="359">
        <f t="shared" ca="1" si="235"/>
        <v>1.0728467044491972</v>
      </c>
      <c r="W570" s="357">
        <f t="shared" ca="1" si="236"/>
        <v>5.666223593354685</v>
      </c>
      <c r="X570" s="343"/>
      <c r="Y570" s="367" t="str">
        <f t="shared" ca="1" si="254"/>
        <v/>
      </c>
      <c r="Z570" s="368" t="str">
        <f t="shared" ca="1" si="255"/>
        <v/>
      </c>
      <c r="AA570" s="369" t="str">
        <f t="shared" ca="1" si="256"/>
        <v/>
      </c>
      <c r="AB570" s="344"/>
      <c r="AC570" s="363" t="e">
        <f t="shared" ca="1" si="257"/>
        <v>#N/A</v>
      </c>
      <c r="AD570" s="376" t="e">
        <f t="shared" ca="1" si="258"/>
        <v>#N/A</v>
      </c>
      <c r="AE570" s="377" t="e">
        <f t="shared" ca="1" si="237"/>
        <v>#N/A</v>
      </c>
      <c r="AF570" s="344"/>
      <c r="AG570" s="359">
        <f t="shared" ca="1" si="259"/>
        <v>7.0642951810832706</v>
      </c>
      <c r="AH570" s="357">
        <f t="shared" ca="1" si="260"/>
        <v>-0.65439709379006528</v>
      </c>
    </row>
    <row r="571" spans="1:34" x14ac:dyDescent="0.2">
      <c r="A571" s="402">
        <f t="shared" ca="1" si="238"/>
        <v>0.1</v>
      </c>
      <c r="B571" s="357">
        <f t="shared" ca="1" si="239"/>
        <v>20.699999999999982</v>
      </c>
      <c r="C571" s="342"/>
      <c r="D571" s="359">
        <f t="shared" ca="1" si="240"/>
        <v>-0.40995538220605821</v>
      </c>
      <c r="E571" s="360">
        <f t="shared" ca="1" si="241"/>
        <v>-9.2724953687399054</v>
      </c>
      <c r="F571" s="357">
        <f t="shared" ca="1" si="242"/>
        <v>9.2815534140952245</v>
      </c>
      <c r="G571" s="359">
        <f t="shared" ca="1" si="243"/>
        <v>27.000992944741295</v>
      </c>
      <c r="H571" s="360">
        <f t="shared" ca="1" si="244"/>
        <v>-36.382800747976908</v>
      </c>
      <c r="I571" s="357">
        <f t="shared" ca="1" si="245"/>
        <v>45.307414517592576</v>
      </c>
      <c r="J571" s="359">
        <f t="shared" ca="1" si="246"/>
        <v>628.79375991665324</v>
      </c>
      <c r="K571" s="360">
        <f t="shared" ca="1" si="247"/>
        <v>1320.7200589686001</v>
      </c>
      <c r="L571" s="357">
        <f t="shared" ca="1" si="232"/>
        <v>1462.7655542403727</v>
      </c>
      <c r="M571" s="359">
        <f t="shared" ca="1" si="248"/>
        <v>-0.93234708575911052</v>
      </c>
      <c r="N571" s="357">
        <f t="shared" ca="1" si="249"/>
        <v>-53.41955305531885</v>
      </c>
      <c r="O571" s="343"/>
      <c r="P571" s="363">
        <f t="shared" ca="1" si="250"/>
        <v>23</v>
      </c>
      <c r="Q571" s="357">
        <f t="shared" ca="1" si="251"/>
        <v>0</v>
      </c>
      <c r="R571" s="359">
        <f t="shared" ca="1" si="252"/>
        <v>0</v>
      </c>
      <c r="S571" s="360">
        <f t="shared" ca="1" si="253"/>
        <v>8.3819999999999997</v>
      </c>
      <c r="T571" s="357">
        <f t="shared" ca="1" si="233"/>
        <v>82.227419999999995</v>
      </c>
      <c r="U571" s="364">
        <f t="shared" ca="1" si="234"/>
        <v>0</v>
      </c>
      <c r="V571" s="359">
        <f t="shared" ca="1" si="235"/>
        <v>1.073233824396004</v>
      </c>
      <c r="W571" s="357">
        <f t="shared" ca="1" si="236"/>
        <v>5.851844572263869</v>
      </c>
      <c r="X571" s="343"/>
      <c r="Y571" s="367" t="str">
        <f t="shared" ca="1" si="254"/>
        <v/>
      </c>
      <c r="Z571" s="368" t="str">
        <f t="shared" ca="1" si="255"/>
        <v/>
      </c>
      <c r="AA571" s="369" t="str">
        <f t="shared" ca="1" si="256"/>
        <v/>
      </c>
      <c r="AB571" s="344"/>
      <c r="AC571" s="363" t="e">
        <f t="shared" ca="1" si="257"/>
        <v>#N/A</v>
      </c>
      <c r="AD571" s="376" t="e">
        <f t="shared" ca="1" si="258"/>
        <v>#N/A</v>
      </c>
      <c r="AE571" s="377" t="e">
        <f t="shared" ca="1" si="237"/>
        <v>#N/A</v>
      </c>
      <c r="AF571" s="344"/>
      <c r="AG571" s="359">
        <f t="shared" ca="1" si="259"/>
        <v>7.1241907304341909</v>
      </c>
      <c r="AH571" s="357">
        <f t="shared" ca="1" si="260"/>
        <v>-0.67599899705973343</v>
      </c>
    </row>
    <row r="572" spans="1:34" x14ac:dyDescent="0.2">
      <c r="A572" s="402">
        <f t="shared" ca="1" si="238"/>
        <v>0.1</v>
      </c>
      <c r="B572" s="357">
        <f t="shared" ca="1" si="239"/>
        <v>20.799999999999983</v>
      </c>
      <c r="C572" s="342"/>
      <c r="D572" s="359">
        <f t="shared" ca="1" si="240"/>
        <v>-0.41605963302248522</v>
      </c>
      <c r="E572" s="360">
        <f t="shared" ca="1" si="241"/>
        <v>-9.2493756274625589</v>
      </c>
      <c r="F572" s="357">
        <f t="shared" ca="1" si="242"/>
        <v>9.258728590693714</v>
      </c>
      <c r="G572" s="359">
        <f t="shared" ca="1" si="243"/>
        <v>26.959386981439046</v>
      </c>
      <c r="H572" s="360">
        <f t="shared" ca="1" si="244"/>
        <v>-37.307738310723167</v>
      </c>
      <c r="I572" s="357">
        <f t="shared" ca="1" si="245"/>
        <v>46.029076509054427</v>
      </c>
      <c r="J572" s="359">
        <f t="shared" ca="1" si="246"/>
        <v>631.49177891296222</v>
      </c>
      <c r="K572" s="360">
        <f t="shared" ca="1" si="247"/>
        <v>1317.0355320156652</v>
      </c>
      <c r="L572" s="357">
        <f t="shared" ca="1" si="232"/>
        <v>1460.6041419311546</v>
      </c>
      <c r="M572" s="359">
        <f t="shared" ca="1" si="248"/>
        <v>-0.94504869883771436</v>
      </c>
      <c r="N572" s="357">
        <f t="shared" ca="1" si="249"/>
        <v>-54.147301877731017</v>
      </c>
      <c r="O572" s="343"/>
      <c r="P572" s="363">
        <f t="shared" ca="1" si="250"/>
        <v>23</v>
      </c>
      <c r="Q572" s="357">
        <f t="shared" ca="1" si="251"/>
        <v>0</v>
      </c>
      <c r="R572" s="359">
        <f t="shared" ca="1" si="252"/>
        <v>0</v>
      </c>
      <c r="S572" s="360">
        <f t="shared" ca="1" si="253"/>
        <v>8.3819999999999997</v>
      </c>
      <c r="T572" s="357">
        <f t="shared" ca="1" si="233"/>
        <v>82.227419999999995</v>
      </c>
      <c r="U572" s="364">
        <f t="shared" ca="1" si="234"/>
        <v>0</v>
      </c>
      <c r="V572" s="359">
        <f t="shared" ca="1" si="235"/>
        <v>1.0736310608906101</v>
      </c>
      <c r="W572" s="357">
        <f t="shared" ca="1" si="236"/>
        <v>6.0419824885382036</v>
      </c>
      <c r="X572" s="343"/>
      <c r="Y572" s="367" t="str">
        <f t="shared" ca="1" si="254"/>
        <v/>
      </c>
      <c r="Z572" s="368" t="str">
        <f t="shared" ca="1" si="255"/>
        <v/>
      </c>
      <c r="AA572" s="369" t="str">
        <f t="shared" ca="1" si="256"/>
        <v/>
      </c>
      <c r="AB572" s="344"/>
      <c r="AC572" s="363" t="e">
        <f t="shared" ca="1" si="257"/>
        <v>#N/A</v>
      </c>
      <c r="AD572" s="376" t="e">
        <f t="shared" ca="1" si="258"/>
        <v>#N/A</v>
      </c>
      <c r="AE572" s="377" t="e">
        <f t="shared" ca="1" si="237"/>
        <v>#N/A</v>
      </c>
      <c r="AF572" s="344"/>
      <c r="AG572" s="359">
        <f t="shared" ca="1" si="259"/>
        <v>7.179490834883695</v>
      </c>
      <c r="AH572" s="357">
        <f t="shared" ca="1" si="260"/>
        <v>-0.69814418662179301</v>
      </c>
    </row>
    <row r="573" spans="1:34" x14ac:dyDescent="0.2">
      <c r="A573" s="402">
        <f t="shared" ca="1" si="238"/>
        <v>0.1</v>
      </c>
      <c r="B573" s="357">
        <f t="shared" ca="1" si="239"/>
        <v>20.899999999999984</v>
      </c>
      <c r="C573" s="342"/>
      <c r="D573" s="359">
        <f t="shared" ca="1" si="240"/>
        <v>-0.42219156943522285</v>
      </c>
      <c r="E573" s="360">
        <f t="shared" ca="1" si="241"/>
        <v>-9.2257503432727521</v>
      </c>
      <c r="F573" s="357">
        <f t="shared" ca="1" si="242"/>
        <v>9.2354055199379026</v>
      </c>
      <c r="G573" s="359">
        <f t="shared" ca="1" si="243"/>
        <v>26.917167824495525</v>
      </c>
      <c r="H573" s="360">
        <f t="shared" ca="1" si="244"/>
        <v>-38.23031334505044</v>
      </c>
      <c r="I573" s="357">
        <f t="shared" ca="1" si="245"/>
        <v>46.755649735115426</v>
      </c>
      <c r="J573" s="359">
        <f t="shared" ca="1" si="246"/>
        <v>634.1856066532589</v>
      </c>
      <c r="K573" s="360">
        <f t="shared" ca="1" si="247"/>
        <v>1313.2586294328767</v>
      </c>
      <c r="L573" s="357">
        <f t="shared" ca="1" si="232"/>
        <v>1458.3688187375919</v>
      </c>
      <c r="M573" s="359">
        <f t="shared" ca="1" si="248"/>
        <v>-0.95733789830984861</v>
      </c>
      <c r="N573" s="357">
        <f t="shared" ca="1" si="249"/>
        <v>-54.85142114107871</v>
      </c>
      <c r="O573" s="343"/>
      <c r="P573" s="363">
        <f t="shared" ca="1" si="250"/>
        <v>23</v>
      </c>
      <c r="Q573" s="357">
        <f t="shared" ca="1" si="251"/>
        <v>0</v>
      </c>
      <c r="R573" s="359">
        <f t="shared" ca="1" si="252"/>
        <v>0</v>
      </c>
      <c r="S573" s="360">
        <f t="shared" ca="1" si="253"/>
        <v>8.3819999999999997</v>
      </c>
      <c r="T573" s="357">
        <f t="shared" ca="1" si="233"/>
        <v>82.227419999999995</v>
      </c>
      <c r="U573" s="364">
        <f t="shared" ca="1" si="234"/>
        <v>0</v>
      </c>
      <c r="V573" s="359">
        <f t="shared" ca="1" si="235"/>
        <v>1.0740383991461864</v>
      </c>
      <c r="W573" s="357">
        <f t="shared" ca="1" si="236"/>
        <v>6.2365997517621503</v>
      </c>
      <c r="X573" s="343"/>
      <c r="Y573" s="367" t="str">
        <f t="shared" ca="1" si="254"/>
        <v/>
      </c>
      <c r="Z573" s="368" t="str">
        <f t="shared" ca="1" si="255"/>
        <v/>
      </c>
      <c r="AA573" s="369" t="str">
        <f t="shared" ca="1" si="256"/>
        <v/>
      </c>
      <c r="AB573" s="344"/>
      <c r="AC573" s="363" t="e">
        <f t="shared" ca="1" si="257"/>
        <v>#N/A</v>
      </c>
      <c r="AD573" s="376" t="e">
        <f t="shared" ca="1" si="258"/>
        <v>#N/A</v>
      </c>
      <c r="AE573" s="377" t="e">
        <f t="shared" ca="1" si="237"/>
        <v>#N/A</v>
      </c>
      <c r="AF573" s="344"/>
      <c r="AG573" s="359">
        <f t="shared" ca="1" si="259"/>
        <v>7.2304264796777229</v>
      </c>
      <c r="AH573" s="357">
        <f t="shared" ca="1" si="260"/>
        <v>-0.72082826157697488</v>
      </c>
    </row>
    <row r="574" spans="1:34" x14ac:dyDescent="0.2">
      <c r="A574" s="402">
        <f t="shared" ca="1" si="238"/>
        <v>0.1</v>
      </c>
      <c r="B574" s="357">
        <f t="shared" ca="1" si="239"/>
        <v>20.999999999999986</v>
      </c>
      <c r="C574" s="342"/>
      <c r="D574" s="359">
        <f t="shared" ca="1" si="240"/>
        <v>-0.42834675616134116</v>
      </c>
      <c r="E574" s="360">
        <f t="shared" ca="1" si="241"/>
        <v>-9.201621331963409</v>
      </c>
      <c r="F574" s="357">
        <f t="shared" ca="1" si="242"/>
        <v>9.2115859698728322</v>
      </c>
      <c r="G574" s="359">
        <f t="shared" ca="1" si="243"/>
        <v>26.874333148879391</v>
      </c>
      <c r="H574" s="360">
        <f t="shared" ca="1" si="244"/>
        <v>-39.150475478246783</v>
      </c>
      <c r="I574" s="357">
        <f t="shared" ca="1" si="245"/>
        <v>47.48672985550553</v>
      </c>
      <c r="J574" s="359">
        <f t="shared" ca="1" si="246"/>
        <v>636.87518170192766</v>
      </c>
      <c r="K574" s="360">
        <f t="shared" ca="1" si="247"/>
        <v>1309.3895899917118</v>
      </c>
      <c r="L574" s="357">
        <f t="shared" ca="1" si="232"/>
        <v>1456.0601276892812</v>
      </c>
      <c r="M574" s="359">
        <f t="shared" ca="1" si="248"/>
        <v>-0.96923119487995535</v>
      </c>
      <c r="N574" s="357">
        <f t="shared" ca="1" si="249"/>
        <v>-55.532856839043248</v>
      </c>
      <c r="O574" s="343"/>
      <c r="P574" s="363">
        <f t="shared" ca="1" si="250"/>
        <v>23</v>
      </c>
      <c r="Q574" s="357">
        <f t="shared" ca="1" si="251"/>
        <v>0</v>
      </c>
      <c r="R574" s="359">
        <f t="shared" ca="1" si="252"/>
        <v>0</v>
      </c>
      <c r="S574" s="360">
        <f t="shared" ca="1" si="253"/>
        <v>8.3819999999999997</v>
      </c>
      <c r="T574" s="357">
        <f t="shared" ca="1" si="233"/>
        <v>82.227419999999995</v>
      </c>
      <c r="U574" s="364">
        <f t="shared" ca="1" si="234"/>
        <v>0</v>
      </c>
      <c r="V574" s="359">
        <f t="shared" ca="1" si="235"/>
        <v>1.0744558240661017</v>
      </c>
      <c r="W574" s="357">
        <f t="shared" ca="1" si="236"/>
        <v>6.4356580765225972</v>
      </c>
      <c r="X574" s="343"/>
      <c r="Y574" s="367" t="str">
        <f t="shared" ca="1" si="254"/>
        <v/>
      </c>
      <c r="Z574" s="368" t="str">
        <f t="shared" ca="1" si="255"/>
        <v/>
      </c>
      <c r="AA574" s="369" t="str">
        <f t="shared" ca="1" si="256"/>
        <v/>
      </c>
      <c r="AB574" s="344"/>
      <c r="AC574" s="363">
        <f t="shared" ca="1" si="257"/>
        <v>20.999999999999986</v>
      </c>
      <c r="AD574" s="376">
        <f t="shared" ca="1" si="258"/>
        <v>636.87518170192766</v>
      </c>
      <c r="AE574" s="377" t="e">
        <f t="shared" ca="1" si="237"/>
        <v>#N/A</v>
      </c>
      <c r="AF574" s="344"/>
      <c r="AG574" s="359">
        <f t="shared" ca="1" si="259"/>
        <v>7.2772164905933474</v>
      </c>
      <c r="AH574" s="357">
        <f t="shared" ca="1" si="260"/>
        <v>-0.7440467372658256</v>
      </c>
    </row>
    <row r="575" spans="1:34" x14ac:dyDescent="0.2">
      <c r="A575" s="402">
        <f t="shared" ca="1" si="238"/>
        <v>0.1</v>
      </c>
      <c r="B575" s="357">
        <f t="shared" ca="1" si="239"/>
        <v>21.099999999999987</v>
      </c>
      <c r="C575" s="342"/>
      <c r="D575" s="359">
        <f t="shared" ca="1" si="240"/>
        <v>-0.43452096874425461</v>
      </c>
      <c r="E575" s="360">
        <f t="shared" ca="1" si="241"/>
        <v>-9.1769907105279991</v>
      </c>
      <c r="F575" s="357">
        <f t="shared" ca="1" si="242"/>
        <v>9.1872720093287548</v>
      </c>
      <c r="G575" s="359">
        <f t="shared" ca="1" si="243"/>
        <v>26.830881052004965</v>
      </c>
      <c r="H575" s="360">
        <f t="shared" ca="1" si="244"/>
        <v>-40.068174549299584</v>
      </c>
      <c r="I575" s="357">
        <f t="shared" ca="1" si="245"/>
        <v>48.221932662845212</v>
      </c>
      <c r="J575" s="359">
        <f t="shared" ca="1" si="246"/>
        <v>639.56044241197185</v>
      </c>
      <c r="K575" s="360">
        <f t="shared" ca="1" si="247"/>
        <v>1305.4286574903344</v>
      </c>
      <c r="L575" s="357">
        <f t="shared" ca="1" si="232"/>
        <v>1453.6786231128303</v>
      </c>
      <c r="M575" s="359">
        <f t="shared" ca="1" si="248"/>
        <v>-0.9807444843328571</v>
      </c>
      <c r="N575" s="357">
        <f t="shared" ca="1" si="249"/>
        <v>-56.192519733007003</v>
      </c>
      <c r="O575" s="343"/>
      <c r="P575" s="363">
        <f t="shared" ca="1" si="250"/>
        <v>23</v>
      </c>
      <c r="Q575" s="357">
        <f t="shared" ca="1" si="251"/>
        <v>0</v>
      </c>
      <c r="R575" s="359">
        <f t="shared" ca="1" si="252"/>
        <v>0</v>
      </c>
      <c r="S575" s="360">
        <f t="shared" ca="1" si="253"/>
        <v>8.3819999999999997</v>
      </c>
      <c r="T575" s="357">
        <f t="shared" ca="1" si="233"/>
        <v>82.227419999999995</v>
      </c>
      <c r="U575" s="364">
        <f t="shared" ca="1" si="234"/>
        <v>0</v>
      </c>
      <c r="V575" s="359">
        <f t="shared" ca="1" si="235"/>
        <v>1.0748833202435055</v>
      </c>
      <c r="W575" s="357">
        <f t="shared" ca="1" si="236"/>
        <v>6.6391184902168465</v>
      </c>
      <c r="X575" s="343"/>
      <c r="Y575" s="367" t="str">
        <f t="shared" ca="1" si="254"/>
        <v/>
      </c>
      <c r="Z575" s="368" t="str">
        <f t="shared" ca="1" si="255"/>
        <v/>
      </c>
      <c r="AA575" s="369" t="str">
        <f t="shared" ca="1" si="256"/>
        <v/>
      </c>
      <c r="AB575" s="344"/>
      <c r="AC575" s="363" t="e">
        <f t="shared" ca="1" si="257"/>
        <v>#N/A</v>
      </c>
      <c r="AD575" s="376" t="e">
        <f t="shared" ca="1" si="258"/>
        <v>#N/A</v>
      </c>
      <c r="AE575" s="377" t="e">
        <f t="shared" ca="1" si="237"/>
        <v>#N/A</v>
      </c>
      <c r="AF575" s="344"/>
      <c r="AG575" s="359">
        <f t="shared" ca="1" si="259"/>
        <v>7.3200679339286445</v>
      </c>
      <c r="AH575" s="357">
        <f t="shared" ca="1" si="260"/>
        <v>-0.76779504611340943</v>
      </c>
    </row>
    <row r="576" spans="1:34" x14ac:dyDescent="0.2">
      <c r="A576" s="402">
        <f t="shared" ca="1" si="238"/>
        <v>0.1</v>
      </c>
      <c r="B576" s="357">
        <f t="shared" ca="1" si="239"/>
        <v>21.199999999999989</v>
      </c>
      <c r="C576" s="342"/>
      <c r="D576" s="359">
        <f t="shared" ca="1" si="240"/>
        <v>-0.44071018247544091</v>
      </c>
      <c r="E576" s="360">
        <f t="shared" ca="1" si="241"/>
        <v>-9.1518608772908685</v>
      </c>
      <c r="F576" s="357">
        <f t="shared" ca="1" si="242"/>
        <v>9.1624659880528192</v>
      </c>
      <c r="G576" s="359">
        <f t="shared" ca="1" si="243"/>
        <v>26.786810033757423</v>
      </c>
      <c r="H576" s="360">
        <f t="shared" ca="1" si="244"/>
        <v>-40.983360637028674</v>
      </c>
      <c r="I576" s="357">
        <f t="shared" ca="1" si="245"/>
        <v>48.960892974795293</v>
      </c>
      <c r="J576" s="359">
        <f t="shared" ca="1" si="246"/>
        <v>642.24132696625998</v>
      </c>
      <c r="K576" s="360">
        <f t="shared" ca="1" si="247"/>
        <v>1301.376080731018</v>
      </c>
      <c r="L576" s="357">
        <f t="shared" ca="1" si="232"/>
        <v>1451.2248707771678</v>
      </c>
      <c r="M576" s="359">
        <f t="shared" ca="1" si="248"/>
        <v>-0.99189304997856353</v>
      </c>
      <c r="N576" s="357">
        <f t="shared" ca="1" si="249"/>
        <v>-56.831285492130519</v>
      </c>
      <c r="O576" s="343"/>
      <c r="P576" s="363">
        <f t="shared" ca="1" si="250"/>
        <v>23</v>
      </c>
      <c r="Q576" s="357">
        <f t="shared" ca="1" si="251"/>
        <v>0</v>
      </c>
      <c r="R576" s="359">
        <f t="shared" ca="1" si="252"/>
        <v>0</v>
      </c>
      <c r="S576" s="360">
        <f t="shared" ca="1" si="253"/>
        <v>8.3819999999999997</v>
      </c>
      <c r="T576" s="357">
        <f t="shared" ca="1" si="233"/>
        <v>82.227419999999995</v>
      </c>
      <c r="U576" s="364">
        <f t="shared" ca="1" si="234"/>
        <v>0</v>
      </c>
      <c r="V576" s="359">
        <f t="shared" ca="1" si="235"/>
        <v>1.0753208719611709</v>
      </c>
      <c r="W576" s="357">
        <f t="shared" ca="1" si="236"/>
        <v>6.8469413415382601</v>
      </c>
      <c r="X576" s="343"/>
      <c r="Y576" s="367" t="str">
        <f t="shared" ca="1" si="254"/>
        <v/>
      </c>
      <c r="Z576" s="368" t="str">
        <f t="shared" ca="1" si="255"/>
        <v/>
      </c>
      <c r="AA576" s="369" t="str">
        <f t="shared" ca="1" si="256"/>
        <v/>
      </c>
      <c r="AB576" s="344"/>
      <c r="AC576" s="363" t="e">
        <f t="shared" ca="1" si="257"/>
        <v>#N/A</v>
      </c>
      <c r="AD576" s="376" t="e">
        <f t="shared" ca="1" si="258"/>
        <v>#N/A</v>
      </c>
      <c r="AE576" s="377" t="e">
        <f t="shared" ca="1" si="237"/>
        <v>#N/A</v>
      </c>
      <c r="AF576" s="344"/>
      <c r="AG576" s="359">
        <f t="shared" ca="1" si="259"/>
        <v>7.3591765613993996</v>
      </c>
      <c r="AH576" s="357">
        <f t="shared" ca="1" si="260"/>
        <v>-0.79206853856082637</v>
      </c>
    </row>
    <row r="577" spans="1:34" x14ac:dyDescent="0.2">
      <c r="A577" s="402">
        <f t="shared" ca="1" si="238"/>
        <v>0.1</v>
      </c>
      <c r="B577" s="357">
        <f t="shared" ca="1" si="239"/>
        <v>21.29999999999999</v>
      </c>
      <c r="C577" s="342"/>
      <c r="D577" s="359">
        <f t="shared" ca="1" si="240"/>
        <v>-0.44691056178149235</v>
      </c>
      <c r="E577" s="360">
        <f t="shared" ca="1" si="241"/>
        <v>-9.1262344936591617</v>
      </c>
      <c r="F577" s="357">
        <f t="shared" ca="1" si="242"/>
        <v>9.1371705184639165</v>
      </c>
      <c r="G577" s="359">
        <f t="shared" ca="1" si="243"/>
        <v>26.742118977579274</v>
      </c>
      <c r="H577" s="360">
        <f t="shared" ca="1" si="244"/>
        <v>-41.895984086394591</v>
      </c>
      <c r="I577" s="357">
        <f t="shared" ca="1" si="245"/>
        <v>49.703263574723486</v>
      </c>
      <c r="J577" s="359">
        <f t="shared" ca="1" si="246"/>
        <v>644.91777341682678</v>
      </c>
      <c r="K577" s="360">
        <f t="shared" ca="1" si="247"/>
        <v>1297.2321134948468</v>
      </c>
      <c r="L577" s="357">
        <f t="shared" ca="1" si="232"/>
        <v>1448.6994480399392</v>
      </c>
      <c r="M577" s="359">
        <f t="shared" ca="1" si="248"/>
        <v>-1.002691569295205</v>
      </c>
      <c r="N577" s="357">
        <f t="shared" ca="1" si="249"/>
        <v>-57.449995073964573</v>
      </c>
      <c r="O577" s="343"/>
      <c r="P577" s="363">
        <f t="shared" ca="1" si="250"/>
        <v>23</v>
      </c>
      <c r="Q577" s="357">
        <f t="shared" ca="1" si="251"/>
        <v>0</v>
      </c>
      <c r="R577" s="359">
        <f t="shared" ca="1" si="252"/>
        <v>0</v>
      </c>
      <c r="S577" s="360">
        <f t="shared" ca="1" si="253"/>
        <v>8.3819999999999997</v>
      </c>
      <c r="T577" s="357">
        <f t="shared" ca="1" si="233"/>
        <v>82.227419999999995</v>
      </c>
      <c r="U577" s="364">
        <f t="shared" ca="1" si="234"/>
        <v>0</v>
      </c>
      <c r="V577" s="359">
        <f t="shared" ca="1" si="235"/>
        <v>1.0757684631915845</v>
      </c>
      <c r="W577" s="357">
        <f t="shared" ca="1" si="236"/>
        <v>7.0590863095934191</v>
      </c>
      <c r="X577" s="343"/>
      <c r="Y577" s="367" t="str">
        <f t="shared" ca="1" si="254"/>
        <v/>
      </c>
      <c r="Z577" s="368" t="str">
        <f t="shared" ca="1" si="255"/>
        <v/>
      </c>
      <c r="AA577" s="369" t="str">
        <f t="shared" ca="1" si="256"/>
        <v/>
      </c>
      <c r="AB577" s="344"/>
      <c r="AC577" s="363" t="e">
        <f t="shared" ca="1" si="257"/>
        <v>#N/A</v>
      </c>
      <c r="AD577" s="376" t="e">
        <f t="shared" ca="1" si="258"/>
        <v>#N/A</v>
      </c>
      <c r="AE577" s="377" t="e">
        <f t="shared" ca="1" si="237"/>
        <v>#N/A</v>
      </c>
      <c r="AF577" s="344"/>
      <c r="AG577" s="359">
        <f t="shared" ca="1" si="259"/>
        <v>7.3947272852557155</v>
      </c>
      <c r="AH577" s="357">
        <f t="shared" ca="1" si="260"/>
        <v>-0.81686248407757822</v>
      </c>
    </row>
    <row r="578" spans="1:34" x14ac:dyDescent="0.2">
      <c r="A578" s="402">
        <f t="shared" ca="1" si="238"/>
        <v>0.1</v>
      </c>
      <c r="B578" s="357">
        <f t="shared" ca="1" si="239"/>
        <v>21.399999999999991</v>
      </c>
      <c r="C578" s="342"/>
      <c r="D578" s="359">
        <f t="shared" ca="1" si="240"/>
        <v>-0.45311845009585727</v>
      </c>
      <c r="E578" s="360">
        <f t="shared" ca="1" si="241"/>
        <v>-9.1001144673545138</v>
      </c>
      <c r="F578" s="357">
        <f t="shared" ca="1" si="242"/>
        <v>9.1113884588888094</v>
      </c>
      <c r="G578" s="359">
        <f t="shared" ca="1" si="243"/>
        <v>26.696807132569688</v>
      </c>
      <c r="H578" s="360">
        <f t="shared" ca="1" si="244"/>
        <v>-42.805995533130044</v>
      </c>
      <c r="I578" s="357">
        <f t="shared" ca="1" si="245"/>
        <v>50.448714202207107</v>
      </c>
      <c r="J578" s="359">
        <f t="shared" ca="1" si="246"/>
        <v>647.58971972233428</v>
      </c>
      <c r="K578" s="360">
        <f t="shared" ca="1" si="247"/>
        <v>1292.9970145138705</v>
      </c>
      <c r="L578" s="357">
        <f t="shared" ca="1" si="232"/>
        <v>1446.1029439952861</v>
      </c>
      <c r="M578" s="359">
        <f t="shared" ca="1" si="248"/>
        <v>-1.0131541239507382</v>
      </c>
      <c r="N578" s="357">
        <f t="shared" ca="1" si="249"/>
        <v>-58.049455298651573</v>
      </c>
      <c r="O578" s="343"/>
      <c r="P578" s="363">
        <f t="shared" ca="1" si="250"/>
        <v>23</v>
      </c>
      <c r="Q578" s="357">
        <f t="shared" ca="1" si="251"/>
        <v>0</v>
      </c>
      <c r="R578" s="359">
        <f t="shared" ca="1" si="252"/>
        <v>0</v>
      </c>
      <c r="S578" s="360">
        <f t="shared" ca="1" si="253"/>
        <v>8.3819999999999997</v>
      </c>
      <c r="T578" s="357">
        <f t="shared" ca="1" si="233"/>
        <v>82.227419999999995</v>
      </c>
      <c r="U578" s="364">
        <f t="shared" ca="1" si="234"/>
        <v>0</v>
      </c>
      <c r="V578" s="359">
        <f t="shared" ca="1" si="235"/>
        <v>1.0762260775972634</v>
      </c>
      <c r="W578" s="357">
        <f t="shared" ca="1" si="236"/>
        <v>7.2755124136079496</v>
      </c>
      <c r="X578" s="343"/>
      <c r="Y578" s="367" t="str">
        <f t="shared" ca="1" si="254"/>
        <v/>
      </c>
      <c r="Z578" s="368" t="str">
        <f t="shared" ca="1" si="255"/>
        <v/>
      </c>
      <c r="AA578" s="369" t="str">
        <f t="shared" ca="1" si="256"/>
        <v/>
      </c>
      <c r="AB578" s="344"/>
      <c r="AC578" s="363" t="e">
        <f t="shared" ca="1" si="257"/>
        <v>#N/A</v>
      </c>
      <c r="AD578" s="376" t="e">
        <f t="shared" ca="1" si="258"/>
        <v>#N/A</v>
      </c>
      <c r="AE578" s="377" t="e">
        <f t="shared" ca="1" si="237"/>
        <v>#N/A</v>
      </c>
      <c r="AF578" s="344"/>
      <c r="AG578" s="359">
        <f t="shared" ca="1" si="259"/>
        <v>7.426894671620321</v>
      </c>
      <c r="AH578" s="357">
        <f t="shared" ca="1" si="260"/>
        <v>-0.84217207224927459</v>
      </c>
    </row>
    <row r="579" spans="1:34" x14ac:dyDescent="0.2">
      <c r="A579" s="402">
        <f t="shared" ca="1" si="238"/>
        <v>0.1</v>
      </c>
      <c r="B579" s="357">
        <f t="shared" ca="1" si="239"/>
        <v>21.499999999999993</v>
      </c>
      <c r="C579" s="342"/>
      <c r="D579" s="359">
        <f t="shared" ca="1" si="240"/>
        <v>-0.45933036022467583</v>
      </c>
      <c r="E579" s="360">
        <f t="shared" ca="1" si="241"/>
        <v>-9.0735039369924859</v>
      </c>
      <c r="F579" s="357">
        <f t="shared" ca="1" si="242"/>
        <v>9.0851228981474037</v>
      </c>
      <c r="G579" s="359">
        <f t="shared" ca="1" si="243"/>
        <v>26.65087409654722</v>
      </c>
      <c r="H579" s="360">
        <f t="shared" ca="1" si="244"/>
        <v>-43.713345926829291</v>
      </c>
      <c r="I579" s="357">
        <f t="shared" ca="1" si="245"/>
        <v>51.196930593822266</v>
      </c>
      <c r="J579" s="359">
        <f t="shared" ca="1" si="246"/>
        <v>650.25710378379017</v>
      </c>
      <c r="K579" s="360">
        <f t="shared" ca="1" si="247"/>
        <v>1288.6710474408726</v>
      </c>
      <c r="L579" s="357">
        <f t="shared" ca="1" si="232"/>
        <v>1443.4359596233005</v>
      </c>
      <c r="M579" s="359">
        <f t="shared" ca="1" si="248"/>
        <v>-1.0232942125013005</v>
      </c>
      <c r="N579" s="357">
        <f t="shared" ca="1" si="249"/>
        <v>-58.630439576487724</v>
      </c>
      <c r="O579" s="343"/>
      <c r="P579" s="363">
        <f t="shared" ca="1" si="250"/>
        <v>23</v>
      </c>
      <c r="Q579" s="357">
        <f t="shared" ca="1" si="251"/>
        <v>0</v>
      </c>
      <c r="R579" s="359">
        <f t="shared" ca="1" si="252"/>
        <v>0</v>
      </c>
      <c r="S579" s="360">
        <f t="shared" ca="1" si="253"/>
        <v>8.3819999999999997</v>
      </c>
      <c r="T579" s="357">
        <f t="shared" ca="1" si="233"/>
        <v>82.227419999999995</v>
      </c>
      <c r="U579" s="364">
        <f t="shared" ca="1" si="234"/>
        <v>0</v>
      </c>
      <c r="V579" s="359">
        <f t="shared" ca="1" si="235"/>
        <v>1.0766936985312821</v>
      </c>
      <c r="W579" s="357">
        <f t="shared" ca="1" si="236"/>
        <v>7.4961780231812813</v>
      </c>
      <c r="X579" s="343"/>
      <c r="Y579" s="367" t="str">
        <f t="shared" ca="1" si="254"/>
        <v/>
      </c>
      <c r="Z579" s="368" t="str">
        <f t="shared" ca="1" si="255"/>
        <v/>
      </c>
      <c r="AA579" s="369" t="str">
        <f t="shared" ca="1" si="256"/>
        <v/>
      </c>
      <c r="AB579" s="344"/>
      <c r="AC579" s="363" t="e">
        <f t="shared" ca="1" si="257"/>
        <v>#N/A</v>
      </c>
      <c r="AD579" s="376" t="e">
        <f t="shared" ca="1" si="258"/>
        <v>#N/A</v>
      </c>
      <c r="AE579" s="377" t="e">
        <f t="shared" ca="1" si="237"/>
        <v>#N/A</v>
      </c>
      <c r="AF579" s="344"/>
      <c r="AG579" s="359">
        <f t="shared" ca="1" si="259"/>
        <v>7.4558434423533919</v>
      </c>
      <c r="AH579" s="357">
        <f t="shared" ca="1" si="260"/>
        <v>-0.86799241393557025</v>
      </c>
    </row>
    <row r="580" spans="1:34" x14ac:dyDescent="0.2">
      <c r="A580" s="402">
        <f t="shared" ca="1" si="238"/>
        <v>0.1</v>
      </c>
      <c r="B580" s="357">
        <f t="shared" ca="1" si="239"/>
        <v>21.599999999999994</v>
      </c>
      <c r="C580" s="342"/>
      <c r="D580" s="359">
        <f t="shared" ca="1" si="240"/>
        <v>-0.46554296520815863</v>
      </c>
      <c r="E580" s="360">
        <f t="shared" ca="1" si="241"/>
        <v>-9.0464062578877069</v>
      </c>
      <c r="F580" s="357">
        <f t="shared" ca="1" si="242"/>
        <v>9.0583771413650407</v>
      </c>
      <c r="G580" s="359">
        <f t="shared" ca="1" si="243"/>
        <v>26.604319800026403</v>
      </c>
      <c r="H580" s="360">
        <f t="shared" ca="1" si="244"/>
        <v>-44.617986552618063</v>
      </c>
      <c r="I580" s="357">
        <f t="shared" ca="1" si="245"/>
        <v>51.947613573981272</v>
      </c>
      <c r="J580" s="359">
        <f t="shared" ca="1" si="246"/>
        <v>652.91986347861882</v>
      </c>
      <c r="K580" s="360">
        <f t="shared" ca="1" si="247"/>
        <v>1284.2544808169002</v>
      </c>
      <c r="L580" s="357">
        <f t="shared" ref="L580:L643" ca="1" si="261">SQRT(pos_x^2+pos_z^2)</f>
        <v>1440.6991079414272</v>
      </c>
      <c r="M580" s="359">
        <f t="shared" ca="1" si="248"/>
        <v>-1.0331247651678785</v>
      </c>
      <c r="N580" s="357">
        <f t="shared" ca="1" si="249"/>
        <v>-59.193688754563723</v>
      </c>
      <c r="O580" s="343"/>
      <c r="P580" s="363">
        <f t="shared" ca="1" si="250"/>
        <v>23</v>
      </c>
      <c r="Q580" s="357">
        <f t="shared" ca="1" si="251"/>
        <v>0</v>
      </c>
      <c r="R580" s="359">
        <f t="shared" ca="1" si="252"/>
        <v>0</v>
      </c>
      <c r="S580" s="360">
        <f t="shared" ca="1" si="253"/>
        <v>8.3819999999999997</v>
      </c>
      <c r="T580" s="357">
        <f t="shared" ref="T580:T643" ca="1" si="262">m*g</f>
        <v>82.227419999999995</v>
      </c>
      <c r="U580" s="364">
        <f t="shared" ref="U580:U643" ca="1" si="263">IF(pos_xz&lt;L_rampe,Poids*COS(Beta),0)</f>
        <v>0</v>
      </c>
      <c r="V580" s="359">
        <f t="shared" ref="V580:V643" ca="1" si="264">Rho_moyen*(20000-Alt_rampe-pos_z)/(20000+Alt_rampe+pos_z)</f>
        <v>1.0771713090379926</v>
      </c>
      <c r="W580" s="357">
        <f t="shared" ref="W580:W643" ca="1" si="265">1/2*Rho*Sref*Cx*vit_xz^2</f>
        <v>7.721040869053458</v>
      </c>
      <c r="X580" s="343"/>
      <c r="Y580" s="367" t="str">
        <f t="shared" ca="1" si="254"/>
        <v/>
      </c>
      <c r="Z580" s="368" t="str">
        <f t="shared" ca="1" si="255"/>
        <v/>
      </c>
      <c r="AA580" s="369" t="str">
        <f t="shared" ca="1" si="256"/>
        <v/>
      </c>
      <c r="AB580" s="344"/>
      <c r="AC580" s="363" t="e">
        <f t="shared" ca="1" si="257"/>
        <v>#N/A</v>
      </c>
      <c r="AD580" s="376" t="e">
        <f t="shared" ca="1" si="258"/>
        <v>#N/A</v>
      </c>
      <c r="AE580" s="377" t="e">
        <f t="shared" ref="AE580:AE643" ca="1" si="266">IF(t&lt;T_para, pos_z, NA())</f>
        <v>#N/A</v>
      </c>
      <c r="AF580" s="344"/>
      <c r="AG580" s="359">
        <f t="shared" ca="1" si="259"/>
        <v>7.481728977705604</v>
      </c>
      <c r="AH580" s="357">
        <f t="shared" ca="1" si="260"/>
        <v>-0.89431854249359122</v>
      </c>
    </row>
    <row r="581" spans="1:34" x14ac:dyDescent="0.2">
      <c r="A581" s="402">
        <f t="shared" ref="A581:A644" ca="1" si="267">IF(B580+0.01&lt;=T_ini+ROUNDUP(Temps_fin_propu,0), 0.01, IF(K580&gt;0, 0.1, 0.0001))</f>
        <v>0.1</v>
      </c>
      <c r="B581" s="357">
        <f t="shared" ref="B581:B644" ca="1" si="268">B580+pas</f>
        <v>21.699999999999996</v>
      </c>
      <c r="C581" s="342"/>
      <c r="D581" s="359">
        <f t="shared" ref="D581:D644" ca="1" si="269">IF(AND(L580&lt;L_rampe,Poussee&lt;Poids*SIN(M580)),0,(-W580+Poussee)/m*COS(M580)-U580/m*SIN(M580))</f>
        <v>-0.47175308967270624</v>
      </c>
      <c r="E581" s="360">
        <f t="shared" ref="E581:E644" ca="1" si="270">IF(AND(L580&lt;L_rampe,Poussee&lt;Poids*SIN(M580)),0,(-W580+Poussee)/m*SIN(M580)+U580/m*COS(M580)-Poids/m)</f>
        <v>-9.0188249889722076</v>
      </c>
      <c r="F581" s="357">
        <f t="shared" ref="F581:F644" ca="1" si="271">SQRT(acc_x^2+acc_z^2)</f>
        <v>9.0311546968992449</v>
      </c>
      <c r="G581" s="359">
        <f t="shared" ref="G581:G644" ca="1" si="272">G580+acc_x*pas</f>
        <v>26.557144491059134</v>
      </c>
      <c r="H581" s="360">
        <f t="shared" ref="H581:H644" ca="1" si="273">H580+acc_z*pas</f>
        <v>-45.519869051515286</v>
      </c>
      <c r="I581" s="357">
        <f t="shared" ref="I581:I644" ca="1" si="274">SQRT(vit_x^2+vit_z^2)</f>
        <v>52.700478195041946</v>
      </c>
      <c r="J581" s="359">
        <f t="shared" ref="J581:J644" ca="1" si="275">J580+0.5*(vit_x+G580)*pas*(K580&gt;=0)</f>
        <v>655.57793669317311</v>
      </c>
      <c r="K581" s="360">
        <f t="shared" ref="K581:K644" ca="1" si="276">K580+0.5*(vit_z+H580)*pas</f>
        <v>1279.7475880366935</v>
      </c>
      <c r="L581" s="357">
        <f t="shared" ca="1" si="261"/>
        <v>1437.8930141580815</v>
      </c>
      <c r="M581" s="359">
        <f t="shared" ref="M581:M644" ca="1" si="277">IF(AND(L580&gt;L_rampe,G581&gt;0),ATAN2(G581,H581),$M$4)</f>
        <v>-1.0426581601842604</v>
      </c>
      <c r="N581" s="357">
        <f t="shared" ref="N581:N644" ca="1" si="278">DEGREES(Beta)</f>
        <v>-59.73991205343345</v>
      </c>
      <c r="O581" s="343"/>
      <c r="P581" s="363">
        <f t="shared" ref="P581:P644" ca="1" si="279">MATCH(t-pas/2-T_ini,CdP_t)</f>
        <v>23</v>
      </c>
      <c r="Q581" s="357">
        <f t="shared" ref="Q581:Q644" ca="1" si="280">(INDEX(CdP,2,i_P+1)-INDEX(CdP,2,i_P+0))/(INDEX(CdP,1,i_P+1)-INDEX(CdP,1,i_P+0))*(t-pas/2-T_ini-INDEX(CdP,1,i_P+0))+INDEX(CdP,2,i_P+0)</f>
        <v>0</v>
      </c>
      <c r="R581" s="359">
        <f t="shared" ref="R581:R644" ca="1" si="281">Poussee/(g*ISP)</f>
        <v>0</v>
      </c>
      <c r="S581" s="360">
        <f t="shared" ref="S581:S644" ca="1" si="282">S580-Débit*pas</f>
        <v>8.3819999999999997</v>
      </c>
      <c r="T581" s="357">
        <f t="shared" ca="1" si="262"/>
        <v>82.227419999999995</v>
      </c>
      <c r="U581" s="364">
        <f t="shared" ca="1" si="263"/>
        <v>0</v>
      </c>
      <c r="V581" s="359">
        <f t="shared" ca="1" si="264"/>
        <v>1.077658891853934</v>
      </c>
      <c r="W581" s="357">
        <f t="shared" ca="1" si="265"/>
        <v>7.9500580543497117</v>
      </c>
      <c r="X581" s="343"/>
      <c r="Y581" s="367" t="str">
        <f t="shared" ref="Y581:Y644" ca="1" si="283">IF(AND(pos_z&lt;=0,K580&gt;0),"Impact balistique","") &amp; IF(AND(H582&lt;0,vit_z&gt;=0),"Apogée","") &amp; IF(AND(Poussee=0,Q580&gt;0),"Fin de propulsion","") &amp; IF(AND(L582&gt;L_rampe,pos_xz&lt;=L_rampe),"Sortie de rampe","")</f>
        <v/>
      </c>
      <c r="Z581" s="368" t="str">
        <f t="shared" ref="Z581:Z644" ca="1" si="284">IF(ABS(t-T_para)&lt;pas/2,"Para","")</f>
        <v/>
      </c>
      <c r="AA581" s="369" t="str">
        <f t="shared" ref="AA581:AA644" ca="1" si="285">IF(ABS(t-T_satellite)&lt;pas/2,"Satellite","")</f>
        <v/>
      </c>
      <c r="AB581" s="344"/>
      <c r="AC581" s="363" t="e">
        <f t="shared" ref="AC581:AC644" ca="1" si="286">IF(ABS(t-ROUND(t,0))&lt;0.001,t,NA())</f>
        <v>#N/A</v>
      </c>
      <c r="AD581" s="376" t="e">
        <f t="shared" ref="AD581:AD644" ca="1" si="287">IF(ABS(t-ROUND(t,0))&lt;0.001,pos_x,NA())</f>
        <v>#N/A</v>
      </c>
      <c r="AE581" s="377" t="e">
        <f t="shared" ca="1" si="266"/>
        <v>#N/A</v>
      </c>
      <c r="AF581" s="344"/>
      <c r="AG581" s="359">
        <f t="shared" ref="AG581:AG644" ca="1" si="288">IF(AND(L580&lt;L_rampe,Poussee&lt;Poids*SIN(M580)),0,(-W580+Poussee)/m-Poids*SIN(M580)/m)</f>
        <v>7.5046978136708313</v>
      </c>
      <c r="AH581" s="357">
        <f t="shared" ref="AH581:AH644" ca="1" si="289">IF(AND(L580&lt;L_rampe,Poussee&lt;Poids*SIN(M580)), g*SIN(M580), (-W580+Poussee)/m)</f>
        <v>-0.92114541506245029</v>
      </c>
    </row>
    <row r="582" spans="1:34" x14ac:dyDescent="0.2">
      <c r="A582" s="402">
        <f t="shared" ca="1" si="267"/>
        <v>0.1</v>
      </c>
      <c r="B582" s="357">
        <f t="shared" ca="1" si="268"/>
        <v>21.799999999999997</v>
      </c>
      <c r="C582" s="342"/>
      <c r="D582" s="359">
        <f t="shared" ca="1" si="269"/>
        <v>-0.47795770166411738</v>
      </c>
      <c r="E582" s="360">
        <f t="shared" ca="1" si="270"/>
        <v>-8.9907638807237547</v>
      </c>
      <c r="F582" s="357">
        <f t="shared" ca="1" si="271"/>
        <v>9.0034592642776428</v>
      </c>
      <c r="G582" s="359">
        <f t="shared" ca="1" si="272"/>
        <v>26.509348720892721</v>
      </c>
      <c r="H582" s="360">
        <f t="shared" ca="1" si="273"/>
        <v>-46.41894543958766</v>
      </c>
      <c r="I582" s="357">
        <f t="shared" ca="1" si="274"/>
        <v>53.45525292550127</v>
      </c>
      <c r="J582" s="359">
        <f t="shared" ca="1" si="275"/>
        <v>658.23126135377072</v>
      </c>
      <c r="K582" s="360">
        <f t="shared" ca="1" si="276"/>
        <v>1275.1506473121383</v>
      </c>
      <c r="L582" s="357">
        <f t="shared" ca="1" si="261"/>
        <v>1435.0183158287357</v>
      </c>
      <c r="M582" s="359">
        <f t="shared" ca="1" si="277"/>
        <v>-1.051906241289057</v>
      </c>
      <c r="N582" s="357">
        <f t="shared" ca="1" si="278"/>
        <v>-60.269788069332982</v>
      </c>
      <c r="O582" s="343"/>
      <c r="P582" s="363">
        <f t="shared" ca="1" si="279"/>
        <v>23</v>
      </c>
      <c r="Q582" s="357">
        <f t="shared" ca="1" si="280"/>
        <v>0</v>
      </c>
      <c r="R582" s="359">
        <f t="shared" ca="1" si="281"/>
        <v>0</v>
      </c>
      <c r="S582" s="360">
        <f t="shared" ca="1" si="282"/>
        <v>8.3819999999999997</v>
      </c>
      <c r="T582" s="357">
        <f t="shared" ca="1" si="262"/>
        <v>82.227419999999995</v>
      </c>
      <c r="U582" s="364">
        <f t="shared" ca="1" si="263"/>
        <v>0</v>
      </c>
      <c r="V582" s="359">
        <f t="shared" ca="1" si="264"/>
        <v>1.0781564294089063</v>
      </c>
      <c r="W582" s="357">
        <f t="shared" ca="1" si="265"/>
        <v>8.18318606627078</v>
      </c>
      <c r="X582" s="343"/>
      <c r="Y582" s="367" t="str">
        <f t="shared" ca="1" si="283"/>
        <v/>
      </c>
      <c r="Z582" s="368" t="str">
        <f t="shared" ca="1" si="284"/>
        <v/>
      </c>
      <c r="AA582" s="369" t="str">
        <f t="shared" ca="1" si="285"/>
        <v/>
      </c>
      <c r="AB582" s="344"/>
      <c r="AC582" s="363" t="e">
        <f t="shared" ca="1" si="286"/>
        <v>#N/A</v>
      </c>
      <c r="AD582" s="376" t="e">
        <f t="shared" ca="1" si="287"/>
        <v>#N/A</v>
      </c>
      <c r="AE582" s="377" t="e">
        <f t="shared" ca="1" si="266"/>
        <v>#N/A</v>
      </c>
      <c r="AF582" s="344"/>
      <c r="AG582" s="359">
        <f t="shared" ca="1" si="288"/>
        <v>7.5248881293308445</v>
      </c>
      <c r="AH582" s="357">
        <f t="shared" ca="1" si="289"/>
        <v>-0.94846791390476159</v>
      </c>
    </row>
    <row r="583" spans="1:34" x14ac:dyDescent="0.2">
      <c r="A583" s="402">
        <f t="shared" ca="1" si="267"/>
        <v>0.1</v>
      </c>
      <c r="B583" s="357">
        <f t="shared" ca="1" si="268"/>
        <v>21.9</v>
      </c>
      <c r="C583" s="342"/>
      <c r="D583" s="359">
        <f t="shared" ca="1" si="269"/>
        <v>-0.48415390494855959</v>
      </c>
      <c r="E583" s="360">
        <f t="shared" ca="1" si="270"/>
        <v>-8.9622268640097449</v>
      </c>
      <c r="F583" s="357">
        <f t="shared" ca="1" si="271"/>
        <v>8.9752947230525457</v>
      </c>
      <c r="G583" s="359">
        <f t="shared" ca="1" si="272"/>
        <v>26.460933330397864</v>
      </c>
      <c r="H583" s="360">
        <f t="shared" ca="1" si="273"/>
        <v>-47.315168125988635</v>
      </c>
      <c r="I583" s="357">
        <f t="shared" ca="1" si="274"/>
        <v>54.211678884778429</v>
      </c>
      <c r="J583" s="359">
        <f t="shared" ca="1" si="275"/>
        <v>660.87977545633521</v>
      </c>
      <c r="K583" s="360">
        <f t="shared" ca="1" si="276"/>
        <v>1270.4639416338596</v>
      </c>
      <c r="L583" s="357">
        <f t="shared" ca="1" si="261"/>
        <v>1432.0756630147232</v>
      </c>
      <c r="M583" s="359">
        <f t="shared" ca="1" si="277"/>
        <v>-1.0608803360039996</v>
      </c>
      <c r="N583" s="357">
        <f t="shared" ca="1" si="278"/>
        <v>-60.783965821449847</v>
      </c>
      <c r="O583" s="343"/>
      <c r="P583" s="363">
        <f t="shared" ca="1" si="279"/>
        <v>23</v>
      </c>
      <c r="Q583" s="357">
        <f t="shared" ca="1" si="280"/>
        <v>0</v>
      </c>
      <c r="R583" s="359">
        <f t="shared" ca="1" si="281"/>
        <v>0</v>
      </c>
      <c r="S583" s="360">
        <f t="shared" ca="1" si="282"/>
        <v>8.3819999999999997</v>
      </c>
      <c r="T583" s="357">
        <f t="shared" ca="1" si="262"/>
        <v>82.227419999999995</v>
      </c>
      <c r="U583" s="364">
        <f t="shared" ca="1" si="263"/>
        <v>0</v>
      </c>
      <c r="V583" s="359">
        <f t="shared" ca="1" si="264"/>
        <v>1.0786639038272023</v>
      </c>
      <c r="W583" s="357">
        <f t="shared" ca="1" si="265"/>
        <v>8.4203807881990453</v>
      </c>
      <c r="X583" s="343"/>
      <c r="Y583" s="367" t="str">
        <f t="shared" ca="1" si="283"/>
        <v/>
      </c>
      <c r="Z583" s="368" t="str">
        <f t="shared" ca="1" si="284"/>
        <v/>
      </c>
      <c r="AA583" s="369" t="str">
        <f t="shared" ca="1" si="285"/>
        <v/>
      </c>
      <c r="AB583" s="344"/>
      <c r="AC583" s="363" t="e">
        <f t="shared" ca="1" si="286"/>
        <v>#N/A</v>
      </c>
      <c r="AD583" s="376" t="e">
        <f t="shared" ca="1" si="287"/>
        <v>#N/A</v>
      </c>
      <c r="AE583" s="377" t="e">
        <f t="shared" ca="1" si="266"/>
        <v>#N/A</v>
      </c>
      <c r="AF583" s="344"/>
      <c r="AG583" s="359">
        <f t="shared" ca="1" si="288"/>
        <v>7.5424302206316973</v>
      </c>
      <c r="AH583" s="357">
        <f t="shared" ca="1" si="289"/>
        <v>-0.97628084780133384</v>
      </c>
    </row>
    <row r="584" spans="1:34" x14ac:dyDescent="0.2">
      <c r="A584" s="402">
        <f t="shared" ca="1" si="267"/>
        <v>0.1</v>
      </c>
      <c r="B584" s="357">
        <f t="shared" ca="1" si="268"/>
        <v>22</v>
      </c>
      <c r="C584" s="342"/>
      <c r="D584" s="359">
        <f t="shared" ca="1" si="269"/>
        <v>-0.4903389317652781</v>
      </c>
      <c r="E584" s="360">
        <f t="shared" ca="1" si="270"/>
        <v>-8.9332180397605434</v>
      </c>
      <c r="F584" s="357">
        <f t="shared" ca="1" si="271"/>
        <v>8.9466651224860279</v>
      </c>
      <c r="G584" s="359">
        <f t="shared" ca="1" si="272"/>
        <v>26.411899437221336</v>
      </c>
      <c r="H584" s="360">
        <f t="shared" ca="1" si="273"/>
        <v>-48.208489929964692</v>
      </c>
      <c r="I584" s="357">
        <f t="shared" ca="1" si="274"/>
        <v>54.969509122871017</v>
      </c>
      <c r="J584" s="359">
        <f t="shared" ca="1" si="275"/>
        <v>663.52341709471614</v>
      </c>
      <c r="K584" s="360">
        <f t="shared" ca="1" si="276"/>
        <v>1265.6877587310619</v>
      </c>
      <c r="L584" s="357">
        <f t="shared" ca="1" si="261"/>
        <v>1429.0657184449942</v>
      </c>
      <c r="M584" s="359">
        <f t="shared" ca="1" si="277"/>
        <v>-1.0695912744007969</v>
      </c>
      <c r="N584" s="357">
        <f t="shared" ca="1" si="278"/>
        <v>-61.283065827184792</v>
      </c>
      <c r="O584" s="343"/>
      <c r="P584" s="363">
        <f t="shared" ca="1" si="279"/>
        <v>23</v>
      </c>
      <c r="Q584" s="357">
        <f t="shared" ca="1" si="280"/>
        <v>0</v>
      </c>
      <c r="R584" s="359">
        <f t="shared" ca="1" si="281"/>
        <v>0</v>
      </c>
      <c r="S584" s="360">
        <f t="shared" ca="1" si="282"/>
        <v>8.3819999999999997</v>
      </c>
      <c r="T584" s="357">
        <f t="shared" ca="1" si="262"/>
        <v>82.227419999999995</v>
      </c>
      <c r="U584" s="364">
        <f t="shared" ca="1" si="263"/>
        <v>0</v>
      </c>
      <c r="V584" s="359">
        <f t="shared" ca="1" si="264"/>
        <v>1.0791812969289953</v>
      </c>
      <c r="W584" s="357">
        <f t="shared" ca="1" si="265"/>
        <v>8.6615975121926336</v>
      </c>
      <c r="X584" s="343"/>
      <c r="Y584" s="367" t="str">
        <f t="shared" ca="1" si="283"/>
        <v/>
      </c>
      <c r="Z584" s="368" t="str">
        <f t="shared" ca="1" si="284"/>
        <v/>
      </c>
      <c r="AA584" s="369" t="str">
        <f t="shared" ca="1" si="285"/>
        <v/>
      </c>
      <c r="AB584" s="344"/>
      <c r="AC584" s="363">
        <f t="shared" ca="1" si="286"/>
        <v>22</v>
      </c>
      <c r="AD584" s="376">
        <f t="shared" ca="1" si="287"/>
        <v>663.52341709471614</v>
      </c>
      <c r="AE584" s="377" t="e">
        <f t="shared" ca="1" si="266"/>
        <v>#N/A</v>
      </c>
      <c r="AF584" s="344"/>
      <c r="AG584" s="359">
        <f t="shared" ca="1" si="288"/>
        <v>7.5574469579779304</v>
      </c>
      <c r="AH584" s="357">
        <f t="shared" ca="1" si="289"/>
        <v>-1.0045789534954719</v>
      </c>
    </row>
    <row r="585" spans="1:34" x14ac:dyDescent="0.2">
      <c r="A585" s="402">
        <f t="shared" ca="1" si="267"/>
        <v>0.1</v>
      </c>
      <c r="B585" s="357">
        <f t="shared" ca="1" si="268"/>
        <v>22.1</v>
      </c>
      <c r="C585" s="342"/>
      <c r="D585" s="359">
        <f t="shared" ca="1" si="269"/>
        <v>-0.49651013601312421</v>
      </c>
      <c r="E585" s="360">
        <f t="shared" ca="1" si="270"/>
        <v>-8.9037416693938365</v>
      </c>
      <c r="F585" s="357">
        <f t="shared" ca="1" si="271"/>
        <v>8.9175746719869924</v>
      </c>
      <c r="G585" s="359">
        <f t="shared" ca="1" si="272"/>
        <v>26.362248423620024</v>
      </c>
      <c r="H585" s="360">
        <f t="shared" ca="1" si="273"/>
        <v>-49.098864096904073</v>
      </c>
      <c r="I585" s="357">
        <f t="shared" ca="1" si="274"/>
        <v>55.728507943017028</v>
      </c>
      <c r="J585" s="359">
        <f t="shared" ca="1" si="275"/>
        <v>666.16212448775821</v>
      </c>
      <c r="K585" s="360">
        <f t="shared" ca="1" si="276"/>
        <v>1260.8223910297183</v>
      </c>
      <c r="L585" s="357">
        <f t="shared" ca="1" si="261"/>
        <v>1425.9891576810601</v>
      </c>
      <c r="M585" s="359">
        <f t="shared" ca="1" si="277"/>
        <v>-1.0780494081105965</v>
      </c>
      <c r="N585" s="357">
        <f t="shared" ca="1" si="278"/>
        <v>-61.767681191313635</v>
      </c>
      <c r="O585" s="343"/>
      <c r="P585" s="363">
        <f t="shared" ca="1" si="279"/>
        <v>23</v>
      </c>
      <c r="Q585" s="357">
        <f t="shared" ca="1" si="280"/>
        <v>0</v>
      </c>
      <c r="R585" s="359">
        <f t="shared" ca="1" si="281"/>
        <v>0</v>
      </c>
      <c r="S585" s="360">
        <f t="shared" ca="1" si="282"/>
        <v>8.3819999999999997</v>
      </c>
      <c r="T585" s="357">
        <f t="shared" ca="1" si="262"/>
        <v>82.227419999999995</v>
      </c>
      <c r="U585" s="364">
        <f t="shared" ca="1" si="263"/>
        <v>0</v>
      </c>
      <c r="V585" s="359">
        <f t="shared" ca="1" si="264"/>
        <v>1.0797085902318571</v>
      </c>
      <c r="W585" s="357">
        <f t="shared" ca="1" si="265"/>
        <v>8.906790951841149</v>
      </c>
      <c r="X585" s="343"/>
      <c r="Y585" s="367" t="str">
        <f t="shared" ca="1" si="283"/>
        <v/>
      </c>
      <c r="Z585" s="368" t="str">
        <f t="shared" ca="1" si="284"/>
        <v/>
      </c>
      <c r="AA585" s="369" t="str">
        <f t="shared" ca="1" si="285"/>
        <v/>
      </c>
      <c r="AB585" s="344"/>
      <c r="AC585" s="363" t="e">
        <f t="shared" ca="1" si="286"/>
        <v>#N/A</v>
      </c>
      <c r="AD585" s="376" t="e">
        <f t="shared" ca="1" si="287"/>
        <v>#N/A</v>
      </c>
      <c r="AE585" s="377" t="e">
        <f t="shared" ca="1" si="266"/>
        <v>#N/A</v>
      </c>
      <c r="AF585" s="344"/>
      <c r="AG585" s="359">
        <f t="shared" ca="1" si="288"/>
        <v>7.570054225805432</v>
      </c>
      <c r="AH585" s="357">
        <f t="shared" ca="1" si="289"/>
        <v>-1.033356897183564</v>
      </c>
    </row>
    <row r="586" spans="1:34" x14ac:dyDescent="0.2">
      <c r="A586" s="402">
        <f t="shared" ca="1" si="267"/>
        <v>0.1</v>
      </c>
      <c r="B586" s="357">
        <f t="shared" ca="1" si="268"/>
        <v>22.200000000000003</v>
      </c>
      <c r="C586" s="342"/>
      <c r="D586" s="359">
        <f t="shared" ca="1" si="269"/>
        <v>-0.50266498685170558</v>
      </c>
      <c r="E586" s="360">
        <f t="shared" ca="1" si="270"/>
        <v>-8.8738021659187858</v>
      </c>
      <c r="F586" s="357">
        <f t="shared" ca="1" si="271"/>
        <v>8.8880277322289878</v>
      </c>
      <c r="G586" s="359">
        <f t="shared" ca="1" si="272"/>
        <v>26.311981924934852</v>
      </c>
      <c r="H586" s="360">
        <f t="shared" ca="1" si="273"/>
        <v>-49.986244313495952</v>
      </c>
      <c r="I586" s="357">
        <f t="shared" ca="1" si="274"/>
        <v>56.488450265400317</v>
      </c>
      <c r="J586" s="359">
        <f t="shared" ca="1" si="275"/>
        <v>668.79583600518595</v>
      </c>
      <c r="K586" s="360">
        <f t="shared" ca="1" si="276"/>
        <v>1255.8681356091984</v>
      </c>
      <c r="L586" s="357">
        <f t="shared" ca="1" si="261"/>
        <v>1422.8466692853449</v>
      </c>
      <c r="M586" s="359">
        <f t="shared" ca="1" si="277"/>
        <v>-1.0862646293744835</v>
      </c>
      <c r="N586" s="357">
        <f t="shared" ca="1" si="278"/>
        <v>-62.238378697500494</v>
      </c>
      <c r="O586" s="343"/>
      <c r="P586" s="363">
        <f t="shared" ca="1" si="279"/>
        <v>23</v>
      </c>
      <c r="Q586" s="357">
        <f t="shared" ca="1" si="280"/>
        <v>0</v>
      </c>
      <c r="R586" s="359">
        <f t="shared" ca="1" si="281"/>
        <v>0</v>
      </c>
      <c r="S586" s="360">
        <f t="shared" ca="1" si="282"/>
        <v>8.3819999999999997</v>
      </c>
      <c r="T586" s="357">
        <f t="shared" ca="1" si="262"/>
        <v>82.227419999999995</v>
      </c>
      <c r="U586" s="364">
        <f t="shared" ca="1" si="263"/>
        <v>0</v>
      </c>
      <c r="V586" s="359">
        <f t="shared" ca="1" si="264"/>
        <v>1.0802457649524109</v>
      </c>
      <c r="W586" s="357">
        <f t="shared" ca="1" si="265"/>
        <v>9.1559152554584546</v>
      </c>
      <c r="X586" s="343"/>
      <c r="Y586" s="367" t="str">
        <f t="shared" ca="1" si="283"/>
        <v/>
      </c>
      <c r="Z586" s="368" t="str">
        <f t="shared" ca="1" si="284"/>
        <v/>
      </c>
      <c r="AA586" s="369" t="str">
        <f t="shared" ca="1" si="285"/>
        <v/>
      </c>
      <c r="AB586" s="344"/>
      <c r="AC586" s="363" t="e">
        <f t="shared" ca="1" si="286"/>
        <v>#N/A</v>
      </c>
      <c r="AD586" s="376" t="e">
        <f t="shared" ca="1" si="287"/>
        <v>#N/A</v>
      </c>
      <c r="AE586" s="377" t="e">
        <f t="shared" ca="1" si="266"/>
        <v>#N/A</v>
      </c>
      <c r="AF586" s="344"/>
      <c r="AG586" s="359">
        <f t="shared" ca="1" si="288"/>
        <v>7.5803613429229202</v>
      </c>
      <c r="AH586" s="357">
        <f t="shared" ca="1" si="289"/>
        <v>-1.0626092760488128</v>
      </c>
    </row>
    <row r="587" spans="1:34" x14ac:dyDescent="0.2">
      <c r="A587" s="402">
        <f t="shared" ca="1" si="267"/>
        <v>0.1</v>
      </c>
      <c r="B587" s="357">
        <f t="shared" ca="1" si="268"/>
        <v>22.300000000000004</v>
      </c>
      <c r="C587" s="342"/>
      <c r="D587" s="359">
        <f t="shared" ca="1" si="269"/>
        <v>-0.50880106269724346</v>
      </c>
      <c r="E587" s="360">
        <f t="shared" ca="1" si="270"/>
        <v>-8.8434040856554077</v>
      </c>
      <c r="F587" s="357">
        <f t="shared" ca="1" si="271"/>
        <v>8.8580288068841018</v>
      </c>
      <c r="G587" s="359">
        <f t="shared" ca="1" si="272"/>
        <v>26.261101818665129</v>
      </c>
      <c r="H587" s="360">
        <f t="shared" ca="1" si="273"/>
        <v>-50.870584722061494</v>
      </c>
      <c r="I587" s="357">
        <f t="shared" ca="1" si="274"/>
        <v>57.249121029887732</v>
      </c>
      <c r="J587" s="359">
        <f t="shared" ca="1" si="275"/>
        <v>671.42449019236597</v>
      </c>
      <c r="K587" s="360">
        <f t="shared" ca="1" si="276"/>
        <v>1250.8252941574206</v>
      </c>
      <c r="L587" s="357">
        <f t="shared" ca="1" si="261"/>
        <v>1419.6389549931619</v>
      </c>
      <c r="M587" s="359">
        <f t="shared" ca="1" si="277"/>
        <v>-1.0942463899713863</v>
      </c>
      <c r="N587" s="357">
        <f t="shared" ca="1" si="278"/>
        <v>-62.695699892786848</v>
      </c>
      <c r="O587" s="343"/>
      <c r="P587" s="363">
        <f t="shared" ca="1" si="279"/>
        <v>23</v>
      </c>
      <c r="Q587" s="357">
        <f t="shared" ca="1" si="280"/>
        <v>0</v>
      </c>
      <c r="R587" s="359">
        <f t="shared" ca="1" si="281"/>
        <v>0</v>
      </c>
      <c r="S587" s="360">
        <f t="shared" ca="1" si="282"/>
        <v>8.3819999999999997</v>
      </c>
      <c r="T587" s="357">
        <f t="shared" ca="1" si="262"/>
        <v>82.227419999999995</v>
      </c>
      <c r="U587" s="364">
        <f t="shared" ca="1" si="263"/>
        <v>0</v>
      </c>
      <c r="V587" s="359">
        <f t="shared" ca="1" si="264"/>
        <v>1.0807928020081072</v>
      </c>
      <c r="W587" s="357">
        <f t="shared" ca="1" si="265"/>
        <v>9.4089240195892447</v>
      </c>
      <c r="X587" s="343"/>
      <c r="Y587" s="367" t="str">
        <f t="shared" ca="1" si="283"/>
        <v/>
      </c>
      <c r="Z587" s="368" t="str">
        <f t="shared" ca="1" si="284"/>
        <v/>
      </c>
      <c r="AA587" s="369" t="str">
        <f t="shared" ca="1" si="285"/>
        <v/>
      </c>
      <c r="AB587" s="344"/>
      <c r="AC587" s="363" t="e">
        <f t="shared" ca="1" si="286"/>
        <v>#N/A</v>
      </c>
      <c r="AD587" s="376" t="e">
        <f t="shared" ca="1" si="287"/>
        <v>#N/A</v>
      </c>
      <c r="AE587" s="377" t="e">
        <f t="shared" ca="1" si="266"/>
        <v>#N/A</v>
      </c>
      <c r="AF587" s="344"/>
      <c r="AG587" s="359">
        <f t="shared" ca="1" si="288"/>
        <v>7.5884714629181591</v>
      </c>
      <c r="AH587" s="357">
        <f t="shared" ca="1" si="289"/>
        <v>-1.0923306198351772</v>
      </c>
    </row>
    <row r="588" spans="1:34" x14ac:dyDescent="0.2">
      <c r="A588" s="402">
        <f t="shared" ca="1" si="267"/>
        <v>0.1</v>
      </c>
      <c r="B588" s="357">
        <f t="shared" ca="1" si="268"/>
        <v>22.400000000000006</v>
      </c>
      <c r="C588" s="342"/>
      <c r="D588" s="359">
        <f t="shared" ca="1" si="269"/>
        <v>-0.51491604559288195</v>
      </c>
      <c r="E588" s="360">
        <f t="shared" ca="1" si="270"/>
        <v>-8.8125521205106452</v>
      </c>
      <c r="F588" s="357">
        <f t="shared" ca="1" si="271"/>
        <v>8.8275825349143968</v>
      </c>
      <c r="G588" s="359">
        <f t="shared" ca="1" si="272"/>
        <v>26.20961021410584</v>
      </c>
      <c r="H588" s="360">
        <f t="shared" ca="1" si="273"/>
        <v>-51.75183993411256</v>
      </c>
      <c r="I588" s="357">
        <f t="shared" ca="1" si="274"/>
        <v>58.010314635772914</v>
      </c>
      <c r="J588" s="359">
        <f t="shared" ca="1" si="275"/>
        <v>674.0480257940045</v>
      </c>
      <c r="K588" s="360">
        <f t="shared" ca="1" si="276"/>
        <v>1245.6941729246118</v>
      </c>
      <c r="L588" s="357">
        <f t="shared" ca="1" si="261"/>
        <v>1416.3667298885298</v>
      </c>
      <c r="M588" s="359">
        <f t="shared" ca="1" si="277"/>
        <v>-1.1020037198920147</v>
      </c>
      <c r="N588" s="357">
        <f t="shared" ca="1" si="278"/>
        <v>-63.14016215752941</v>
      </c>
      <c r="O588" s="343"/>
      <c r="P588" s="363">
        <f t="shared" ca="1" si="279"/>
        <v>23</v>
      </c>
      <c r="Q588" s="357">
        <f t="shared" ca="1" si="280"/>
        <v>0</v>
      </c>
      <c r="R588" s="359">
        <f t="shared" ca="1" si="281"/>
        <v>0</v>
      </c>
      <c r="S588" s="360">
        <f t="shared" ca="1" si="282"/>
        <v>8.3819999999999997</v>
      </c>
      <c r="T588" s="357">
        <f t="shared" ca="1" si="262"/>
        <v>82.227419999999995</v>
      </c>
      <c r="U588" s="364">
        <f t="shared" ca="1" si="263"/>
        <v>0</v>
      </c>
      <c r="V588" s="359">
        <f t="shared" ca="1" si="264"/>
        <v>1.0813496820191133</v>
      </c>
      <c r="W588" s="357">
        <f t="shared" ca="1" si="265"/>
        <v>9.6657703028075321</v>
      </c>
      <c r="X588" s="343"/>
      <c r="Y588" s="367" t="str">
        <f t="shared" ca="1" si="283"/>
        <v/>
      </c>
      <c r="Z588" s="368" t="str">
        <f t="shared" ca="1" si="284"/>
        <v/>
      </c>
      <c r="AA588" s="369" t="str">
        <f t="shared" ca="1" si="285"/>
        <v/>
      </c>
      <c r="AB588" s="344"/>
      <c r="AC588" s="363" t="e">
        <f t="shared" ca="1" si="286"/>
        <v>#N/A</v>
      </c>
      <c r="AD588" s="376" t="e">
        <f t="shared" ca="1" si="287"/>
        <v>#N/A</v>
      </c>
      <c r="AE588" s="377" t="e">
        <f t="shared" ca="1" si="266"/>
        <v>#N/A</v>
      </c>
      <c r="AF588" s="344"/>
      <c r="AG588" s="359">
        <f t="shared" ca="1" si="288"/>
        <v>7.5944819543283231</v>
      </c>
      <c r="AH588" s="357">
        <f t="shared" ca="1" si="289"/>
        <v>-1.1225153924587503</v>
      </c>
    </row>
    <row r="589" spans="1:34" x14ac:dyDescent="0.2">
      <c r="A589" s="402">
        <f t="shared" ca="1" si="267"/>
        <v>0.1</v>
      </c>
      <c r="B589" s="357">
        <f t="shared" ca="1" si="268"/>
        <v>22.500000000000007</v>
      </c>
      <c r="C589" s="342"/>
      <c r="D589" s="359">
        <f t="shared" ca="1" si="269"/>
        <v>-0.52100771593320716</v>
      </c>
      <c r="E589" s="360">
        <f t="shared" ca="1" si="270"/>
        <v>-8.7812510907582464</v>
      </c>
      <c r="F589" s="357">
        <f t="shared" ca="1" si="271"/>
        <v>8.7966936833679057</v>
      </c>
      <c r="G589" s="359">
        <f t="shared" ca="1" si="272"/>
        <v>26.15750944251252</v>
      </c>
      <c r="H589" s="360">
        <f t="shared" ca="1" si="273"/>
        <v>-52.629965043188385</v>
      </c>
      <c r="I589" s="357">
        <f t="shared" ca="1" si="274"/>
        <v>58.771834416515901</v>
      </c>
      <c r="J589" s="359">
        <f t="shared" ca="1" si="275"/>
        <v>676.66638177683546</v>
      </c>
      <c r="K589" s="360">
        <f t="shared" ca="1" si="276"/>
        <v>1240.4750826757468</v>
      </c>
      <c r="L589" s="357">
        <f t="shared" ca="1" si="261"/>
        <v>1413.0307225840331</v>
      </c>
      <c r="M589" s="359">
        <f t="shared" ca="1" si="277"/>
        <v>-1.1095452456548061</v>
      </c>
      <c r="N589" s="357">
        <f t="shared" ca="1" si="278"/>
        <v>-63.572259754826533</v>
      </c>
      <c r="O589" s="343"/>
      <c r="P589" s="363">
        <f t="shared" ca="1" si="279"/>
        <v>23</v>
      </c>
      <c r="Q589" s="357">
        <f t="shared" ca="1" si="280"/>
        <v>0</v>
      </c>
      <c r="R589" s="359">
        <f t="shared" ca="1" si="281"/>
        <v>0</v>
      </c>
      <c r="S589" s="360">
        <f t="shared" ca="1" si="282"/>
        <v>8.3819999999999997</v>
      </c>
      <c r="T589" s="357">
        <f t="shared" ca="1" si="262"/>
        <v>82.227419999999995</v>
      </c>
      <c r="U589" s="364">
        <f t="shared" ca="1" si="263"/>
        <v>0</v>
      </c>
      <c r="V589" s="359">
        <f t="shared" ca="1" si="264"/>
        <v>1.081916385310308</v>
      </c>
      <c r="W589" s="357">
        <f t="shared" ca="1" si="265"/>
        <v>9.9264066397861921</v>
      </c>
      <c r="X589" s="343"/>
      <c r="Y589" s="367" t="str">
        <f t="shared" ca="1" si="283"/>
        <v/>
      </c>
      <c r="Z589" s="368" t="str">
        <f t="shared" ca="1" si="284"/>
        <v/>
      </c>
      <c r="AA589" s="369" t="str">
        <f t="shared" ca="1" si="285"/>
        <v/>
      </c>
      <c r="AB589" s="344"/>
      <c r="AC589" s="363" t="e">
        <f t="shared" ca="1" si="286"/>
        <v>#N/A</v>
      </c>
      <c r="AD589" s="376" t="e">
        <f t="shared" ca="1" si="287"/>
        <v>#N/A</v>
      </c>
      <c r="AE589" s="377" t="e">
        <f t="shared" ca="1" si="266"/>
        <v>#N/A</v>
      </c>
      <c r="AF589" s="344"/>
      <c r="AG589" s="359">
        <f t="shared" ca="1" si="288"/>
        <v>7.5984847605911998</v>
      </c>
      <c r="AH589" s="357">
        <f t="shared" ca="1" si="289"/>
        <v>-1.1531579936539647</v>
      </c>
    </row>
    <row r="590" spans="1:34" x14ac:dyDescent="0.2">
      <c r="A590" s="402">
        <f t="shared" ca="1" si="267"/>
        <v>0.1</v>
      </c>
      <c r="B590" s="357">
        <f t="shared" ca="1" si="268"/>
        <v>22.600000000000009</v>
      </c>
      <c r="C590" s="342"/>
      <c r="D590" s="359">
        <f t="shared" ca="1" si="269"/>
        <v>-0.52707394752297587</v>
      </c>
      <c r="E590" s="360">
        <f t="shared" ca="1" si="270"/>
        <v>-8.7495059382746412</v>
      </c>
      <c r="F590" s="357">
        <f t="shared" ca="1" si="271"/>
        <v>8.7653671406313993</v>
      </c>
      <c r="G590" s="359">
        <f t="shared" ca="1" si="272"/>
        <v>26.104802047760224</v>
      </c>
      <c r="H590" s="360">
        <f t="shared" ca="1" si="273"/>
        <v>-53.504915637015849</v>
      </c>
      <c r="I590" s="357">
        <f t="shared" ca="1" si="274"/>
        <v>59.533492147504077</v>
      </c>
      <c r="J590" s="359">
        <f t="shared" ca="1" si="275"/>
        <v>679.27949735134905</v>
      </c>
      <c r="K590" s="360">
        <f t="shared" ca="1" si="276"/>
        <v>1235.1683386417365</v>
      </c>
      <c r="L590" s="357">
        <f t="shared" ca="1" si="261"/>
        <v>1409.6316754049226</v>
      </c>
      <c r="M590" s="359">
        <f t="shared" ca="1" si="277"/>
        <v>-1.1168792081829195</v>
      </c>
      <c r="N590" s="357">
        <f t="shared" ca="1" si="278"/>
        <v>-63.992464854794527</v>
      </c>
      <c r="O590" s="343"/>
      <c r="P590" s="363">
        <f t="shared" ca="1" si="279"/>
        <v>23</v>
      </c>
      <c r="Q590" s="357">
        <f t="shared" ca="1" si="280"/>
        <v>0</v>
      </c>
      <c r="R590" s="359">
        <f t="shared" ca="1" si="281"/>
        <v>0</v>
      </c>
      <c r="S590" s="360">
        <f t="shared" ca="1" si="282"/>
        <v>8.3819999999999997</v>
      </c>
      <c r="T590" s="357">
        <f t="shared" ca="1" si="262"/>
        <v>82.227419999999995</v>
      </c>
      <c r="U590" s="364">
        <f t="shared" ca="1" si="263"/>
        <v>0</v>
      </c>
      <c r="V590" s="359">
        <f t="shared" ca="1" si="264"/>
        <v>1.0824928919133865</v>
      </c>
      <c r="W590" s="357">
        <f t="shared" ca="1" si="265"/>
        <v>10.190785055618088</v>
      </c>
      <c r="X590" s="343"/>
      <c r="Y590" s="367" t="str">
        <f t="shared" ca="1" si="283"/>
        <v/>
      </c>
      <c r="Z590" s="368" t="str">
        <f t="shared" ca="1" si="284"/>
        <v/>
      </c>
      <c r="AA590" s="369" t="str">
        <f t="shared" ca="1" si="285"/>
        <v/>
      </c>
      <c r="AB590" s="344"/>
      <c r="AC590" s="363" t="e">
        <f t="shared" ca="1" si="286"/>
        <v>#N/A</v>
      </c>
      <c r="AD590" s="376" t="e">
        <f t="shared" ca="1" si="287"/>
        <v>#N/A</v>
      </c>
      <c r="AE590" s="377" t="e">
        <f t="shared" ca="1" si="266"/>
        <v>#N/A</v>
      </c>
      <c r="AF590" s="344"/>
      <c r="AG590" s="359">
        <f t="shared" ca="1" si="288"/>
        <v>7.6005667400403398</v>
      </c>
      <c r="AH590" s="357">
        <f t="shared" ca="1" si="289"/>
        <v>-1.1842527606521347</v>
      </c>
    </row>
    <row r="591" spans="1:34" x14ac:dyDescent="0.2">
      <c r="A591" s="402">
        <f t="shared" ca="1" si="267"/>
        <v>0.1</v>
      </c>
      <c r="B591" s="357">
        <f t="shared" ca="1" si="268"/>
        <v>22.70000000000001</v>
      </c>
      <c r="C591" s="342"/>
      <c r="D591" s="359">
        <f t="shared" ca="1" si="269"/>
        <v>-0.53311270295051805</v>
      </c>
      <c r="E591" s="360">
        <f t="shared" ca="1" si="270"/>
        <v>-8.7173217201876341</v>
      </c>
      <c r="F591" s="357">
        <f t="shared" ca="1" si="271"/>
        <v>8.7336079100966231</v>
      </c>
      <c r="G591" s="359">
        <f t="shared" ca="1" si="272"/>
        <v>26.051490777465172</v>
      </c>
      <c r="H591" s="360">
        <f t="shared" ca="1" si="273"/>
        <v>-54.376647809034608</v>
      </c>
      <c r="I591" s="357">
        <f t="shared" ca="1" si="274"/>
        <v>60.295107584912238</v>
      </c>
      <c r="J591" s="359">
        <f t="shared" ca="1" si="275"/>
        <v>681.88731199261031</v>
      </c>
      <c r="K591" s="360">
        <f t="shared" ca="1" si="276"/>
        <v>1229.774260469434</v>
      </c>
      <c r="L591" s="357">
        <f t="shared" ca="1" si="261"/>
        <v>1406.1703445776586</v>
      </c>
      <c r="M591" s="359">
        <f t="shared" ca="1" si="277"/>
        <v>-1.1240134801807034</v>
      </c>
      <c r="N591" s="357">
        <f t="shared" ca="1" si="278"/>
        <v>-64.401228530165909</v>
      </c>
      <c r="O591" s="343"/>
      <c r="P591" s="363">
        <f t="shared" ca="1" si="279"/>
        <v>23</v>
      </c>
      <c r="Q591" s="357">
        <f t="shared" ca="1" si="280"/>
        <v>0</v>
      </c>
      <c r="R591" s="359">
        <f t="shared" ca="1" si="281"/>
        <v>0</v>
      </c>
      <c r="S591" s="360">
        <f t="shared" ca="1" si="282"/>
        <v>8.3819999999999997</v>
      </c>
      <c r="T591" s="357">
        <f t="shared" ca="1" si="262"/>
        <v>82.227419999999995</v>
      </c>
      <c r="U591" s="364">
        <f t="shared" ca="1" si="263"/>
        <v>0</v>
      </c>
      <c r="V591" s="359">
        <f t="shared" ca="1" si="264"/>
        <v>1.083079181569051</v>
      </c>
      <c r="W591" s="357">
        <f t="shared" ca="1" si="265"/>
        <v>10.458857080369787</v>
      </c>
      <c r="X591" s="343"/>
      <c r="Y591" s="367" t="str">
        <f t="shared" ca="1" si="283"/>
        <v/>
      </c>
      <c r="Z591" s="368" t="str">
        <f t="shared" ca="1" si="284"/>
        <v/>
      </c>
      <c r="AA591" s="369" t="str">
        <f t="shared" ca="1" si="285"/>
        <v/>
      </c>
      <c r="AB591" s="344"/>
      <c r="AC591" s="363" t="e">
        <f t="shared" ca="1" si="286"/>
        <v>#N/A</v>
      </c>
      <c r="AD591" s="376" t="e">
        <f t="shared" ca="1" si="287"/>
        <v>#N/A</v>
      </c>
      <c r="AE591" s="377" t="e">
        <f t="shared" ca="1" si="266"/>
        <v>#N/A</v>
      </c>
      <c r="AF591" s="344"/>
      <c r="AG591" s="359">
        <f t="shared" ca="1" si="288"/>
        <v>7.6008099863946352</v>
      </c>
      <c r="AH591" s="357">
        <f t="shared" ca="1" si="289"/>
        <v>-1.2157939698900129</v>
      </c>
    </row>
    <row r="592" spans="1:34" x14ac:dyDescent="0.2">
      <c r="A592" s="402">
        <f t="shared" ca="1" si="267"/>
        <v>0.1</v>
      </c>
      <c r="B592" s="357">
        <f t="shared" ca="1" si="268"/>
        <v>22.800000000000011</v>
      </c>
      <c r="C592" s="342"/>
      <c r="D592" s="359">
        <f t="shared" ca="1" si="269"/>
        <v>-0.53912202925684738</v>
      </c>
      <c r="E592" s="360">
        <f t="shared" ca="1" si="270"/>
        <v>-8.6847036028989937</v>
      </c>
      <c r="F592" s="357">
        <f t="shared" ca="1" si="271"/>
        <v>8.7014211042011276</v>
      </c>
      <c r="G592" s="359">
        <f t="shared" ca="1" si="272"/>
        <v>25.997578574539489</v>
      </c>
      <c r="H592" s="360">
        <f t="shared" ca="1" si="273"/>
        <v>-55.245118169324506</v>
      </c>
      <c r="I592" s="357">
        <f t="shared" ca="1" si="274"/>
        <v>61.056508033804086</v>
      </c>
      <c r="J592" s="359">
        <f t="shared" ca="1" si="275"/>
        <v>684.48976546021049</v>
      </c>
      <c r="K592" s="360">
        <f t="shared" ca="1" si="276"/>
        <v>1224.2931721705161</v>
      </c>
      <c r="L592" s="357">
        <f t="shared" ca="1" si="261"/>
        <v>1402.6475004230817</v>
      </c>
      <c r="M592" s="359">
        <f t="shared" ca="1" si="277"/>
        <v>-1.1309555829642708</v>
      </c>
      <c r="N592" s="357">
        <f t="shared" ca="1" si="278"/>
        <v>-64.798981720610342</v>
      </c>
      <c r="O592" s="343"/>
      <c r="P592" s="363">
        <f t="shared" ca="1" si="279"/>
        <v>23</v>
      </c>
      <c r="Q592" s="357">
        <f t="shared" ca="1" si="280"/>
        <v>0</v>
      </c>
      <c r="R592" s="359">
        <f t="shared" ca="1" si="281"/>
        <v>0</v>
      </c>
      <c r="S592" s="360">
        <f t="shared" ca="1" si="282"/>
        <v>8.3819999999999997</v>
      </c>
      <c r="T592" s="357">
        <f t="shared" ca="1" si="262"/>
        <v>82.227419999999995</v>
      </c>
      <c r="U592" s="364">
        <f t="shared" ca="1" si="263"/>
        <v>0</v>
      </c>
      <c r="V592" s="359">
        <f t="shared" ca="1" si="264"/>
        <v>1.0836752337293023</v>
      </c>
      <c r="W592" s="357">
        <f t="shared" ca="1" si="265"/>
        <v>10.730573763850353</v>
      </c>
      <c r="X592" s="343"/>
      <c r="Y592" s="367" t="str">
        <f t="shared" ca="1" si="283"/>
        <v/>
      </c>
      <c r="Z592" s="368" t="str">
        <f t="shared" ca="1" si="284"/>
        <v/>
      </c>
      <c r="AA592" s="369" t="str">
        <f t="shared" ca="1" si="285"/>
        <v/>
      </c>
      <c r="AB592" s="344"/>
      <c r="AC592" s="363" t="e">
        <f t="shared" ca="1" si="286"/>
        <v>#N/A</v>
      </c>
      <c r="AD592" s="376" t="e">
        <f t="shared" ca="1" si="287"/>
        <v>#N/A</v>
      </c>
      <c r="AE592" s="377" t="e">
        <f t="shared" ca="1" si="266"/>
        <v>#N/A</v>
      </c>
      <c r="AF592" s="344"/>
      <c r="AG592" s="359">
        <f t="shared" ca="1" si="288"/>
        <v>7.5992921303325733</v>
      </c>
      <c r="AH592" s="357">
        <f t="shared" ca="1" si="289"/>
        <v>-1.2477758387460973</v>
      </c>
    </row>
    <row r="593" spans="1:34" x14ac:dyDescent="0.2">
      <c r="A593" s="402">
        <f t="shared" ca="1" si="267"/>
        <v>0.1</v>
      </c>
      <c r="B593" s="357">
        <f t="shared" ca="1" si="268"/>
        <v>22.900000000000013</v>
      </c>
      <c r="C593" s="342"/>
      <c r="D593" s="359">
        <f t="shared" ca="1" si="269"/>
        <v>-0.54510005388223159</v>
      </c>
      <c r="E593" s="360">
        <f t="shared" ca="1" si="270"/>
        <v>-8.6516568564458147</v>
      </c>
      <c r="F593" s="357">
        <f t="shared" ca="1" si="271"/>
        <v>8.6688119388084708</v>
      </c>
      <c r="G593" s="359">
        <f t="shared" ca="1" si="272"/>
        <v>25.943068569151265</v>
      </c>
      <c r="H593" s="360">
        <f t="shared" ca="1" si="273"/>
        <v>-56.11028385496909</v>
      </c>
      <c r="I593" s="357">
        <f t="shared" ca="1" si="274"/>
        <v>61.81752794368996</v>
      </c>
      <c r="J593" s="359">
        <f t="shared" ca="1" si="275"/>
        <v>687.086797817395</v>
      </c>
      <c r="K593" s="360">
        <f t="shared" ca="1" si="276"/>
        <v>1218.7254020693015</v>
      </c>
      <c r="L593" s="357">
        <f t="shared" ca="1" si="261"/>
        <v>1399.0639275543997</v>
      </c>
      <c r="M593" s="359">
        <f t="shared" ca="1" si="277"/>
        <v>-1.1377127027143112</v>
      </c>
      <c r="N593" s="357">
        <f t="shared" ca="1" si="278"/>
        <v>-65.186136163952156</v>
      </c>
      <c r="O593" s="343"/>
      <c r="P593" s="363">
        <f t="shared" ca="1" si="279"/>
        <v>23</v>
      </c>
      <c r="Q593" s="357">
        <f t="shared" ca="1" si="280"/>
        <v>0</v>
      </c>
      <c r="R593" s="359">
        <f t="shared" ca="1" si="281"/>
        <v>0</v>
      </c>
      <c r="S593" s="360">
        <f t="shared" ca="1" si="282"/>
        <v>8.3819999999999997</v>
      </c>
      <c r="T593" s="357">
        <f t="shared" ca="1" si="262"/>
        <v>82.227419999999995</v>
      </c>
      <c r="U593" s="364">
        <f t="shared" ca="1" si="263"/>
        <v>0</v>
      </c>
      <c r="V593" s="359">
        <f t="shared" ca="1" si="264"/>
        <v>1.0842810275598083</v>
      </c>
      <c r="W593" s="357">
        <f t="shared" ca="1" si="265"/>
        <v>11.005885690577932</v>
      </c>
      <c r="X593" s="343"/>
      <c r="Y593" s="367" t="str">
        <f t="shared" ca="1" si="283"/>
        <v/>
      </c>
      <c r="Z593" s="368" t="str">
        <f t="shared" ca="1" si="284"/>
        <v/>
      </c>
      <c r="AA593" s="369" t="str">
        <f t="shared" ca="1" si="285"/>
        <v/>
      </c>
      <c r="AB593" s="344"/>
      <c r="AC593" s="363" t="e">
        <f t="shared" ca="1" si="286"/>
        <v>#N/A</v>
      </c>
      <c r="AD593" s="376" t="e">
        <f t="shared" ca="1" si="287"/>
        <v>#N/A</v>
      </c>
      <c r="AE593" s="377" t="e">
        <f t="shared" ca="1" si="266"/>
        <v>#N/A</v>
      </c>
      <c r="AF593" s="344"/>
      <c r="AG593" s="359">
        <f t="shared" ca="1" si="288"/>
        <v>7.5960866228417068</v>
      </c>
      <c r="AH593" s="357">
        <f t="shared" ca="1" si="289"/>
        <v>-1.2801925273025954</v>
      </c>
    </row>
    <row r="594" spans="1:34" x14ac:dyDescent="0.2">
      <c r="A594" s="402">
        <f t="shared" ca="1" si="267"/>
        <v>0.1</v>
      </c>
      <c r="B594" s="357">
        <f t="shared" ca="1" si="268"/>
        <v>23.000000000000014</v>
      </c>
      <c r="C594" s="342"/>
      <c r="D594" s="359">
        <f t="shared" ca="1" si="269"/>
        <v>-0.55104498087271314</v>
      </c>
      <c r="E594" s="360">
        <f t="shared" ca="1" si="270"/>
        <v>-8.6181868491690352</v>
      </c>
      <c r="F594" s="357">
        <f t="shared" ca="1" si="271"/>
        <v>8.6357857278961667</v>
      </c>
      <c r="G594" s="359">
        <f t="shared" ca="1" si="272"/>
        <v>25.887964071063994</v>
      </c>
      <c r="H594" s="360">
        <f t="shared" ca="1" si="273"/>
        <v>-56.972102539885995</v>
      </c>
      <c r="I594" s="357">
        <f t="shared" ca="1" si="274"/>
        <v>62.578008529834058</v>
      </c>
      <c r="J594" s="359">
        <f t="shared" ca="1" si="275"/>
        <v>689.6783494494058</v>
      </c>
      <c r="K594" s="360">
        <f t="shared" ca="1" si="276"/>
        <v>1213.0712827495588</v>
      </c>
      <c r="L594" s="357">
        <f t="shared" ca="1" si="261"/>
        <v>1395.4204250801679</v>
      </c>
      <c r="M594" s="359">
        <f t="shared" ca="1" si="277"/>
        <v>-1.1442917061304203</v>
      </c>
      <c r="N594" s="357">
        <f t="shared" ca="1" si="278"/>
        <v>-65.563085293097359</v>
      </c>
      <c r="O594" s="343"/>
      <c r="P594" s="363">
        <f t="shared" ca="1" si="279"/>
        <v>23</v>
      </c>
      <c r="Q594" s="357">
        <f t="shared" ca="1" si="280"/>
        <v>0</v>
      </c>
      <c r="R594" s="359">
        <f t="shared" ca="1" si="281"/>
        <v>0</v>
      </c>
      <c r="S594" s="360">
        <f t="shared" ca="1" si="282"/>
        <v>8.3819999999999997</v>
      </c>
      <c r="T594" s="357">
        <f t="shared" ca="1" si="262"/>
        <v>82.227419999999995</v>
      </c>
      <c r="U594" s="364">
        <f t="shared" ca="1" si="263"/>
        <v>0</v>
      </c>
      <c r="V594" s="359">
        <f t="shared" ca="1" si="264"/>
        <v>1.0848965419423606</v>
      </c>
      <c r="W594" s="357">
        <f t="shared" ca="1" si="265"/>
        <v>11.284742994928031</v>
      </c>
      <c r="X594" s="343"/>
      <c r="Y594" s="367" t="str">
        <f t="shared" ca="1" si="283"/>
        <v/>
      </c>
      <c r="Z594" s="368" t="str">
        <f t="shared" ca="1" si="284"/>
        <v/>
      </c>
      <c r="AA594" s="369" t="str">
        <f t="shared" ca="1" si="285"/>
        <v/>
      </c>
      <c r="AB594" s="344"/>
      <c r="AC594" s="363">
        <f t="shared" ca="1" si="286"/>
        <v>23.000000000000014</v>
      </c>
      <c r="AD594" s="376">
        <f t="shared" ca="1" si="287"/>
        <v>689.6783494494058</v>
      </c>
      <c r="AE594" s="377" t="e">
        <f t="shared" ca="1" si="266"/>
        <v>#N/A</v>
      </c>
      <c r="AF594" s="344"/>
      <c r="AG594" s="359">
        <f t="shared" ca="1" si="288"/>
        <v>7.591263001102746</v>
      </c>
      <c r="AH594" s="357">
        <f t="shared" ca="1" si="289"/>
        <v>-1.313038140130987</v>
      </c>
    </row>
    <row r="595" spans="1:34" x14ac:dyDescent="0.2">
      <c r="A595" s="402">
        <f t="shared" ca="1" si="267"/>
        <v>0.1</v>
      </c>
      <c r="B595" s="357">
        <f t="shared" ca="1" si="268"/>
        <v>23.100000000000016</v>
      </c>
      <c r="C595" s="342"/>
      <c r="D595" s="359">
        <f t="shared" ca="1" si="269"/>
        <v>-0.55695508732990817</v>
      </c>
      <c r="E595" s="360">
        <f t="shared" ca="1" si="270"/>
        <v>-8.5842990426606178</v>
      </c>
      <c r="F595" s="357">
        <f t="shared" ca="1" si="271"/>
        <v>8.6023478785228544</v>
      </c>
      <c r="G595" s="359">
        <f t="shared" ca="1" si="272"/>
        <v>25.832268562331002</v>
      </c>
      <c r="H595" s="360">
        <f t="shared" ca="1" si="273"/>
        <v>-57.830532444152055</v>
      </c>
      <c r="I595" s="357">
        <f t="shared" ca="1" si="274"/>
        <v>63.337797418686087</v>
      </c>
      <c r="J595" s="359">
        <f t="shared" ca="1" si="275"/>
        <v>692.26436108107555</v>
      </c>
      <c r="K595" s="360">
        <f t="shared" ca="1" si="276"/>
        <v>1207.3311510003568</v>
      </c>
      <c r="L595" s="357">
        <f t="shared" ca="1" si="261"/>
        <v>1391.7178068124429</v>
      </c>
      <c r="M595" s="359">
        <f t="shared" ca="1" si="277"/>
        <v>-1.1506991554754211</v>
      </c>
      <c r="N595" s="357">
        <f t="shared" ca="1" si="278"/>
        <v>-65.930205098009765</v>
      </c>
      <c r="O595" s="343"/>
      <c r="P595" s="363">
        <f t="shared" ca="1" si="279"/>
        <v>23</v>
      </c>
      <c r="Q595" s="357">
        <f t="shared" ca="1" si="280"/>
        <v>0</v>
      </c>
      <c r="R595" s="359">
        <f t="shared" ca="1" si="281"/>
        <v>0</v>
      </c>
      <c r="S595" s="360">
        <f t="shared" ca="1" si="282"/>
        <v>8.3819999999999997</v>
      </c>
      <c r="T595" s="357">
        <f t="shared" ca="1" si="262"/>
        <v>82.227419999999995</v>
      </c>
      <c r="U595" s="364">
        <f t="shared" ca="1" si="263"/>
        <v>0</v>
      </c>
      <c r="V595" s="359">
        <f t="shared" ca="1" si="264"/>
        <v>1.0855217554774053</v>
      </c>
      <c r="W595" s="357">
        <f t="shared" ca="1" si="265"/>
        <v>11.567095376447821</v>
      </c>
      <c r="X595" s="343"/>
      <c r="Y595" s="367" t="str">
        <f t="shared" ca="1" si="283"/>
        <v/>
      </c>
      <c r="Z595" s="368" t="str">
        <f t="shared" ca="1" si="284"/>
        <v/>
      </c>
      <c r="AA595" s="369" t="str">
        <f t="shared" ca="1" si="285"/>
        <v/>
      </c>
      <c r="AB595" s="344"/>
      <c r="AC595" s="363" t="e">
        <f t="shared" ca="1" si="286"/>
        <v>#N/A</v>
      </c>
      <c r="AD595" s="376" t="e">
        <f t="shared" ca="1" si="287"/>
        <v>#N/A</v>
      </c>
      <c r="AE595" s="377" t="e">
        <f t="shared" ca="1" si="266"/>
        <v>#N/A</v>
      </c>
      <c r="AF595" s="344"/>
      <c r="AG595" s="359">
        <f t="shared" ca="1" si="288"/>
        <v>7.5848871377110845</v>
      </c>
      <c r="AH595" s="357">
        <f t="shared" ca="1" si="289"/>
        <v>-1.346306728099264</v>
      </c>
    </row>
    <row r="596" spans="1:34" x14ac:dyDescent="0.2">
      <c r="A596" s="402">
        <f t="shared" ca="1" si="267"/>
        <v>0.1</v>
      </c>
      <c r="B596" s="357">
        <f t="shared" ca="1" si="268"/>
        <v>23.200000000000017</v>
      </c>
      <c r="C596" s="342"/>
      <c r="D596" s="359">
        <f t="shared" ca="1" si="269"/>
        <v>-0.56282872008822216</v>
      </c>
      <c r="E596" s="360">
        <f t="shared" ca="1" si="270"/>
        <v>-8.549998986963713</v>
      </c>
      <c r="F596" s="357">
        <f t="shared" ca="1" si="271"/>
        <v>8.5685038860489922</v>
      </c>
      <c r="G596" s="359">
        <f t="shared" ca="1" si="272"/>
        <v>25.77598569032218</v>
      </c>
      <c r="H596" s="360">
        <f t="shared" ca="1" si="273"/>
        <v>-58.685532342848425</v>
      </c>
      <c r="I596" s="357">
        <f t="shared" ca="1" si="274"/>
        <v>64.096748315895113</v>
      </c>
      <c r="J596" s="359">
        <f t="shared" ca="1" si="275"/>
        <v>694.84477379370821</v>
      </c>
      <c r="K596" s="360">
        <f t="shared" ca="1" si="276"/>
        <v>1201.5053477610068</v>
      </c>
      <c r="L596" s="357">
        <f t="shared" ca="1" si="261"/>
        <v>1387.9569014802755</v>
      </c>
      <c r="M596" s="359">
        <f t="shared" ca="1" si="277"/>
        <v>-1.1569413230056391</v>
      </c>
      <c r="N596" s="357">
        <f t="shared" ca="1" si="278"/>
        <v>-66.287854952504858</v>
      </c>
      <c r="O596" s="343"/>
      <c r="P596" s="363">
        <f t="shared" ca="1" si="279"/>
        <v>23</v>
      </c>
      <c r="Q596" s="357">
        <f t="shared" ca="1" si="280"/>
        <v>0</v>
      </c>
      <c r="R596" s="359">
        <f t="shared" ca="1" si="281"/>
        <v>0</v>
      </c>
      <c r="S596" s="360">
        <f t="shared" ca="1" si="282"/>
        <v>8.3819999999999997</v>
      </c>
      <c r="T596" s="357">
        <f t="shared" ca="1" si="262"/>
        <v>82.227419999999995</v>
      </c>
      <c r="U596" s="364">
        <f t="shared" ca="1" si="263"/>
        <v>0</v>
      </c>
      <c r="V596" s="359">
        <f t="shared" ca="1" si="264"/>
        <v>1.0861566464866454</v>
      </c>
      <c r="W596" s="357">
        <f t="shared" ca="1" si="265"/>
        <v>11.85289211532146</v>
      </c>
      <c r="X596" s="343"/>
      <c r="Y596" s="367" t="str">
        <f t="shared" ca="1" si="283"/>
        <v/>
      </c>
      <c r="Z596" s="368" t="str">
        <f t="shared" ca="1" si="284"/>
        <v/>
      </c>
      <c r="AA596" s="369" t="str">
        <f t="shared" ca="1" si="285"/>
        <v/>
      </c>
      <c r="AB596" s="344"/>
      <c r="AC596" s="363" t="e">
        <f t="shared" ca="1" si="286"/>
        <v>#N/A</v>
      </c>
      <c r="AD596" s="376" t="e">
        <f t="shared" ca="1" si="287"/>
        <v>#N/A</v>
      </c>
      <c r="AE596" s="377" t="e">
        <f t="shared" ca="1" si="266"/>
        <v>#N/A</v>
      </c>
      <c r="AF596" s="344"/>
      <c r="AG596" s="359">
        <f t="shared" ca="1" si="288"/>
        <v>7.5770214740617954</v>
      </c>
      <c r="AH596" s="357">
        <f t="shared" ca="1" si="289"/>
        <v>-1.3799922901989765</v>
      </c>
    </row>
    <row r="597" spans="1:34" x14ac:dyDescent="0.2">
      <c r="A597" s="402">
        <f t="shared" ca="1" si="267"/>
        <v>0.1</v>
      </c>
      <c r="B597" s="357">
        <f t="shared" ca="1" si="268"/>
        <v>23.300000000000018</v>
      </c>
      <c r="C597" s="342"/>
      <c r="D597" s="359">
        <f t="shared" ca="1" si="269"/>
        <v>-0.56866429260447371</v>
      </c>
      <c r="E597" s="360">
        <f t="shared" ca="1" si="270"/>
        <v>-8.5152923160027676</v>
      </c>
      <c r="F597" s="357">
        <f t="shared" ca="1" si="271"/>
        <v>8.5342593295879592</v>
      </c>
      <c r="G597" s="359">
        <f t="shared" ca="1" si="272"/>
        <v>25.719119261061731</v>
      </c>
      <c r="H597" s="360">
        <f t="shared" ca="1" si="273"/>
        <v>-59.5370615744487</v>
      </c>
      <c r="I597" s="357">
        <f t="shared" ca="1" si="274"/>
        <v>64.854720695446773</v>
      </c>
      <c r="J597" s="359">
        <f t="shared" ca="1" si="275"/>
        <v>697.41952904127743</v>
      </c>
      <c r="K597" s="360">
        <f t="shared" ca="1" si="276"/>
        <v>1195.5942180651418</v>
      </c>
      <c r="L597" s="357">
        <f t="shared" ca="1" si="261"/>
        <v>1384.1385529487122</v>
      </c>
      <c r="M597" s="359">
        <f t="shared" ca="1" si="277"/>
        <v>-1.1630242047891592</v>
      </c>
      <c r="N597" s="357">
        <f t="shared" ca="1" si="278"/>
        <v>-66.636378405977567</v>
      </c>
      <c r="O597" s="343"/>
      <c r="P597" s="363">
        <f t="shared" ca="1" si="279"/>
        <v>23</v>
      </c>
      <c r="Q597" s="357">
        <f t="shared" ca="1" si="280"/>
        <v>0</v>
      </c>
      <c r="R597" s="359">
        <f t="shared" ca="1" si="281"/>
        <v>0</v>
      </c>
      <c r="S597" s="360">
        <f t="shared" ca="1" si="282"/>
        <v>8.3819999999999997</v>
      </c>
      <c r="T597" s="357">
        <f t="shared" ca="1" si="262"/>
        <v>82.227419999999995</v>
      </c>
      <c r="U597" s="364">
        <f t="shared" ca="1" si="263"/>
        <v>0</v>
      </c>
      <c r="V597" s="359">
        <f t="shared" ca="1" si="264"/>
        <v>1.086801193015716</v>
      </c>
      <c r="W597" s="357">
        <f t="shared" ca="1" si="265"/>
        <v>12.142082087972046</v>
      </c>
      <c r="X597" s="343"/>
      <c r="Y597" s="367" t="str">
        <f t="shared" ca="1" si="283"/>
        <v/>
      </c>
      <c r="Z597" s="368" t="str">
        <f t="shared" ca="1" si="284"/>
        <v/>
      </c>
      <c r="AA597" s="369" t="str">
        <f t="shared" ca="1" si="285"/>
        <v/>
      </c>
      <c r="AB597" s="344"/>
      <c r="AC597" s="363" t="e">
        <f t="shared" ca="1" si="286"/>
        <v>#N/A</v>
      </c>
      <c r="AD597" s="376" t="e">
        <f t="shared" ca="1" si="287"/>
        <v>#N/A</v>
      </c>
      <c r="AE597" s="377" t="e">
        <f t="shared" ca="1" si="266"/>
        <v>#N/A</v>
      </c>
      <c r="AF597" s="344"/>
      <c r="AG597" s="359">
        <f t="shared" ca="1" si="288"/>
        <v>7.567725238731482</v>
      </c>
      <c r="AH597" s="357">
        <f t="shared" ca="1" si="289"/>
        <v>-1.414088775390296</v>
      </c>
    </row>
    <row r="598" spans="1:34" x14ac:dyDescent="0.2">
      <c r="A598" s="402">
        <f t="shared" ca="1" si="267"/>
        <v>0.1</v>
      </c>
      <c r="B598" s="357">
        <f t="shared" ca="1" si="268"/>
        <v>23.40000000000002</v>
      </c>
      <c r="C598" s="342"/>
      <c r="D598" s="359">
        <f t="shared" ca="1" si="269"/>
        <v>-0.57446028204575694</v>
      </c>
      <c r="E598" s="360">
        <f t="shared" ca="1" si="270"/>
        <v>-8.4801847432227557</v>
      </c>
      <c r="F598" s="357">
        <f t="shared" ca="1" si="271"/>
        <v>8.4996198676667944</v>
      </c>
      <c r="G598" s="359">
        <f t="shared" ca="1" si="272"/>
        <v>25.661673232857154</v>
      </c>
      <c r="H598" s="360">
        <f t="shared" ca="1" si="273"/>
        <v>-60.385080048770973</v>
      </c>
      <c r="I598" s="357">
        <f t="shared" ca="1" si="274"/>
        <v>65.611579508547237</v>
      </c>
      <c r="J598" s="359">
        <f t="shared" ca="1" si="275"/>
        <v>699.98856866597339</v>
      </c>
      <c r="K598" s="360">
        <f t="shared" ca="1" si="276"/>
        <v>1189.5981109839809</v>
      </c>
      <c r="L598" s="357">
        <f t="shared" ca="1" si="261"/>
        <v>1380.2636204434621</v>
      </c>
      <c r="M598" s="359">
        <f t="shared" ca="1" si="277"/>
        <v>-1.1689535339189645</v>
      </c>
      <c r="N598" s="357">
        <f t="shared" ca="1" si="278"/>
        <v>-66.976103940459382</v>
      </c>
      <c r="O598" s="343"/>
      <c r="P598" s="363">
        <f t="shared" ca="1" si="279"/>
        <v>23</v>
      </c>
      <c r="Q598" s="357">
        <f t="shared" ca="1" si="280"/>
        <v>0</v>
      </c>
      <c r="R598" s="359">
        <f t="shared" ca="1" si="281"/>
        <v>0</v>
      </c>
      <c r="S598" s="360">
        <f t="shared" ca="1" si="282"/>
        <v>8.3819999999999997</v>
      </c>
      <c r="T598" s="357">
        <f t="shared" ca="1" si="262"/>
        <v>82.227419999999995</v>
      </c>
      <c r="U598" s="364">
        <f t="shared" ca="1" si="263"/>
        <v>0</v>
      </c>
      <c r="V598" s="359">
        <f t="shared" ca="1" si="264"/>
        <v>1.0874553728369221</v>
      </c>
      <c r="W598" s="357">
        <f t="shared" ca="1" si="265"/>
        <v>12.434613782786355</v>
      </c>
      <c r="X598" s="343"/>
      <c r="Y598" s="367" t="str">
        <f t="shared" ca="1" si="283"/>
        <v/>
      </c>
      <c r="Z598" s="368" t="str">
        <f t="shared" ca="1" si="284"/>
        <v/>
      </c>
      <c r="AA598" s="369" t="str">
        <f t="shared" ca="1" si="285"/>
        <v/>
      </c>
      <c r="AB598" s="344"/>
      <c r="AC598" s="363" t="e">
        <f t="shared" ca="1" si="286"/>
        <v>#N/A</v>
      </c>
      <c r="AD598" s="376" t="e">
        <f t="shared" ca="1" si="287"/>
        <v>#N/A</v>
      </c>
      <c r="AE598" s="377" t="e">
        <f t="shared" ca="1" si="266"/>
        <v>#N/A</v>
      </c>
      <c r="AF598" s="344"/>
      <c r="AG598" s="359">
        <f t="shared" ca="1" si="288"/>
        <v>7.5570546516852772</v>
      </c>
      <c r="AH598" s="357">
        <f t="shared" ca="1" si="289"/>
        <v>-1.4485900844633794</v>
      </c>
    </row>
    <row r="599" spans="1:34" x14ac:dyDescent="0.2">
      <c r="A599" s="402">
        <f t="shared" ca="1" si="267"/>
        <v>0.1</v>
      </c>
      <c r="B599" s="357">
        <f t="shared" ca="1" si="268"/>
        <v>23.500000000000021</v>
      </c>
      <c r="C599" s="342"/>
      <c r="D599" s="359">
        <f t="shared" ca="1" si="269"/>
        <v>-0.58021522656218649</v>
      </c>
      <c r="E599" s="360">
        <f t="shared" ca="1" si="270"/>
        <v>-8.4446820574188841</v>
      </c>
      <c r="F599" s="357">
        <f t="shared" ca="1" si="271"/>
        <v>8.4645912340778171</v>
      </c>
      <c r="G599" s="359">
        <f t="shared" ca="1" si="272"/>
        <v>25.603651710200936</v>
      </c>
      <c r="H599" s="360">
        <f t="shared" ca="1" si="273"/>
        <v>-61.229548254512864</v>
      </c>
      <c r="I599" s="357">
        <f t="shared" ca="1" si="274"/>
        <v>66.367194910957281</v>
      </c>
      <c r="J599" s="359">
        <f t="shared" ca="1" si="275"/>
        <v>702.5518349131263</v>
      </c>
      <c r="K599" s="360">
        <f t="shared" ca="1" si="276"/>
        <v>1183.5173795688168</v>
      </c>
      <c r="L599" s="357">
        <f t="shared" ca="1" si="261"/>
        <v>1376.3329787813846</v>
      </c>
      <c r="M599" s="359">
        <f t="shared" ca="1" si="277"/>
        <v>-1.1747347931316909</v>
      </c>
      <c r="N599" s="357">
        <f t="shared" ca="1" si="278"/>
        <v>-67.307345693619737</v>
      </c>
      <c r="O599" s="343"/>
      <c r="P599" s="363">
        <f t="shared" ca="1" si="279"/>
        <v>23</v>
      </c>
      <c r="Q599" s="357">
        <f t="shared" ca="1" si="280"/>
        <v>0</v>
      </c>
      <c r="R599" s="359">
        <f t="shared" ca="1" si="281"/>
        <v>0</v>
      </c>
      <c r="S599" s="360">
        <f t="shared" ca="1" si="282"/>
        <v>8.3819999999999997</v>
      </c>
      <c r="T599" s="357">
        <f t="shared" ca="1" si="262"/>
        <v>82.227419999999995</v>
      </c>
      <c r="U599" s="364">
        <f t="shared" ca="1" si="263"/>
        <v>0</v>
      </c>
      <c r="V599" s="359">
        <f t="shared" ca="1" si="264"/>
        <v>1.0881191634520415</v>
      </c>
      <c r="W599" s="357">
        <f t="shared" ca="1" si="265"/>
        <v>12.730435315948807</v>
      </c>
      <c r="X599" s="343"/>
      <c r="Y599" s="367" t="str">
        <f t="shared" ca="1" si="283"/>
        <v/>
      </c>
      <c r="Z599" s="368" t="str">
        <f t="shared" ca="1" si="284"/>
        <v/>
      </c>
      <c r="AA599" s="369" t="str">
        <f t="shared" ca="1" si="285"/>
        <v/>
      </c>
      <c r="AB599" s="344"/>
      <c r="AC599" s="363" t="e">
        <f t="shared" ca="1" si="286"/>
        <v>#N/A</v>
      </c>
      <c r="AD599" s="376" t="e">
        <f t="shared" ca="1" si="287"/>
        <v>#N/A</v>
      </c>
      <c r="AE599" s="377" t="e">
        <f t="shared" ca="1" si="266"/>
        <v>#N/A</v>
      </c>
      <c r="AF599" s="344"/>
      <c r="AG599" s="359">
        <f t="shared" ca="1" si="288"/>
        <v>7.5450631151228853</v>
      </c>
      <c r="AH599" s="357">
        <f t="shared" ca="1" si="289"/>
        <v>-1.4834900719143826</v>
      </c>
    </row>
    <row r="600" spans="1:34" x14ac:dyDescent="0.2">
      <c r="A600" s="402">
        <f t="shared" ca="1" si="267"/>
        <v>0.1</v>
      </c>
      <c r="B600" s="357">
        <f t="shared" ca="1" si="268"/>
        <v>23.600000000000023</v>
      </c>
      <c r="C600" s="342"/>
      <c r="D600" s="359">
        <f t="shared" ca="1" si="269"/>
        <v>-0.58592772273197347</v>
      </c>
      <c r="E600" s="360">
        <f t="shared" ca="1" si="270"/>
        <v>-8.4087901187399563</v>
      </c>
      <c r="F600" s="357">
        <f t="shared" ca="1" si="271"/>
        <v>8.4291792339043674</v>
      </c>
      <c r="G600" s="359">
        <f t="shared" ca="1" si="272"/>
        <v>25.545058937927738</v>
      </c>
      <c r="H600" s="360">
        <f t="shared" ca="1" si="273"/>
        <v>-62.070427266386858</v>
      </c>
      <c r="I600" s="357">
        <f t="shared" ca="1" si="274"/>
        <v>67.121442007558386</v>
      </c>
      <c r="J600" s="359">
        <f t="shared" ca="1" si="275"/>
        <v>705.10927044553273</v>
      </c>
      <c r="K600" s="360">
        <f t="shared" ca="1" si="276"/>
        <v>1177.3523807927718</v>
      </c>
      <c r="L600" s="357">
        <f t="shared" ca="1" si="261"/>
        <v>1372.3475186069452</v>
      </c>
      <c r="M600" s="359">
        <f t="shared" ca="1" si="277"/>
        <v>-1.1803732268457416</v>
      </c>
      <c r="N600" s="357">
        <f t="shared" ca="1" si="278"/>
        <v>-67.63040414849911</v>
      </c>
      <c r="O600" s="343"/>
      <c r="P600" s="363">
        <f t="shared" ca="1" si="279"/>
        <v>23</v>
      </c>
      <c r="Q600" s="357">
        <f t="shared" ca="1" si="280"/>
        <v>0</v>
      </c>
      <c r="R600" s="359">
        <f t="shared" ca="1" si="281"/>
        <v>0</v>
      </c>
      <c r="S600" s="360">
        <f t="shared" ca="1" si="282"/>
        <v>8.3819999999999997</v>
      </c>
      <c r="T600" s="357">
        <f t="shared" ca="1" si="262"/>
        <v>82.227419999999995</v>
      </c>
      <c r="U600" s="364">
        <f t="shared" ca="1" si="263"/>
        <v>0</v>
      </c>
      <c r="V600" s="359">
        <f t="shared" ca="1" si="264"/>
        <v>1.0887925420951841</v>
      </c>
      <c r="W600" s="357">
        <f t="shared" ca="1" si="265"/>
        <v>13.029494447371851</v>
      </c>
      <c r="X600" s="343"/>
      <c r="Y600" s="367" t="str">
        <f t="shared" ca="1" si="283"/>
        <v/>
      </c>
      <c r="Z600" s="368" t="str">
        <f t="shared" ca="1" si="284"/>
        <v/>
      </c>
      <c r="AA600" s="369" t="str">
        <f t="shared" ca="1" si="285"/>
        <v/>
      </c>
      <c r="AB600" s="344"/>
      <c r="AC600" s="363" t="e">
        <f t="shared" ca="1" si="286"/>
        <v>#N/A</v>
      </c>
      <c r="AD600" s="376" t="e">
        <f t="shared" ca="1" si="287"/>
        <v>#N/A</v>
      </c>
      <c r="AE600" s="377" t="e">
        <f t="shared" ca="1" si="266"/>
        <v>#N/A</v>
      </c>
      <c r="AF600" s="344"/>
      <c r="AG600" s="359">
        <f t="shared" ca="1" si="288"/>
        <v>7.5318013917558275</v>
      </c>
      <c r="AH600" s="357">
        <f t="shared" ca="1" si="289"/>
        <v>-1.5187825478345034</v>
      </c>
    </row>
    <row r="601" spans="1:34" x14ac:dyDescent="0.2">
      <c r="A601" s="402">
        <f t="shared" ca="1" si="267"/>
        <v>0.1</v>
      </c>
      <c r="B601" s="357">
        <f t="shared" ca="1" si="268"/>
        <v>23.700000000000024</v>
      </c>
      <c r="C601" s="342"/>
      <c r="D601" s="359">
        <f t="shared" ca="1" si="269"/>
        <v>-0.59159642316705607</v>
      </c>
      <c r="E601" s="360">
        <f t="shared" ca="1" si="270"/>
        <v>-8.372514854850273</v>
      </c>
      <c r="F601" s="357">
        <f t="shared" ca="1" si="271"/>
        <v>8.3933897397054391</v>
      </c>
      <c r="G601" s="359">
        <f t="shared" ca="1" si="272"/>
        <v>25.485899295611034</v>
      </c>
      <c r="H601" s="360">
        <f t="shared" ca="1" si="273"/>
        <v>-62.907678751871885</v>
      </c>
      <c r="I601" s="357">
        <f t="shared" ca="1" si="274"/>
        <v>67.874200613007147</v>
      </c>
      <c r="J601" s="359">
        <f t="shared" ca="1" si="275"/>
        <v>707.66081835720968</v>
      </c>
      <c r="K601" s="360">
        <f t="shared" ca="1" si="276"/>
        <v>1171.1034754918589</v>
      </c>
      <c r="L601" s="357">
        <f t="shared" ca="1" si="261"/>
        <v>1368.3081466347801</v>
      </c>
      <c r="M601" s="359">
        <f t="shared" ca="1" si="277"/>
        <v>-1.1858738526347732</v>
      </c>
      <c r="N601" s="357">
        <f t="shared" ca="1" si="278"/>
        <v>-67.945566790891448</v>
      </c>
      <c r="O601" s="343"/>
      <c r="P601" s="363">
        <f t="shared" ca="1" si="279"/>
        <v>23</v>
      </c>
      <c r="Q601" s="357">
        <f t="shared" ca="1" si="280"/>
        <v>0</v>
      </c>
      <c r="R601" s="359">
        <f t="shared" ca="1" si="281"/>
        <v>0</v>
      </c>
      <c r="S601" s="360">
        <f t="shared" ca="1" si="282"/>
        <v>8.3819999999999997</v>
      </c>
      <c r="T601" s="357">
        <f t="shared" ca="1" si="262"/>
        <v>82.227419999999995</v>
      </c>
      <c r="U601" s="364">
        <f t="shared" ca="1" si="263"/>
        <v>0</v>
      </c>
      <c r="V601" s="359">
        <f t="shared" ca="1" si="264"/>
        <v>1.0894754857357103</v>
      </c>
      <c r="W601" s="357">
        <f t="shared" ca="1" si="265"/>
        <v>13.331738596710139</v>
      </c>
      <c r="X601" s="343"/>
      <c r="Y601" s="367" t="str">
        <f t="shared" ca="1" si="283"/>
        <v/>
      </c>
      <c r="Z601" s="368" t="str">
        <f t="shared" ca="1" si="284"/>
        <v/>
      </c>
      <c r="AA601" s="369" t="str">
        <f t="shared" ca="1" si="285"/>
        <v/>
      </c>
      <c r="AB601" s="344"/>
      <c r="AC601" s="363" t="e">
        <f t="shared" ca="1" si="286"/>
        <v>#N/A</v>
      </c>
      <c r="AD601" s="376" t="e">
        <f t="shared" ca="1" si="287"/>
        <v>#N/A</v>
      </c>
      <c r="AE601" s="377" t="e">
        <f t="shared" ca="1" si="266"/>
        <v>#N/A</v>
      </c>
      <c r="AF601" s="344"/>
      <c r="AG601" s="359">
        <f t="shared" ca="1" si="288"/>
        <v>7.517317771281478</v>
      </c>
      <c r="AH601" s="357">
        <f t="shared" ca="1" si="289"/>
        <v>-1.5544612798105286</v>
      </c>
    </row>
    <row r="602" spans="1:34" x14ac:dyDescent="0.2">
      <c r="A602" s="402">
        <f t="shared" ca="1" si="267"/>
        <v>0.1</v>
      </c>
      <c r="B602" s="357">
        <f t="shared" ca="1" si="268"/>
        <v>23.800000000000026</v>
      </c>
      <c r="C602" s="342"/>
      <c r="D602" s="359">
        <f t="shared" ca="1" si="269"/>
        <v>-0.59722003426825032</v>
      </c>
      <c r="E602" s="360">
        <f t="shared" ca="1" si="270"/>
        <v>-8.3358622572365366</v>
      </c>
      <c r="F602" s="357">
        <f t="shared" ca="1" si="271"/>
        <v>8.3572286878457493</v>
      </c>
      <c r="G602" s="359">
        <f t="shared" ca="1" si="272"/>
        <v>25.42617729218421</v>
      </c>
      <c r="H602" s="360">
        <f t="shared" ca="1" si="273"/>
        <v>-63.741264977595542</v>
      </c>
      <c r="I602" s="357">
        <f t="shared" ca="1" si="274"/>
        <v>68.625355027406826</v>
      </c>
      <c r="J602" s="359">
        <f t="shared" ca="1" si="275"/>
        <v>710.20642218659941</v>
      </c>
      <c r="K602" s="360">
        <f t="shared" ca="1" si="276"/>
        <v>1164.7710283053855</v>
      </c>
      <c r="L602" s="357">
        <f t="shared" ca="1" si="261"/>
        <v>1364.2157858985049</v>
      </c>
      <c r="M602" s="359">
        <f t="shared" ca="1" si="277"/>
        <v>-1.1912414721542721</v>
      </c>
      <c r="N602" s="357">
        <f t="shared" ca="1" si="278"/>
        <v>-68.253108735390768</v>
      </c>
      <c r="O602" s="343"/>
      <c r="P602" s="363">
        <f t="shared" ca="1" si="279"/>
        <v>23</v>
      </c>
      <c r="Q602" s="357">
        <f t="shared" ca="1" si="280"/>
        <v>0</v>
      </c>
      <c r="R602" s="359">
        <f t="shared" ca="1" si="281"/>
        <v>0</v>
      </c>
      <c r="S602" s="360">
        <f t="shared" ca="1" si="282"/>
        <v>8.3819999999999997</v>
      </c>
      <c r="T602" s="357">
        <f t="shared" ca="1" si="262"/>
        <v>82.227419999999995</v>
      </c>
      <c r="U602" s="364">
        <f t="shared" ca="1" si="263"/>
        <v>0</v>
      </c>
      <c r="V602" s="359">
        <f t="shared" ca="1" si="264"/>
        <v>1.0901679710812029</v>
      </c>
      <c r="W602" s="357">
        <f t="shared" ca="1" si="265"/>
        <v>13.637114859446383</v>
      </c>
      <c r="X602" s="343"/>
      <c r="Y602" s="367" t="str">
        <f t="shared" ca="1" si="283"/>
        <v/>
      </c>
      <c r="Z602" s="368" t="str">
        <f t="shared" ca="1" si="284"/>
        <v/>
      </c>
      <c r="AA602" s="369" t="str">
        <f t="shared" ca="1" si="285"/>
        <v/>
      </c>
      <c r="AB602" s="344"/>
      <c r="AC602" s="363" t="e">
        <f t="shared" ca="1" si="286"/>
        <v>#N/A</v>
      </c>
      <c r="AD602" s="376" t="e">
        <f t="shared" ca="1" si="287"/>
        <v>#N/A</v>
      </c>
      <c r="AE602" s="377" t="e">
        <f t="shared" ca="1" si="266"/>
        <v>#N/A</v>
      </c>
      <c r="AF602" s="344"/>
      <c r="AG602" s="359">
        <f t="shared" ca="1" si="288"/>
        <v>7.5016582257888489</v>
      </c>
      <c r="AH602" s="357">
        <f t="shared" ca="1" si="289"/>
        <v>-1.5905199948353781</v>
      </c>
    </row>
    <row r="603" spans="1:34" x14ac:dyDescent="0.2">
      <c r="A603" s="402">
        <f t="shared" ca="1" si="267"/>
        <v>0.1</v>
      </c>
      <c r="B603" s="357">
        <f t="shared" ca="1" si="268"/>
        <v>23.900000000000027</v>
      </c>
      <c r="C603" s="342"/>
      <c r="D603" s="359">
        <f t="shared" ca="1" si="269"/>
        <v>-0.60279731411958837</v>
      </c>
      <c r="E603" s="360">
        <f t="shared" ca="1" si="270"/>
        <v>-8.2988383776474919</v>
      </c>
      <c r="F603" s="357">
        <f t="shared" ca="1" si="271"/>
        <v>8.3207020749588576</v>
      </c>
      <c r="G603" s="359">
        <f t="shared" ca="1" si="272"/>
        <v>25.36589756077225</v>
      </c>
      <c r="H603" s="360">
        <f t="shared" ca="1" si="273"/>
        <v>-64.571148815360289</v>
      </c>
      <c r="I603" s="357">
        <f t="shared" ca="1" si="274"/>
        <v>69.374793825992711</v>
      </c>
      <c r="J603" s="359">
        <f t="shared" ca="1" si="275"/>
        <v>712.74602592924725</v>
      </c>
      <c r="K603" s="360">
        <f t="shared" ca="1" si="276"/>
        <v>1158.3554076157377</v>
      </c>
      <c r="L603" s="357">
        <f t="shared" ca="1" si="261"/>
        <v>1360.0713760058907</v>
      </c>
      <c r="M603" s="359">
        <f t="shared" ca="1" si="277"/>
        <v>-1.1964806815401228</v>
      </c>
      <c r="N603" s="357">
        <f t="shared" ca="1" si="278"/>
        <v>-68.553293321185336</v>
      </c>
      <c r="O603" s="343"/>
      <c r="P603" s="363">
        <f t="shared" ca="1" si="279"/>
        <v>23</v>
      </c>
      <c r="Q603" s="357">
        <f t="shared" ca="1" si="280"/>
        <v>0</v>
      </c>
      <c r="R603" s="359">
        <f t="shared" ca="1" si="281"/>
        <v>0</v>
      </c>
      <c r="S603" s="360">
        <f t="shared" ca="1" si="282"/>
        <v>8.3819999999999997</v>
      </c>
      <c r="T603" s="357">
        <f t="shared" ca="1" si="262"/>
        <v>82.227419999999995</v>
      </c>
      <c r="U603" s="364">
        <f t="shared" ca="1" si="263"/>
        <v>0</v>
      </c>
      <c r="V603" s="359">
        <f t="shared" ca="1" si="264"/>
        <v>1.0908699745804886</v>
      </c>
      <c r="W603" s="357">
        <f t="shared" ca="1" si="265"/>
        <v>13.945570023036993</v>
      </c>
      <c r="X603" s="343"/>
      <c r="Y603" s="367" t="str">
        <f t="shared" ca="1" si="283"/>
        <v/>
      </c>
      <c r="Z603" s="368" t="str">
        <f t="shared" ca="1" si="284"/>
        <v/>
      </c>
      <c r="AA603" s="369" t="str">
        <f t="shared" ca="1" si="285"/>
        <v/>
      </c>
      <c r="AB603" s="344"/>
      <c r="AC603" s="363" t="e">
        <f t="shared" ca="1" si="286"/>
        <v>#N/A</v>
      </c>
      <c r="AD603" s="376" t="e">
        <f t="shared" ca="1" si="287"/>
        <v>#N/A</v>
      </c>
      <c r="AE603" s="377" t="e">
        <f t="shared" ca="1" si="266"/>
        <v>#N/A</v>
      </c>
      <c r="AF603" s="344"/>
      <c r="AG603" s="359">
        <f t="shared" ca="1" si="288"/>
        <v>7.4848665547985052</v>
      </c>
      <c r="AH603" s="357">
        <f t="shared" ca="1" si="289"/>
        <v>-1.6269523812271991</v>
      </c>
    </row>
    <row r="604" spans="1:34" x14ac:dyDescent="0.2">
      <c r="A604" s="402">
        <f t="shared" ca="1" si="267"/>
        <v>0.1</v>
      </c>
      <c r="B604" s="357">
        <f t="shared" ca="1" si="268"/>
        <v>24.000000000000028</v>
      </c>
      <c r="C604" s="342"/>
      <c r="D604" s="359">
        <f t="shared" ca="1" si="269"/>
        <v>-0.60832707051219825</v>
      </c>
      <c r="E604" s="360">
        <f t="shared" ca="1" si="270"/>
        <v>-8.2614493246554197</v>
      </c>
      <c r="F604" s="357">
        <f t="shared" ca="1" si="271"/>
        <v>8.2838159545325158</v>
      </c>
      <c r="G604" s="359">
        <f t="shared" ca="1" si="272"/>
        <v>25.305064853721031</v>
      </c>
      <c r="H604" s="360">
        <f t="shared" ca="1" si="273"/>
        <v>-65.397293747825827</v>
      </c>
      <c r="I604" s="357">
        <f t="shared" ca="1" si="274"/>
        <v>70.122409661893727</v>
      </c>
      <c r="J604" s="359">
        <f t="shared" ca="1" si="275"/>
        <v>715.27957404997187</v>
      </c>
      <c r="K604" s="360">
        <f t="shared" ca="1" si="276"/>
        <v>1151.8569854875784</v>
      </c>
      <c r="L604" s="357">
        <f t="shared" ca="1" si="261"/>
        <v>1355.8758734005266</v>
      </c>
      <c r="M604" s="359">
        <f t="shared" ca="1" si="277"/>
        <v>-1.2015958812988758</v>
      </c>
      <c r="N604" s="357">
        <f t="shared" ca="1" si="278"/>
        <v>-68.84637267872823</v>
      </c>
      <c r="O604" s="343"/>
      <c r="P604" s="363">
        <f t="shared" ca="1" si="279"/>
        <v>23</v>
      </c>
      <c r="Q604" s="357">
        <f t="shared" ca="1" si="280"/>
        <v>0</v>
      </c>
      <c r="R604" s="359">
        <f t="shared" ca="1" si="281"/>
        <v>0</v>
      </c>
      <c r="S604" s="360">
        <f t="shared" ca="1" si="282"/>
        <v>8.3819999999999997</v>
      </c>
      <c r="T604" s="357">
        <f t="shared" ca="1" si="262"/>
        <v>82.227419999999995</v>
      </c>
      <c r="U604" s="364">
        <f t="shared" ca="1" si="263"/>
        <v>0</v>
      </c>
      <c r="V604" s="359">
        <f t="shared" ca="1" si="264"/>
        <v>1.0915814724267099</v>
      </c>
      <c r="W604" s="357">
        <f t="shared" ca="1" si="265"/>
        <v>14.25705058310618</v>
      </c>
      <c r="X604" s="343"/>
      <c r="Y604" s="367" t="str">
        <f t="shared" ca="1" si="283"/>
        <v/>
      </c>
      <c r="Z604" s="368" t="str">
        <f t="shared" ca="1" si="284"/>
        <v/>
      </c>
      <c r="AA604" s="369" t="str">
        <f t="shared" ca="1" si="285"/>
        <v/>
      </c>
      <c r="AB604" s="344"/>
      <c r="AC604" s="363">
        <f t="shared" ca="1" si="286"/>
        <v>24.000000000000028</v>
      </c>
      <c r="AD604" s="376">
        <f t="shared" ca="1" si="287"/>
        <v>715.27957404997187</v>
      </c>
      <c r="AE604" s="377" t="e">
        <f t="shared" ca="1" si="266"/>
        <v>#N/A</v>
      </c>
      <c r="AF604" s="344"/>
      <c r="AG604" s="359">
        <f t="shared" ca="1" si="288"/>
        <v>7.4669845206046377</v>
      </c>
      <c r="AH604" s="357">
        <f t="shared" ca="1" si="289"/>
        <v>-1.6637520905555945</v>
      </c>
    </row>
    <row r="605" spans="1:34" x14ac:dyDescent="0.2">
      <c r="A605" s="402">
        <f t="shared" ca="1" si="267"/>
        <v>0.1</v>
      </c>
      <c r="B605" s="357">
        <f t="shared" ca="1" si="268"/>
        <v>24.10000000000003</v>
      </c>
      <c r="C605" s="342"/>
      <c r="D605" s="359">
        <f t="shared" ca="1" si="269"/>
        <v>-0.6138081590887059</v>
      </c>
      <c r="E605" s="360">
        <f t="shared" ca="1" si="270"/>
        <v>-8.2237012603295661</v>
      </c>
      <c r="F605" s="357">
        <f t="shared" ca="1" si="271"/>
        <v>8.2465764336062488</v>
      </c>
      <c r="G605" s="359">
        <f t="shared" ca="1" si="272"/>
        <v>25.243684037812162</v>
      </c>
      <c r="H605" s="360">
        <f t="shared" ca="1" si="273"/>
        <v>-66.219663873858778</v>
      </c>
      <c r="I605" s="357">
        <f t="shared" ca="1" si="274"/>
        <v>70.868099081093817</v>
      </c>
      <c r="J605" s="359">
        <f t="shared" ca="1" si="275"/>
        <v>717.80701149454853</v>
      </c>
      <c r="K605" s="360">
        <f t="shared" ca="1" si="276"/>
        <v>1145.2761376064941</v>
      </c>
      <c r="L605" s="357">
        <f t="shared" ca="1" si="261"/>
        <v>1351.6302516300766</v>
      </c>
      <c r="M605" s="359">
        <f t="shared" ca="1" si="277"/>
        <v>-1.2065912857098766</v>
      </c>
      <c r="N605" s="357">
        <f t="shared" ca="1" si="278"/>
        <v>-69.132588268439605</v>
      </c>
      <c r="O605" s="343"/>
      <c r="P605" s="363">
        <f t="shared" ca="1" si="279"/>
        <v>23</v>
      </c>
      <c r="Q605" s="357">
        <f t="shared" ca="1" si="280"/>
        <v>0</v>
      </c>
      <c r="R605" s="359">
        <f t="shared" ca="1" si="281"/>
        <v>0</v>
      </c>
      <c r="S605" s="360">
        <f t="shared" ca="1" si="282"/>
        <v>8.3819999999999997</v>
      </c>
      <c r="T605" s="357">
        <f t="shared" ca="1" si="262"/>
        <v>82.227419999999995</v>
      </c>
      <c r="U605" s="364">
        <f t="shared" ca="1" si="263"/>
        <v>0</v>
      </c>
      <c r="V605" s="359">
        <f t="shared" ca="1" si="264"/>
        <v>1.0923024405604418</v>
      </c>
      <c r="W605" s="357">
        <f t="shared" ca="1" si="265"/>
        <v>14.571502759677276</v>
      </c>
      <c r="X605" s="343"/>
      <c r="Y605" s="367" t="str">
        <f t="shared" ca="1" si="283"/>
        <v/>
      </c>
      <c r="Z605" s="368" t="str">
        <f t="shared" ca="1" si="284"/>
        <v/>
      </c>
      <c r="AA605" s="369" t="str">
        <f t="shared" ca="1" si="285"/>
        <v/>
      </c>
      <c r="AB605" s="344"/>
      <c r="AC605" s="363" t="e">
        <f t="shared" ca="1" si="286"/>
        <v>#N/A</v>
      </c>
      <c r="AD605" s="376" t="e">
        <f t="shared" ca="1" si="287"/>
        <v>#N/A</v>
      </c>
      <c r="AE605" s="377" t="e">
        <f t="shared" ca="1" si="266"/>
        <v>#N/A</v>
      </c>
      <c r="AF605" s="344"/>
      <c r="AG605" s="359">
        <f t="shared" ca="1" si="288"/>
        <v>7.4480519745526195</v>
      </c>
      <c r="AH605" s="357">
        <f t="shared" ca="1" si="289"/>
        <v>-1.7009127395736316</v>
      </c>
    </row>
    <row r="606" spans="1:34" x14ac:dyDescent="0.2">
      <c r="A606" s="402">
        <f t="shared" ca="1" si="267"/>
        <v>0.1</v>
      </c>
      <c r="B606" s="357">
        <f t="shared" ca="1" si="268"/>
        <v>24.200000000000031</v>
      </c>
      <c r="C606" s="342"/>
      <c r="D606" s="359">
        <f t="shared" ca="1" si="269"/>
        <v>-0.61923948159975239</v>
      </c>
      <c r="E606" s="360">
        <f t="shared" ca="1" si="270"/>
        <v>-8.1856003970127311</v>
      </c>
      <c r="F606" s="357">
        <f t="shared" ca="1" si="271"/>
        <v>8.208989669572432</v>
      </c>
      <c r="G606" s="359">
        <f t="shared" ca="1" si="272"/>
        <v>25.181760089652187</v>
      </c>
      <c r="H606" s="360">
        <f t="shared" ca="1" si="273"/>
        <v>-67.038223913560046</v>
      </c>
      <c r="I606" s="357">
        <f t="shared" ca="1" si="274"/>
        <v>71.611762348774889</v>
      </c>
      <c r="J606" s="359">
        <f t="shared" ca="1" si="275"/>
        <v>720.3282837009217</v>
      </c>
      <c r="K606" s="360">
        <f t="shared" ca="1" si="276"/>
        <v>1138.6132432171232</v>
      </c>
      <c r="L606" s="357">
        <f t="shared" ca="1" si="261"/>
        <v>1347.3355016212299</v>
      </c>
      <c r="M606" s="359">
        <f t="shared" ca="1" si="277"/>
        <v>-1.2114709317596066</v>
      </c>
      <c r="N606" s="357">
        <f t="shared" ca="1" si="278"/>
        <v>-69.412171392606822</v>
      </c>
      <c r="O606" s="343"/>
      <c r="P606" s="363">
        <f t="shared" ca="1" si="279"/>
        <v>23</v>
      </c>
      <c r="Q606" s="357">
        <f t="shared" ca="1" si="280"/>
        <v>0</v>
      </c>
      <c r="R606" s="359">
        <f t="shared" ca="1" si="281"/>
        <v>0</v>
      </c>
      <c r="S606" s="360">
        <f t="shared" ca="1" si="282"/>
        <v>8.3819999999999997</v>
      </c>
      <c r="T606" s="357">
        <f t="shared" ca="1" si="262"/>
        <v>82.227419999999995</v>
      </c>
      <c r="U606" s="364">
        <f t="shared" ca="1" si="263"/>
        <v>0</v>
      </c>
      <c r="V606" s="359">
        <f t="shared" ca="1" si="264"/>
        <v>1.0930328546728549</v>
      </c>
      <c r="W606" s="357">
        <f t="shared" ca="1" si="265"/>
        <v>14.888872513430476</v>
      </c>
      <c r="X606" s="343"/>
      <c r="Y606" s="367" t="str">
        <f t="shared" ca="1" si="283"/>
        <v/>
      </c>
      <c r="Z606" s="368" t="str">
        <f t="shared" ca="1" si="284"/>
        <v/>
      </c>
      <c r="AA606" s="369" t="str">
        <f t="shared" ca="1" si="285"/>
        <v/>
      </c>
      <c r="AB606" s="344"/>
      <c r="AC606" s="363" t="e">
        <f t="shared" ca="1" si="286"/>
        <v>#N/A</v>
      </c>
      <c r="AD606" s="376" t="e">
        <f t="shared" ca="1" si="287"/>
        <v>#N/A</v>
      </c>
      <c r="AE606" s="377" t="e">
        <f t="shared" ca="1" si="266"/>
        <v>#N/A</v>
      </c>
      <c r="AF606" s="344"/>
      <c r="AG606" s="359">
        <f t="shared" ca="1" si="288"/>
        <v>7.4281069748504427</v>
      </c>
      <c r="AH606" s="357">
        <f t="shared" ca="1" si="289"/>
        <v>-1.7384279121542923</v>
      </c>
    </row>
    <row r="607" spans="1:34" x14ac:dyDescent="0.2">
      <c r="A607" s="402">
        <f t="shared" ca="1" si="267"/>
        <v>0.1</v>
      </c>
      <c r="B607" s="357">
        <f t="shared" ca="1" si="268"/>
        <v>24.300000000000033</v>
      </c>
      <c r="C607" s="342"/>
      <c r="D607" s="359">
        <f t="shared" ca="1" si="269"/>
        <v>-0.62461998426478649</v>
      </c>
      <c r="E607" s="360">
        <f t="shared" ca="1" si="270"/>
        <v>-8.1471529941930498</v>
      </c>
      <c r="F607" s="357">
        <f t="shared" ca="1" si="271"/>
        <v>8.1710618670728294</v>
      </c>
      <c r="G607" s="359">
        <f t="shared" ca="1" si="272"/>
        <v>25.119298091225708</v>
      </c>
      <c r="H607" s="360">
        <f t="shared" ca="1" si="273"/>
        <v>-67.852939212979351</v>
      </c>
      <c r="I607" s="357">
        <f t="shared" ca="1" si="274"/>
        <v>72.353303286277992</v>
      </c>
      <c r="J607" s="359">
        <f t="shared" ca="1" si="275"/>
        <v>722.8433366099656</v>
      </c>
      <c r="K607" s="360">
        <f t="shared" ca="1" si="276"/>
        <v>1131.8686850607962</v>
      </c>
      <c r="L607" s="357">
        <f t="shared" ca="1" si="261"/>
        <v>1342.9926319614281</v>
      </c>
      <c r="M607" s="359">
        <f t="shared" ca="1" si="277"/>
        <v>-1.2162386876285658</v>
      </c>
      <c r="N607" s="357">
        <f t="shared" ca="1" si="278"/>
        <v>-69.685343681646913</v>
      </c>
      <c r="O607" s="343"/>
      <c r="P607" s="363">
        <f t="shared" ca="1" si="279"/>
        <v>23</v>
      </c>
      <c r="Q607" s="357">
        <f t="shared" ca="1" si="280"/>
        <v>0</v>
      </c>
      <c r="R607" s="359">
        <f t="shared" ca="1" si="281"/>
        <v>0</v>
      </c>
      <c r="S607" s="360">
        <f t="shared" ca="1" si="282"/>
        <v>8.3819999999999997</v>
      </c>
      <c r="T607" s="357">
        <f t="shared" ca="1" si="262"/>
        <v>82.227419999999995</v>
      </c>
      <c r="U607" s="364">
        <f t="shared" ca="1" si="263"/>
        <v>0</v>
      </c>
      <c r="V607" s="359">
        <f t="shared" ca="1" si="264"/>
        <v>1.0937726902089175</v>
      </c>
      <c r="W607" s="357">
        <f t="shared" ca="1" si="265"/>
        <v>15.209105561976504</v>
      </c>
      <c r="X607" s="343"/>
      <c r="Y607" s="367" t="str">
        <f t="shared" ca="1" si="283"/>
        <v/>
      </c>
      <c r="Z607" s="368" t="str">
        <f t="shared" ca="1" si="284"/>
        <v/>
      </c>
      <c r="AA607" s="369" t="str">
        <f t="shared" ca="1" si="285"/>
        <v/>
      </c>
      <c r="AB607" s="344"/>
      <c r="AC607" s="363" t="e">
        <f t="shared" ca="1" si="286"/>
        <v>#N/A</v>
      </c>
      <c r="AD607" s="376" t="e">
        <f t="shared" ca="1" si="287"/>
        <v>#N/A</v>
      </c>
      <c r="AE607" s="377" t="e">
        <f t="shared" ca="1" si="266"/>
        <v>#N/A</v>
      </c>
      <c r="AF607" s="344"/>
      <c r="AG607" s="359">
        <f t="shared" ca="1" si="288"/>
        <v>7.407185896478099</v>
      </c>
      <c r="AH607" s="357">
        <f t="shared" ca="1" si="289"/>
        <v>-1.7762911612300736</v>
      </c>
    </row>
    <row r="608" spans="1:34" x14ac:dyDescent="0.2">
      <c r="A608" s="402">
        <f t="shared" ca="1" si="267"/>
        <v>0.1</v>
      </c>
      <c r="B608" s="357">
        <f t="shared" ca="1" si="268"/>
        <v>24.400000000000034</v>
      </c>
      <c r="C608" s="342"/>
      <c r="D608" s="359">
        <f t="shared" ca="1" si="269"/>
        <v>-0.62994865622982177</v>
      </c>
      <c r="E608" s="360">
        <f t="shared" ca="1" si="270"/>
        <v>-8.1083653554638637</v>
      </c>
      <c r="F608" s="357">
        <f t="shared" ca="1" si="271"/>
        <v>8.1327992749835154</v>
      </c>
      <c r="G608" s="359">
        <f t="shared" ca="1" si="272"/>
        <v>25.056303225602726</v>
      </c>
      <c r="H608" s="360">
        <f t="shared" ca="1" si="273"/>
        <v>-68.663775748525737</v>
      </c>
      <c r="I608" s="357">
        <f t="shared" ca="1" si="274"/>
        <v>73.092629117970446</v>
      </c>
      <c r="J608" s="359">
        <f t="shared" ca="1" si="275"/>
        <v>725.352116675807</v>
      </c>
      <c r="K608" s="360">
        <f t="shared" ca="1" si="276"/>
        <v>1125.042849312721</v>
      </c>
      <c r="L608" s="357">
        <f t="shared" ca="1" si="261"/>
        <v>1338.6026691874476</v>
      </c>
      <c r="M608" s="359">
        <f t="shared" ca="1" si="277"/>
        <v>-1.2208982607508114</v>
      </c>
      <c r="N608" s="357">
        <f t="shared" ca="1" si="278"/>
        <v>-69.952317555884179</v>
      </c>
      <c r="O608" s="343"/>
      <c r="P608" s="363">
        <f t="shared" ca="1" si="279"/>
        <v>23</v>
      </c>
      <c r="Q608" s="357">
        <f t="shared" ca="1" si="280"/>
        <v>0</v>
      </c>
      <c r="R608" s="359">
        <f t="shared" ca="1" si="281"/>
        <v>0</v>
      </c>
      <c r="S608" s="360">
        <f t="shared" ca="1" si="282"/>
        <v>8.3819999999999997</v>
      </c>
      <c r="T608" s="357">
        <f t="shared" ca="1" si="262"/>
        <v>82.227419999999995</v>
      </c>
      <c r="U608" s="364">
        <f t="shared" ca="1" si="263"/>
        <v>0</v>
      </c>
      <c r="V608" s="359">
        <f t="shared" ca="1" si="264"/>
        <v>1.0945219223706408</v>
      </c>
      <c r="W608" s="357">
        <f t="shared" ca="1" si="265"/>
        <v>15.532147396135796</v>
      </c>
      <c r="X608" s="343"/>
      <c r="Y608" s="367" t="str">
        <f t="shared" ca="1" si="283"/>
        <v/>
      </c>
      <c r="Z608" s="368" t="str">
        <f t="shared" ca="1" si="284"/>
        <v/>
      </c>
      <c r="AA608" s="369" t="str">
        <f t="shared" ca="1" si="285"/>
        <v/>
      </c>
      <c r="AB608" s="344"/>
      <c r="AC608" s="363" t="e">
        <f t="shared" ca="1" si="286"/>
        <v>#N/A</v>
      </c>
      <c r="AD608" s="376" t="e">
        <f t="shared" ca="1" si="287"/>
        <v>#N/A</v>
      </c>
      <c r="AE608" s="377" t="e">
        <f t="shared" ca="1" si="266"/>
        <v>#N/A</v>
      </c>
      <c r="AF608" s="344"/>
      <c r="AG608" s="359">
        <f t="shared" ca="1" si="288"/>
        <v>7.3853235337253036</v>
      </c>
      <c r="AH608" s="357">
        <f t="shared" ca="1" si="289"/>
        <v>-1.8144960107344912</v>
      </c>
    </row>
    <row r="609" spans="1:34" x14ac:dyDescent="0.2">
      <c r="A609" s="402">
        <f t="shared" ca="1" si="267"/>
        <v>0.1</v>
      </c>
      <c r="B609" s="357">
        <f t="shared" ca="1" si="268"/>
        <v>24.500000000000036</v>
      </c>
      <c r="C609" s="342"/>
      <c r="D609" s="359">
        <f t="shared" ca="1" si="269"/>
        <v>-0.63522452811535601</v>
      </c>
      <c r="E609" s="360">
        <f t="shared" ca="1" si="270"/>
        <v>-8.0692438255653069</v>
      </c>
      <c r="F609" s="357">
        <f t="shared" ca="1" si="271"/>
        <v>8.0942081834817667</v>
      </c>
      <c r="G609" s="359">
        <f t="shared" ca="1" si="272"/>
        <v>24.992780772791189</v>
      </c>
      <c r="H609" s="360">
        <f t="shared" ca="1" si="273"/>
        <v>-69.470700131082268</v>
      </c>
      <c r="I609" s="357">
        <f t="shared" ca="1" si="274"/>
        <v>73.82965032735531</v>
      </c>
      <c r="J609" s="359">
        <f t="shared" ca="1" si="275"/>
        <v>727.85457087572672</v>
      </c>
      <c r="K609" s="360">
        <f t="shared" ca="1" si="276"/>
        <v>1118.1361255187408</v>
      </c>
      <c r="L609" s="357">
        <f t="shared" ca="1" si="261"/>
        <v>1334.1666580808969</v>
      </c>
      <c r="M609" s="359">
        <f t="shared" ca="1" si="277"/>
        <v>-1.2254532054659337</v>
      </c>
      <c r="N609" s="357">
        <f t="shared" ca="1" si="278"/>
        <v>-70.213296663976109</v>
      </c>
      <c r="O609" s="343"/>
      <c r="P609" s="363">
        <f t="shared" ca="1" si="279"/>
        <v>23</v>
      </c>
      <c r="Q609" s="357">
        <f t="shared" ca="1" si="280"/>
        <v>0</v>
      </c>
      <c r="R609" s="359">
        <f t="shared" ca="1" si="281"/>
        <v>0</v>
      </c>
      <c r="S609" s="360">
        <f t="shared" ca="1" si="282"/>
        <v>8.3819999999999997</v>
      </c>
      <c r="T609" s="357">
        <f t="shared" ca="1" si="262"/>
        <v>82.227419999999995</v>
      </c>
      <c r="U609" s="364">
        <f t="shared" ca="1" si="263"/>
        <v>0</v>
      </c>
      <c r="V609" s="359">
        <f t="shared" ca="1" si="264"/>
        <v>1.09528052612036</v>
      </c>
      <c r="W609" s="357">
        <f t="shared" ca="1" si="265"/>
        <v>15.857943296213369</v>
      </c>
      <c r="X609" s="343"/>
      <c r="Y609" s="367" t="str">
        <f t="shared" ca="1" si="283"/>
        <v/>
      </c>
      <c r="Z609" s="368" t="str">
        <f t="shared" ca="1" si="284"/>
        <v/>
      </c>
      <c r="AA609" s="369" t="str">
        <f t="shared" ca="1" si="285"/>
        <v/>
      </c>
      <c r="AB609" s="344"/>
      <c r="AC609" s="363" t="e">
        <f t="shared" ca="1" si="286"/>
        <v>#N/A</v>
      </c>
      <c r="AD609" s="376" t="e">
        <f t="shared" ca="1" si="287"/>
        <v>#N/A</v>
      </c>
      <c r="AE609" s="377" t="e">
        <f t="shared" ca="1" si="266"/>
        <v>#N/A</v>
      </c>
      <c r="AF609" s="344"/>
      <c r="AG609" s="359">
        <f t="shared" ca="1" si="288"/>
        <v>7.3625531958554911</v>
      </c>
      <c r="AH609" s="357">
        <f t="shared" ca="1" si="289"/>
        <v>-1.8530359575442372</v>
      </c>
    </row>
    <row r="610" spans="1:34" x14ac:dyDescent="0.2">
      <c r="A610" s="402">
        <f t="shared" ca="1" si="267"/>
        <v>0.1</v>
      </c>
      <c r="B610" s="357">
        <f t="shared" ca="1" si="268"/>
        <v>24.600000000000037</v>
      </c>
      <c r="C610" s="342"/>
      <c r="D610" s="359">
        <f t="shared" ca="1" si="269"/>
        <v>-0.64044667064812144</v>
      </c>
      <c r="E610" s="360">
        <f t="shared" ca="1" si="270"/>
        <v>-8.0297947875018814</v>
      </c>
      <c r="F610" s="357">
        <f t="shared" ca="1" si="271"/>
        <v>8.0552949211892084</v>
      </c>
      <c r="G610" s="359">
        <f t="shared" ca="1" si="272"/>
        <v>24.928736105726376</v>
      </c>
      <c r="H610" s="360">
        <f t="shared" ca="1" si="273"/>
        <v>-70.273679609832456</v>
      </c>
      <c r="I610" s="357">
        <f t="shared" ca="1" si="274"/>
        <v>74.564280521804321</v>
      </c>
      <c r="J610" s="359">
        <f t="shared" ca="1" si="275"/>
        <v>730.35064671965256</v>
      </c>
      <c r="K610" s="360">
        <f t="shared" ca="1" si="276"/>
        <v>1111.148906531695</v>
      </c>
      <c r="L610" s="357">
        <f t="shared" ca="1" si="261"/>
        <v>1329.6856619706766</v>
      </c>
      <c r="M610" s="359">
        <f t="shared" ca="1" si="277"/>
        <v>-1.229906930282797</v>
      </c>
      <c r="N610" s="357">
        <f t="shared" ca="1" si="278"/>
        <v>-70.468476299095045</v>
      </c>
      <c r="O610" s="343"/>
      <c r="P610" s="363">
        <f t="shared" ca="1" si="279"/>
        <v>23</v>
      </c>
      <c r="Q610" s="357">
        <f t="shared" ca="1" si="280"/>
        <v>0</v>
      </c>
      <c r="R610" s="359">
        <f t="shared" ca="1" si="281"/>
        <v>0</v>
      </c>
      <c r="S610" s="360">
        <f t="shared" ca="1" si="282"/>
        <v>8.3819999999999997</v>
      </c>
      <c r="T610" s="357">
        <f t="shared" ca="1" si="262"/>
        <v>82.227419999999995</v>
      </c>
      <c r="U610" s="364">
        <f t="shared" ca="1" si="263"/>
        <v>0</v>
      </c>
      <c r="V610" s="359">
        <f t="shared" ca="1" si="264"/>
        <v>1.0960484761840517</v>
      </c>
      <c r="W610" s="357">
        <f t="shared" ca="1" si="265"/>
        <v>16.18643834825944</v>
      </c>
      <c r="X610" s="343"/>
      <c r="Y610" s="367" t="str">
        <f t="shared" ca="1" si="283"/>
        <v/>
      </c>
      <c r="Z610" s="368" t="str">
        <f t="shared" ca="1" si="284"/>
        <v/>
      </c>
      <c r="AA610" s="369" t="str">
        <f t="shared" ca="1" si="285"/>
        <v/>
      </c>
      <c r="AB610" s="344"/>
      <c r="AC610" s="363" t="e">
        <f t="shared" ca="1" si="286"/>
        <v>#N/A</v>
      </c>
      <c r="AD610" s="376" t="e">
        <f t="shared" ca="1" si="287"/>
        <v>#N/A</v>
      </c>
      <c r="AE610" s="377" t="e">
        <f t="shared" ca="1" si="266"/>
        <v>#N/A</v>
      </c>
      <c r="AF610" s="344"/>
      <c r="AG610" s="359">
        <f t="shared" ca="1" si="288"/>
        <v>7.3389067963625454</v>
      </c>
      <c r="AH610" s="357">
        <f t="shared" ca="1" si="289"/>
        <v>-1.8919044734208268</v>
      </c>
    </row>
    <row r="611" spans="1:34" x14ac:dyDescent="0.2">
      <c r="A611" s="402">
        <f t="shared" ca="1" si="267"/>
        <v>0.1</v>
      </c>
      <c r="B611" s="357">
        <f t="shared" ca="1" si="268"/>
        <v>24.700000000000038</v>
      </c>
      <c r="C611" s="342"/>
      <c r="D611" s="359">
        <f t="shared" ca="1" si="269"/>
        <v>-0.64561419337076154</v>
      </c>
      <c r="E611" s="360">
        <f t="shared" ca="1" si="270"/>
        <v>-7.9900246597309259</v>
      </c>
      <c r="F611" s="357">
        <f t="shared" ca="1" si="271"/>
        <v>8.0160658523860739</v>
      </c>
      <c r="G611" s="359">
        <f t="shared" ca="1" si="272"/>
        <v>24.864174686389301</v>
      </c>
      <c r="H611" s="360">
        <f t="shared" ca="1" si="273"/>
        <v>-71.072682075805545</v>
      </c>
      <c r="I611" s="357">
        <f t="shared" ca="1" si="274"/>
        <v>75.296436305337934</v>
      </c>
      <c r="J611" s="359">
        <f t="shared" ca="1" si="275"/>
        <v>732.84029225925838</v>
      </c>
      <c r="K611" s="360">
        <f t="shared" ca="1" si="276"/>
        <v>1104.0815884474132</v>
      </c>
      <c r="L611" s="357">
        <f t="shared" ca="1" si="261"/>
        <v>1325.1607630424312</v>
      </c>
      <c r="M611" s="359">
        <f t="shared" ca="1" si="277"/>
        <v>-1.2342627047738362</v>
      </c>
      <c r="N611" s="357">
        <f t="shared" ca="1" si="278"/>
        <v>-70.718043793942343</v>
      </c>
      <c r="O611" s="343"/>
      <c r="P611" s="363">
        <f t="shared" ca="1" si="279"/>
        <v>23</v>
      </c>
      <c r="Q611" s="357">
        <f t="shared" ca="1" si="280"/>
        <v>0</v>
      </c>
      <c r="R611" s="359">
        <f t="shared" ca="1" si="281"/>
        <v>0</v>
      </c>
      <c r="S611" s="360">
        <f t="shared" ca="1" si="282"/>
        <v>8.3819999999999997</v>
      </c>
      <c r="T611" s="357">
        <f t="shared" ca="1" si="262"/>
        <v>82.227419999999995</v>
      </c>
      <c r="U611" s="364">
        <f t="shared" ca="1" si="263"/>
        <v>0</v>
      </c>
      <c r="V611" s="359">
        <f t="shared" ca="1" si="264"/>
        <v>1.0968257470546878</v>
      </c>
      <c r="W611" s="357">
        <f t="shared" ca="1" si="265"/>
        <v>16.517577460306484</v>
      </c>
      <c r="X611" s="343"/>
      <c r="Y611" s="367" t="str">
        <f t="shared" ca="1" si="283"/>
        <v/>
      </c>
      <c r="Z611" s="368" t="str">
        <f t="shared" ca="1" si="284"/>
        <v/>
      </c>
      <c r="AA611" s="369" t="str">
        <f t="shared" ca="1" si="285"/>
        <v/>
      </c>
      <c r="AB611" s="344"/>
      <c r="AC611" s="363" t="e">
        <f t="shared" ca="1" si="286"/>
        <v>#N/A</v>
      </c>
      <c r="AD611" s="376" t="e">
        <f t="shared" ca="1" si="287"/>
        <v>#N/A</v>
      </c>
      <c r="AE611" s="377" t="e">
        <f t="shared" ca="1" si="266"/>
        <v>#N/A</v>
      </c>
      <c r="AF611" s="344"/>
      <c r="AG611" s="359">
        <f t="shared" ca="1" si="288"/>
        <v>7.3144149362569744</v>
      </c>
      <c r="AH611" s="357">
        <f t="shared" ca="1" si="289"/>
        <v>-1.9310950069505417</v>
      </c>
    </row>
    <row r="612" spans="1:34" x14ac:dyDescent="0.2">
      <c r="A612" s="402">
        <f t="shared" ca="1" si="267"/>
        <v>0.1</v>
      </c>
      <c r="B612" s="357">
        <f t="shared" ca="1" si="268"/>
        <v>24.80000000000004</v>
      </c>
      <c r="C612" s="342"/>
      <c r="D612" s="359">
        <f t="shared" ca="1" si="269"/>
        <v>-0.6507262434239669</v>
      </c>
      <c r="E612" s="360">
        <f t="shared" ca="1" si="270"/>
        <v>-7.9499398934173531</v>
      </c>
      <c r="F612" s="357">
        <f t="shared" ca="1" si="271"/>
        <v>7.9765273742919849</v>
      </c>
      <c r="G612" s="359">
        <f t="shared" ca="1" si="272"/>
        <v>24.799102062046906</v>
      </c>
      <c r="H612" s="360">
        <f t="shared" ca="1" si="273"/>
        <v>-71.867676065147279</v>
      </c>
      <c r="I612" s="357">
        <f t="shared" ca="1" si="274"/>
        <v>76.026037158915244</v>
      </c>
      <c r="J612" s="359">
        <f t="shared" ca="1" si="275"/>
        <v>735.32345609668016</v>
      </c>
      <c r="K612" s="360">
        <f t="shared" ca="1" si="276"/>
        <v>1096.9345705403655</v>
      </c>
      <c r="L612" s="357">
        <f t="shared" ca="1" si="261"/>
        <v>1320.5930626550112</v>
      </c>
      <c r="M612" s="359">
        <f t="shared" ca="1" si="277"/>
        <v>-1.2385236661181185</v>
      </c>
      <c r="N612" s="357">
        <f t="shared" ca="1" si="278"/>
        <v>-70.962178895638104</v>
      </c>
      <c r="O612" s="343"/>
      <c r="P612" s="363">
        <f t="shared" ca="1" si="279"/>
        <v>23</v>
      </c>
      <c r="Q612" s="357">
        <f t="shared" ca="1" si="280"/>
        <v>0</v>
      </c>
      <c r="R612" s="359">
        <f t="shared" ca="1" si="281"/>
        <v>0</v>
      </c>
      <c r="S612" s="360">
        <f t="shared" ca="1" si="282"/>
        <v>8.3819999999999997</v>
      </c>
      <c r="T612" s="357">
        <f t="shared" ca="1" si="262"/>
        <v>82.227419999999995</v>
      </c>
      <c r="U612" s="364">
        <f t="shared" ca="1" si="263"/>
        <v>0</v>
      </c>
      <c r="V612" s="359">
        <f t="shared" ca="1" si="264"/>
        <v>1.0976123129956195</v>
      </c>
      <c r="W612" s="357">
        <f t="shared" ca="1" si="265"/>
        <v>16.851305378573166</v>
      </c>
      <c r="X612" s="343"/>
      <c r="Y612" s="367" t="str">
        <f t="shared" ca="1" si="283"/>
        <v/>
      </c>
      <c r="Z612" s="368" t="str">
        <f t="shared" ca="1" si="284"/>
        <v/>
      </c>
      <c r="AA612" s="369" t="str">
        <f t="shared" ca="1" si="285"/>
        <v/>
      </c>
      <c r="AB612" s="344"/>
      <c r="AC612" s="363" t="e">
        <f t="shared" ca="1" si="286"/>
        <v>#N/A</v>
      </c>
      <c r="AD612" s="376" t="e">
        <f t="shared" ca="1" si="287"/>
        <v>#N/A</v>
      </c>
      <c r="AE612" s="377" t="e">
        <f t="shared" ca="1" si="266"/>
        <v>#N/A</v>
      </c>
      <c r="AF612" s="344"/>
      <c r="AG612" s="359">
        <f t="shared" ca="1" si="288"/>
        <v>7.2891069817894518</v>
      </c>
      <c r="AH612" s="357">
        <f t="shared" ca="1" si="289"/>
        <v>-1.9706009854815658</v>
      </c>
    </row>
    <row r="613" spans="1:34" x14ac:dyDescent="0.2">
      <c r="A613" s="402">
        <f t="shared" ca="1" si="267"/>
        <v>0.1</v>
      </c>
      <c r="B613" s="357">
        <f t="shared" ca="1" si="268"/>
        <v>24.900000000000041</v>
      </c>
      <c r="C613" s="342"/>
      <c r="D613" s="359">
        <f t="shared" ca="1" si="269"/>
        <v>-0.65578200439594558</v>
      </c>
      <c r="E613" s="360">
        <f t="shared" ca="1" si="270"/>
        <v>-7.9095469697506164</v>
      </c>
      <c r="F613" s="357">
        <f t="shared" ca="1" si="271"/>
        <v>7.936685914409157</v>
      </c>
      <c r="G613" s="359">
        <f t="shared" ca="1" si="272"/>
        <v>24.73352386160731</v>
      </c>
      <c r="H613" s="360">
        <f t="shared" ca="1" si="273"/>
        <v>-72.658630762122343</v>
      </c>
      <c r="I613" s="357">
        <f t="shared" ca="1" si="274"/>
        <v>76.753005327733774</v>
      </c>
      <c r="J613" s="359">
        <f t="shared" ca="1" si="275"/>
        <v>737.80008739286291</v>
      </c>
      <c r="K613" s="360">
        <f t="shared" ca="1" si="276"/>
        <v>1089.708255199002</v>
      </c>
      <c r="L613" s="357">
        <f t="shared" ca="1" si="261"/>
        <v>1315.9836816639367</v>
      </c>
      <c r="M613" s="359">
        <f t="shared" ca="1" si="277"/>
        <v>-1.2426928253107283</v>
      </c>
      <c r="N613" s="357">
        <f t="shared" ca="1" si="278"/>
        <v>-71.201054121492817</v>
      </c>
      <c r="O613" s="343"/>
      <c r="P613" s="363">
        <f t="shared" ca="1" si="279"/>
        <v>23</v>
      </c>
      <c r="Q613" s="357">
        <f t="shared" ca="1" si="280"/>
        <v>0</v>
      </c>
      <c r="R613" s="359">
        <f t="shared" ca="1" si="281"/>
        <v>0</v>
      </c>
      <c r="S613" s="360">
        <f t="shared" ca="1" si="282"/>
        <v>8.3819999999999997</v>
      </c>
      <c r="T613" s="357">
        <f t="shared" ca="1" si="262"/>
        <v>82.227419999999995</v>
      </c>
      <c r="U613" s="364">
        <f t="shared" ca="1" si="263"/>
        <v>0</v>
      </c>
      <c r="V613" s="359">
        <f t="shared" ca="1" si="264"/>
        <v>1.0984081480439918</v>
      </c>
      <c r="W613" s="357">
        <f t="shared" ca="1" si="265"/>
        <v>17.187566703626359</v>
      </c>
      <c r="X613" s="343"/>
      <c r="Y613" s="367" t="str">
        <f t="shared" ca="1" si="283"/>
        <v/>
      </c>
      <c r="Z613" s="368" t="str">
        <f t="shared" ca="1" si="284"/>
        <v/>
      </c>
      <c r="AA613" s="369" t="str">
        <f t="shared" ca="1" si="285"/>
        <v/>
      </c>
      <c r="AB613" s="344"/>
      <c r="AC613" s="363" t="e">
        <f t="shared" ca="1" si="286"/>
        <v>#N/A</v>
      </c>
      <c r="AD613" s="376" t="e">
        <f t="shared" ca="1" si="287"/>
        <v>#N/A</v>
      </c>
      <c r="AE613" s="377" t="e">
        <f t="shared" ca="1" si="266"/>
        <v>#N/A</v>
      </c>
      <c r="AF613" s="344"/>
      <c r="AG613" s="359">
        <f t="shared" ca="1" si="288"/>
        <v>7.2630111369928754</v>
      </c>
      <c r="AH613" s="357">
        <f t="shared" ca="1" si="289"/>
        <v>-2.010415817057166</v>
      </c>
    </row>
    <row r="614" spans="1:34" x14ac:dyDescent="0.2">
      <c r="A614" s="402">
        <f t="shared" ca="1" si="267"/>
        <v>0.1</v>
      </c>
      <c r="B614" s="357">
        <f t="shared" ca="1" si="268"/>
        <v>25.000000000000043</v>
      </c>
      <c r="C614" s="342"/>
      <c r="D614" s="359">
        <f t="shared" ca="1" si="269"/>
        <v>-0.66078069523450877</v>
      </c>
      <c r="E614" s="360">
        <f t="shared" ca="1" si="270"/>
        <v>-7.8688523973202003</v>
      </c>
      <c r="F614" s="357">
        <f t="shared" ca="1" si="271"/>
        <v>7.8965479279243578</v>
      </c>
      <c r="G614" s="359">
        <f t="shared" ca="1" si="272"/>
        <v>24.667445792083861</v>
      </c>
      <c r="H614" s="360">
        <f t="shared" ca="1" si="273"/>
        <v>-73.445516001854358</v>
      </c>
      <c r="I614" s="357">
        <f t="shared" ca="1" si="274"/>
        <v>77.477265715073088</v>
      </c>
      <c r="J614" s="359">
        <f t="shared" ca="1" si="275"/>
        <v>740.27013587554745</v>
      </c>
      <c r="K614" s="360">
        <f t="shared" ca="1" si="276"/>
        <v>1082.4030478608031</v>
      </c>
      <c r="L614" s="357">
        <f t="shared" ca="1" si="261"/>
        <v>1311.3337607518374</v>
      </c>
      <c r="M614" s="359">
        <f t="shared" ca="1" si="277"/>
        <v>-1.2467730730553781</v>
      </c>
      <c r="N614" s="357">
        <f t="shared" ca="1" si="278"/>
        <v>-71.43483509662903</v>
      </c>
      <c r="O614" s="343"/>
      <c r="P614" s="363">
        <f t="shared" ca="1" si="279"/>
        <v>23</v>
      </c>
      <c r="Q614" s="357">
        <f t="shared" ca="1" si="280"/>
        <v>0</v>
      </c>
      <c r="R614" s="359">
        <f t="shared" ca="1" si="281"/>
        <v>0</v>
      </c>
      <c r="S614" s="360">
        <f t="shared" ca="1" si="282"/>
        <v>8.3819999999999997</v>
      </c>
      <c r="T614" s="357">
        <f t="shared" ca="1" si="262"/>
        <v>82.227419999999995</v>
      </c>
      <c r="U614" s="364">
        <f t="shared" ca="1" si="263"/>
        <v>0</v>
      </c>
      <c r="V614" s="359">
        <f t="shared" ca="1" si="264"/>
        <v>1.0992132260141925</v>
      </c>
      <c r="W614" s="357">
        <f t="shared" ca="1" si="265"/>
        <v>17.526305906492325</v>
      </c>
      <c r="X614" s="343"/>
      <c r="Y614" s="367" t="str">
        <f t="shared" ca="1" si="283"/>
        <v/>
      </c>
      <c r="Z614" s="368" t="str">
        <f t="shared" ca="1" si="284"/>
        <v/>
      </c>
      <c r="AA614" s="369" t="str">
        <f t="shared" ca="1" si="285"/>
        <v/>
      </c>
      <c r="AB614" s="344"/>
      <c r="AC614" s="363">
        <f t="shared" ca="1" si="286"/>
        <v>25.000000000000043</v>
      </c>
      <c r="AD614" s="376">
        <f t="shared" ca="1" si="287"/>
        <v>740.27013587554745</v>
      </c>
      <c r="AE614" s="377" t="e">
        <f t="shared" ca="1" si="266"/>
        <v>#N/A</v>
      </c>
      <c r="AF614" s="344"/>
      <c r="AG614" s="359">
        <f t="shared" ca="1" si="288"/>
        <v>7.2361545113982855</v>
      </c>
      <c r="AH614" s="357">
        <f t="shared" ca="1" si="289"/>
        <v>-2.0505328923438748</v>
      </c>
    </row>
    <row r="615" spans="1:34" x14ac:dyDescent="0.2">
      <c r="A615" s="402">
        <f t="shared" ca="1" si="267"/>
        <v>0.1</v>
      </c>
      <c r="B615" s="357">
        <f t="shared" ca="1" si="268"/>
        <v>25.100000000000044</v>
      </c>
      <c r="C615" s="342"/>
      <c r="D615" s="359">
        <f t="shared" ca="1" si="269"/>
        <v>-0.66572156921735048</v>
      </c>
      <c r="E615" s="360">
        <f t="shared" ca="1" si="270"/>
        <v>-7.8278627095463866</v>
      </c>
      <c r="F615" s="357">
        <f t="shared" ca="1" si="271"/>
        <v>7.856119895166322</v>
      </c>
      <c r="G615" s="359">
        <f t="shared" ca="1" si="272"/>
        <v>24.600873635162124</v>
      </c>
      <c r="H615" s="360">
        <f t="shared" ca="1" si="273"/>
        <v>-74.228302272809003</v>
      </c>
      <c r="I615" s="357">
        <f t="shared" ca="1" si="274"/>
        <v>78.198745782248437</v>
      </c>
      <c r="J615" s="359">
        <f t="shared" ca="1" si="275"/>
        <v>742.73355184690979</v>
      </c>
      <c r="K615" s="360">
        <f t="shared" ca="1" si="276"/>
        <v>1075.01935694707</v>
      </c>
      <c r="L615" s="357">
        <f t="shared" ca="1" si="261"/>
        <v>1306.6444607658268</v>
      </c>
      <c r="M615" s="359">
        <f t="shared" ca="1" si="277"/>
        <v>-1.2507671853564648</v>
      </c>
      <c r="N615" s="357">
        <f t="shared" ca="1" si="278"/>
        <v>-71.663680874382578</v>
      </c>
      <c r="O615" s="343"/>
      <c r="P615" s="363">
        <f t="shared" ca="1" si="279"/>
        <v>23</v>
      </c>
      <c r="Q615" s="357">
        <f t="shared" ca="1" si="280"/>
        <v>0</v>
      </c>
      <c r="R615" s="359">
        <f t="shared" ca="1" si="281"/>
        <v>0</v>
      </c>
      <c r="S615" s="360">
        <f t="shared" ca="1" si="282"/>
        <v>8.3819999999999997</v>
      </c>
      <c r="T615" s="357">
        <f t="shared" ca="1" si="262"/>
        <v>82.227419999999995</v>
      </c>
      <c r="U615" s="364">
        <f t="shared" ca="1" si="263"/>
        <v>0</v>
      </c>
      <c r="V615" s="359">
        <f t="shared" ca="1" si="264"/>
        <v>1.1000275205013217</v>
      </c>
      <c r="W615" s="357">
        <f t="shared" ca="1" si="265"/>
        <v>17.867467344708356</v>
      </c>
      <c r="X615" s="343"/>
      <c r="Y615" s="367" t="str">
        <f t="shared" ca="1" si="283"/>
        <v/>
      </c>
      <c r="Z615" s="368" t="str">
        <f t="shared" ca="1" si="284"/>
        <v/>
      </c>
      <c r="AA615" s="369" t="str">
        <f t="shared" ca="1" si="285"/>
        <v/>
      </c>
      <c r="AB615" s="344"/>
      <c r="AC615" s="363" t="e">
        <f t="shared" ca="1" si="286"/>
        <v>#N/A</v>
      </c>
      <c r="AD615" s="376" t="e">
        <f t="shared" ca="1" si="287"/>
        <v>#N/A</v>
      </c>
      <c r="AE615" s="377" t="e">
        <f t="shared" ca="1" si="266"/>
        <v>#N/A</v>
      </c>
      <c r="AF615" s="344"/>
      <c r="AG615" s="359">
        <f t="shared" ca="1" si="288"/>
        <v>7.2085631832559978</v>
      </c>
      <c r="AH615" s="357">
        <f t="shared" ca="1" si="289"/>
        <v>-2.0909455865536062</v>
      </c>
    </row>
    <row r="616" spans="1:34" x14ac:dyDescent="0.2">
      <c r="A616" s="402">
        <f t="shared" ca="1" si="267"/>
        <v>0.1</v>
      </c>
      <c r="B616" s="357">
        <f t="shared" ca="1" si="268"/>
        <v>25.200000000000045</v>
      </c>
      <c r="C616" s="342"/>
      <c r="D616" s="359">
        <f t="shared" ca="1" si="269"/>
        <v>-0.67060391297641864</v>
      </c>
      <c r="E616" s="360">
        <f t="shared" ca="1" si="270"/>
        <v>-7.786584462163388</v>
      </c>
      <c r="F616" s="357">
        <f t="shared" ca="1" si="271"/>
        <v>7.8154083191157442</v>
      </c>
      <c r="G616" s="359">
        <f t="shared" ca="1" si="272"/>
        <v>24.533813243864483</v>
      </c>
      <c r="H616" s="360">
        <f t="shared" ca="1" si="273"/>
        <v>-75.006960719025344</v>
      </c>
      <c r="I616" s="357">
        <f t="shared" ca="1" si="274"/>
        <v>78.917375454270086</v>
      </c>
      <c r="J616" s="359">
        <f t="shared" ca="1" si="275"/>
        <v>745.19028619086112</v>
      </c>
      <c r="K616" s="360">
        <f t="shared" ca="1" si="276"/>
        <v>1067.5575937974784</v>
      </c>
      <c r="L616" s="357">
        <f t="shared" ca="1" si="261"/>
        <v>1301.9169630617305</v>
      </c>
      <c r="M616" s="359">
        <f t="shared" ca="1" si="277"/>
        <v>-1.2546778288260949</v>
      </c>
      <c r="N616" s="357">
        <f t="shared" ca="1" si="278"/>
        <v>-71.887744240372783</v>
      </c>
      <c r="O616" s="343"/>
      <c r="P616" s="363">
        <f t="shared" ca="1" si="279"/>
        <v>23</v>
      </c>
      <c r="Q616" s="357">
        <f t="shared" ca="1" si="280"/>
        <v>0</v>
      </c>
      <c r="R616" s="359">
        <f t="shared" ca="1" si="281"/>
        <v>0</v>
      </c>
      <c r="S616" s="360">
        <f t="shared" ca="1" si="282"/>
        <v>8.3819999999999997</v>
      </c>
      <c r="T616" s="357">
        <f t="shared" ca="1" si="262"/>
        <v>82.227419999999995</v>
      </c>
      <c r="U616" s="364">
        <f t="shared" ca="1" si="263"/>
        <v>0</v>
      </c>
      <c r="V616" s="359">
        <f t="shared" ca="1" si="264"/>
        <v>1.1008510048846925</v>
      </c>
      <c r="W616" s="357">
        <f t="shared" ca="1" si="265"/>
        <v>18.210995278306516</v>
      </c>
      <c r="X616" s="343"/>
      <c r="Y616" s="367" t="str">
        <f t="shared" ca="1" si="283"/>
        <v/>
      </c>
      <c r="Z616" s="368" t="str">
        <f t="shared" ca="1" si="284"/>
        <v/>
      </c>
      <c r="AA616" s="369" t="str">
        <f t="shared" ca="1" si="285"/>
        <v/>
      </c>
      <c r="AB616" s="344"/>
      <c r="AC616" s="363" t="e">
        <f t="shared" ca="1" si="286"/>
        <v>#N/A</v>
      </c>
      <c r="AD616" s="376" t="e">
        <f t="shared" ca="1" si="287"/>
        <v>#N/A</v>
      </c>
      <c r="AE616" s="377" t="e">
        <f t="shared" ca="1" si="266"/>
        <v>#N/A</v>
      </c>
      <c r="AF616" s="344"/>
      <c r="AG616" s="359">
        <f t="shared" ca="1" si="288"/>
        <v>7.1802622585707079</v>
      </c>
      <c r="AH616" s="357">
        <f t="shared" ca="1" si="289"/>
        <v>-2.1316472613586681</v>
      </c>
    </row>
    <row r="617" spans="1:34" x14ac:dyDescent="0.2">
      <c r="A617" s="402">
        <f t="shared" ca="1" si="267"/>
        <v>0.1</v>
      </c>
      <c r="B617" s="357">
        <f t="shared" ca="1" si="268"/>
        <v>25.300000000000047</v>
      </c>
      <c r="C617" s="342"/>
      <c r="D617" s="359">
        <f t="shared" ca="1" si="269"/>
        <v>-0.67542704557257716</v>
      </c>
      <c r="E617" s="360">
        <f t="shared" ca="1" si="270"/>
        <v>-7.7450242307522528</v>
      </c>
      <c r="F617" s="357">
        <f t="shared" ca="1" si="271"/>
        <v>7.7744197229652086</v>
      </c>
      <c r="G617" s="359">
        <f t="shared" ca="1" si="272"/>
        <v>24.466270539307224</v>
      </c>
      <c r="H617" s="360">
        <f t="shared" ca="1" si="273"/>
        <v>-75.781463142100563</v>
      </c>
      <c r="I617" s="357">
        <f t="shared" ca="1" si="274"/>
        <v>79.633087030832343</v>
      </c>
      <c r="J617" s="359">
        <f t="shared" ca="1" si="275"/>
        <v>747.64029038001968</v>
      </c>
      <c r="K617" s="360">
        <f t="shared" ca="1" si="276"/>
        <v>1060.018172604422</v>
      </c>
      <c r="L617" s="357">
        <f t="shared" ca="1" si="261"/>
        <v>1297.1524698550816</v>
      </c>
      <c r="M617" s="359">
        <f t="shared" ca="1" si="277"/>
        <v>-1.2585075657209206</v>
      </c>
      <c r="N617" s="357">
        <f t="shared" ca="1" si="278"/>
        <v>-72.107172001091826</v>
      </c>
      <c r="O617" s="343"/>
      <c r="P617" s="363">
        <f t="shared" ca="1" si="279"/>
        <v>23</v>
      </c>
      <c r="Q617" s="357">
        <f t="shared" ca="1" si="280"/>
        <v>0</v>
      </c>
      <c r="R617" s="359">
        <f t="shared" ca="1" si="281"/>
        <v>0</v>
      </c>
      <c r="S617" s="360">
        <f t="shared" ca="1" si="282"/>
        <v>8.3819999999999997</v>
      </c>
      <c r="T617" s="357">
        <f t="shared" ca="1" si="262"/>
        <v>82.227419999999995</v>
      </c>
      <c r="U617" s="364">
        <f t="shared" ca="1" si="263"/>
        <v>0</v>
      </c>
      <c r="V617" s="359">
        <f t="shared" ca="1" si="264"/>
        <v>1.1016836523313567</v>
      </c>
      <c r="W617" s="357">
        <f t="shared" ca="1" si="265"/>
        <v>18.556833885721463</v>
      </c>
      <c r="X617" s="343"/>
      <c r="Y617" s="367" t="str">
        <f t="shared" ca="1" si="283"/>
        <v/>
      </c>
      <c r="Z617" s="368" t="str">
        <f t="shared" ca="1" si="284"/>
        <v/>
      </c>
      <c r="AA617" s="369" t="str">
        <f t="shared" ca="1" si="285"/>
        <v/>
      </c>
      <c r="AB617" s="344"/>
      <c r="AC617" s="363" t="e">
        <f t="shared" ca="1" si="286"/>
        <v>#N/A</v>
      </c>
      <c r="AD617" s="376" t="e">
        <f t="shared" ca="1" si="287"/>
        <v>#N/A</v>
      </c>
      <c r="AE617" s="377" t="e">
        <f t="shared" ca="1" si="266"/>
        <v>#N/A</v>
      </c>
      <c r="AF617" s="344"/>
      <c r="AG617" s="359">
        <f t="shared" ca="1" si="288"/>
        <v>7.1512759262379184</v>
      </c>
      <c r="AH617" s="357">
        <f t="shared" ca="1" si="289"/>
        <v>-2.1726312667986778</v>
      </c>
    </row>
    <row r="618" spans="1:34" x14ac:dyDescent="0.2">
      <c r="A618" s="402">
        <f t="shared" ca="1" si="267"/>
        <v>0.1</v>
      </c>
      <c r="B618" s="357">
        <f t="shared" ca="1" si="268"/>
        <v>25.400000000000048</v>
      </c>
      <c r="C618" s="342"/>
      <c r="D618" s="359">
        <f t="shared" ca="1" si="269"/>
        <v>-0.68019031761701298</v>
      </c>
      <c r="E618" s="360">
        <f t="shared" ca="1" si="270"/>
        <v>-7.7031886083212218</v>
      </c>
      <c r="F618" s="357">
        <f t="shared" ca="1" si="271"/>
        <v>7.7331606477267609</v>
      </c>
      <c r="G618" s="359">
        <f t="shared" ca="1" si="272"/>
        <v>24.398251507545524</v>
      </c>
      <c r="H618" s="360">
        <f t="shared" ca="1" si="273"/>
        <v>-76.551782002932683</v>
      </c>
      <c r="I618" s="357">
        <f t="shared" ca="1" si="274"/>
        <v>80.345815102281307</v>
      </c>
      <c r="J618" s="359">
        <f t="shared" ca="1" si="275"/>
        <v>750.08351648236237</v>
      </c>
      <c r="K618" s="360">
        <f t="shared" ca="1" si="276"/>
        <v>1052.4015103471704</v>
      </c>
      <c r="L618" s="357">
        <f t="shared" ca="1" si="261"/>
        <v>1292.3522045787486</v>
      </c>
      <c r="M618" s="359">
        <f t="shared" ca="1" si="277"/>
        <v>-1.2622588587229402</v>
      </c>
      <c r="N618" s="357">
        <f t="shared" ca="1" si="278"/>
        <v>-72.322105257824518</v>
      </c>
      <c r="O618" s="343"/>
      <c r="P618" s="363">
        <f t="shared" ca="1" si="279"/>
        <v>23</v>
      </c>
      <c r="Q618" s="357">
        <f t="shared" ca="1" si="280"/>
        <v>0</v>
      </c>
      <c r="R618" s="359">
        <f t="shared" ca="1" si="281"/>
        <v>0</v>
      </c>
      <c r="S618" s="360">
        <f t="shared" ca="1" si="282"/>
        <v>8.3819999999999997</v>
      </c>
      <c r="T618" s="357">
        <f t="shared" ca="1" si="262"/>
        <v>82.227419999999995</v>
      </c>
      <c r="U618" s="364">
        <f t="shared" ca="1" si="263"/>
        <v>0</v>
      </c>
      <c r="V618" s="359">
        <f t="shared" ca="1" si="264"/>
        <v>1.1025254357996495</v>
      </c>
      <c r="W618" s="357">
        <f t="shared" ca="1" si="265"/>
        <v>18.904927279613958</v>
      </c>
      <c r="X618" s="343"/>
      <c r="Y618" s="367" t="str">
        <f t="shared" ca="1" si="283"/>
        <v/>
      </c>
      <c r="Z618" s="368" t="str">
        <f t="shared" ca="1" si="284"/>
        <v/>
      </c>
      <c r="AA618" s="369" t="str">
        <f t="shared" ca="1" si="285"/>
        <v/>
      </c>
      <c r="AB618" s="344"/>
      <c r="AC618" s="363" t="e">
        <f t="shared" ca="1" si="286"/>
        <v>#N/A</v>
      </c>
      <c r="AD618" s="376" t="e">
        <f t="shared" ca="1" si="287"/>
        <v>#N/A</v>
      </c>
      <c r="AE618" s="377" t="e">
        <f t="shared" ca="1" si="266"/>
        <v>#N/A</v>
      </c>
      <c r="AF618" s="344"/>
      <c r="AG618" s="359">
        <f t="shared" ca="1" si="288"/>
        <v>7.1216275095492909</v>
      </c>
      <c r="AH618" s="357">
        <f t="shared" ca="1" si="289"/>
        <v>-2.2138909431784137</v>
      </c>
    </row>
    <row r="619" spans="1:34" x14ac:dyDescent="0.2">
      <c r="A619" s="402">
        <f t="shared" ca="1" si="267"/>
        <v>0.1</v>
      </c>
      <c r="B619" s="357">
        <f t="shared" ca="1" si="268"/>
        <v>25.50000000000005</v>
      </c>
      <c r="C619" s="342"/>
      <c r="D619" s="359">
        <f t="shared" ca="1" si="269"/>
        <v>-0.68489311043609169</v>
      </c>
      <c r="E619" s="360">
        <f t="shared" ca="1" si="270"/>
        <v>-7.66108420293153</v>
      </c>
      <c r="F619" s="357">
        <f t="shared" ca="1" si="271"/>
        <v>7.6916376498850916</v>
      </c>
      <c r="G619" s="359">
        <f t="shared" ca="1" si="272"/>
        <v>24.329762196501914</v>
      </c>
      <c r="H619" s="360">
        <f t="shared" ca="1" si="273"/>
        <v>-77.317890423225833</v>
      </c>
      <c r="I619" s="357">
        <f t="shared" ca="1" si="274"/>
        <v>81.05549647023507</v>
      </c>
      <c r="J619" s="359">
        <f t="shared" ca="1" si="275"/>
        <v>752.5199171675647</v>
      </c>
      <c r="K619" s="360">
        <f t="shared" ca="1" si="276"/>
        <v>1044.7080267258625</v>
      </c>
      <c r="L619" s="357">
        <f t="shared" ca="1" si="261"/>
        <v>1287.5174122470437</v>
      </c>
      <c r="M619" s="359">
        <f t="shared" ca="1" si="277"/>
        <v>-1.2659340754777488</v>
      </c>
      <c r="N619" s="357">
        <f t="shared" ca="1" si="278"/>
        <v>-72.532679666670816</v>
      </c>
      <c r="O619" s="343"/>
      <c r="P619" s="363">
        <f t="shared" ca="1" si="279"/>
        <v>23</v>
      </c>
      <c r="Q619" s="357">
        <f t="shared" ca="1" si="280"/>
        <v>0</v>
      </c>
      <c r="R619" s="359">
        <f t="shared" ca="1" si="281"/>
        <v>0</v>
      </c>
      <c r="S619" s="360">
        <f t="shared" ca="1" si="282"/>
        <v>8.3819999999999997</v>
      </c>
      <c r="T619" s="357">
        <f t="shared" ca="1" si="262"/>
        <v>82.227419999999995</v>
      </c>
      <c r="U619" s="364">
        <f t="shared" ca="1" si="263"/>
        <v>0</v>
      </c>
      <c r="V619" s="359">
        <f t="shared" ca="1" si="264"/>
        <v>1.1033763280427618</v>
      </c>
      <c r="W619" s="357">
        <f t="shared" ca="1" si="265"/>
        <v>19.255219522602715</v>
      </c>
      <c r="X619" s="343"/>
      <c r="Y619" s="367" t="str">
        <f t="shared" ca="1" si="283"/>
        <v/>
      </c>
      <c r="Z619" s="368" t="str">
        <f t="shared" ca="1" si="284"/>
        <v/>
      </c>
      <c r="AA619" s="369" t="str">
        <f t="shared" ca="1" si="285"/>
        <v/>
      </c>
      <c r="AB619" s="344"/>
      <c r="AC619" s="363" t="e">
        <f t="shared" ca="1" si="286"/>
        <v>#N/A</v>
      </c>
      <c r="AD619" s="376" t="e">
        <f t="shared" ca="1" si="287"/>
        <v>#N/A</v>
      </c>
      <c r="AE619" s="377" t="e">
        <f t="shared" ca="1" si="266"/>
        <v>#N/A</v>
      </c>
      <c r="AF619" s="344"/>
      <c r="AG619" s="359">
        <f t="shared" ca="1" si="288"/>
        <v>7.0913395143158269</v>
      </c>
      <c r="AH619" s="357">
        <f t="shared" ca="1" si="289"/>
        <v>-2.255419622955614</v>
      </c>
    </row>
    <row r="620" spans="1:34" x14ac:dyDescent="0.2">
      <c r="A620" s="402">
        <f t="shared" ca="1" si="267"/>
        <v>0.1</v>
      </c>
      <c r="B620" s="357">
        <f t="shared" ca="1" si="268"/>
        <v>25.600000000000051</v>
      </c>
      <c r="C620" s="342"/>
      <c r="D620" s="359">
        <f t="shared" ca="1" si="269"/>
        <v>-0.68953483527661419</v>
      </c>
      <c r="E620" s="360">
        <f t="shared" ca="1" si="270"/>
        <v>-7.618717635366794</v>
      </c>
      <c r="F620" s="357">
        <f t="shared" ca="1" si="271"/>
        <v>7.64985729909447</v>
      </c>
      <c r="G620" s="359">
        <f t="shared" ca="1" si="272"/>
        <v>24.260808712974253</v>
      </c>
      <c r="H620" s="360">
        <f t="shared" ca="1" si="273"/>
        <v>-78.079762186762508</v>
      </c>
      <c r="I620" s="357">
        <f t="shared" ca="1" si="274"/>
        <v>81.762070072552078</v>
      </c>
      <c r="J620" s="359">
        <f t="shared" ca="1" si="275"/>
        <v>754.94944571303847</v>
      </c>
      <c r="K620" s="360">
        <f t="shared" ca="1" si="276"/>
        <v>1036.938144095363</v>
      </c>
      <c r="L620" s="357">
        <f t="shared" ca="1" si="261"/>
        <v>1282.6493598261218</v>
      </c>
      <c r="M620" s="359">
        <f t="shared" ca="1" si="277"/>
        <v>-1.2695354929030656</v>
      </c>
      <c r="N620" s="357">
        <f t="shared" ca="1" si="278"/>
        <v>-72.739025685406332</v>
      </c>
      <c r="O620" s="343"/>
      <c r="P620" s="363">
        <f t="shared" ca="1" si="279"/>
        <v>23</v>
      </c>
      <c r="Q620" s="357">
        <f t="shared" ca="1" si="280"/>
        <v>0</v>
      </c>
      <c r="R620" s="359">
        <f t="shared" ca="1" si="281"/>
        <v>0</v>
      </c>
      <c r="S620" s="360">
        <f t="shared" ca="1" si="282"/>
        <v>8.3819999999999997</v>
      </c>
      <c r="T620" s="357">
        <f t="shared" ca="1" si="262"/>
        <v>82.227419999999995</v>
      </c>
      <c r="U620" s="364">
        <f t="shared" ca="1" si="263"/>
        <v>0</v>
      </c>
      <c r="V620" s="359">
        <f t="shared" ca="1" si="264"/>
        <v>1.1042363016123284</v>
      </c>
      <c r="W620" s="357">
        <f t="shared" ca="1" si="265"/>
        <v>19.607654642896634</v>
      </c>
      <c r="X620" s="343"/>
      <c r="Y620" s="367" t="str">
        <f t="shared" ca="1" si="283"/>
        <v/>
      </c>
      <c r="Z620" s="368" t="str">
        <f t="shared" ca="1" si="284"/>
        <v/>
      </c>
      <c r="AA620" s="369" t="str">
        <f t="shared" ca="1" si="285"/>
        <v/>
      </c>
      <c r="AB620" s="344"/>
      <c r="AC620" s="363" t="e">
        <f t="shared" ca="1" si="286"/>
        <v>#N/A</v>
      </c>
      <c r="AD620" s="376" t="e">
        <f t="shared" ca="1" si="287"/>
        <v>#N/A</v>
      </c>
      <c r="AE620" s="377" t="e">
        <f t="shared" ca="1" si="266"/>
        <v>#N/A</v>
      </c>
      <c r="AF620" s="344"/>
      <c r="AG620" s="359">
        <f t="shared" ca="1" si="288"/>
        <v>7.0604336738404525</v>
      </c>
      <c r="AH620" s="357">
        <f t="shared" ca="1" si="289"/>
        <v>-2.2972106326178379</v>
      </c>
    </row>
    <row r="621" spans="1:34" x14ac:dyDescent="0.2">
      <c r="A621" s="402">
        <f t="shared" ca="1" si="267"/>
        <v>0.1</v>
      </c>
      <c r="B621" s="357">
        <f t="shared" ca="1" si="268"/>
        <v>25.700000000000053</v>
      </c>
      <c r="C621" s="342"/>
      <c r="D621" s="359">
        <f t="shared" ca="1" si="269"/>
        <v>-0.694114932548621</v>
      </c>
      <c r="E621" s="360">
        <f t="shared" ca="1" si="270"/>
        <v>-7.5760955368444183</v>
      </c>
      <c r="F621" s="357">
        <f t="shared" ca="1" si="271"/>
        <v>7.6078261759178547</v>
      </c>
      <c r="G621" s="359">
        <f t="shared" ca="1" si="272"/>
        <v>24.191397219719391</v>
      </c>
      <c r="H621" s="360">
        <f t="shared" ca="1" si="273"/>
        <v>-78.837371740446955</v>
      </c>
      <c r="I621" s="357">
        <f t="shared" ca="1" si="274"/>
        <v>82.465476912364196</v>
      </c>
      <c r="J621" s="359">
        <f t="shared" ca="1" si="275"/>
        <v>757.3720560096732</v>
      </c>
      <c r="K621" s="360">
        <f t="shared" ca="1" si="276"/>
        <v>1029.0922873990025</v>
      </c>
      <c r="L621" s="357">
        <f t="shared" ca="1" si="261"/>
        <v>1277.7493366104445</v>
      </c>
      <c r="M621" s="359">
        <f t="shared" ca="1" si="277"/>
        <v>-1.2730653012797306</v>
      </c>
      <c r="N621" s="357">
        <f t="shared" ca="1" si="278"/>
        <v>-72.941268807879169</v>
      </c>
      <c r="O621" s="343"/>
      <c r="P621" s="363">
        <f t="shared" ca="1" si="279"/>
        <v>23</v>
      </c>
      <c r="Q621" s="357">
        <f t="shared" ca="1" si="280"/>
        <v>0</v>
      </c>
      <c r="R621" s="359">
        <f t="shared" ca="1" si="281"/>
        <v>0</v>
      </c>
      <c r="S621" s="360">
        <f t="shared" ca="1" si="282"/>
        <v>8.3819999999999997</v>
      </c>
      <c r="T621" s="357">
        <f t="shared" ca="1" si="262"/>
        <v>82.227419999999995</v>
      </c>
      <c r="U621" s="364">
        <f t="shared" ca="1" si="263"/>
        <v>0</v>
      </c>
      <c r="V621" s="359">
        <f t="shared" ca="1" si="264"/>
        <v>1.105105328862038</v>
      </c>
      <c r="W621" s="357">
        <f t="shared" ca="1" si="265"/>
        <v>19.962176649820222</v>
      </c>
      <c r="X621" s="343"/>
      <c r="Y621" s="367" t="str">
        <f t="shared" ca="1" si="283"/>
        <v/>
      </c>
      <c r="Z621" s="368" t="str">
        <f t="shared" ca="1" si="284"/>
        <v/>
      </c>
      <c r="AA621" s="369" t="str">
        <f t="shared" ca="1" si="285"/>
        <v/>
      </c>
      <c r="AB621" s="344"/>
      <c r="AC621" s="363" t="e">
        <f t="shared" ca="1" si="286"/>
        <v>#N/A</v>
      </c>
      <c r="AD621" s="376" t="e">
        <f t="shared" ca="1" si="287"/>
        <v>#N/A</v>
      </c>
      <c r="AE621" s="377" t="e">
        <f t="shared" ca="1" si="266"/>
        <v>#N/A</v>
      </c>
      <c r="AF621" s="344"/>
      <c r="AG621" s="359">
        <f t="shared" ca="1" si="288"/>
        <v>7.028930990955347</v>
      </c>
      <c r="AH621" s="357">
        <f t="shared" ca="1" si="289"/>
        <v>-2.3392572945474392</v>
      </c>
    </row>
    <row r="622" spans="1:34" x14ac:dyDescent="0.2">
      <c r="A622" s="402">
        <f t="shared" ca="1" si="267"/>
        <v>0.1</v>
      </c>
      <c r="B622" s="357">
        <f t="shared" ca="1" si="268"/>
        <v>25.800000000000054</v>
      </c>
      <c r="C622" s="342"/>
      <c r="D622" s="359">
        <f t="shared" ca="1" si="269"/>
        <v>-0.69863287110311101</v>
      </c>
      <c r="E622" s="360">
        <f t="shared" ca="1" si="270"/>
        <v>-7.5332245467675971</v>
      </c>
      <c r="F622" s="357">
        <f t="shared" ca="1" si="271"/>
        <v>7.5655508696067626</v>
      </c>
      <c r="G622" s="359">
        <f t="shared" ca="1" si="272"/>
        <v>24.121533932609079</v>
      </c>
      <c r="H622" s="360">
        <f t="shared" ca="1" si="273"/>
        <v>-79.590694195123717</v>
      </c>
      <c r="I622" s="357">
        <f t="shared" ca="1" si="274"/>
        <v>83.165659990910385</v>
      </c>
      <c r="J622" s="359">
        <f t="shared" ca="1" si="275"/>
        <v>759.78770256728967</v>
      </c>
      <c r="K622" s="360">
        <f t="shared" ca="1" si="276"/>
        <v>1021.170884102224</v>
      </c>
      <c r="L622" s="357">
        <f t="shared" ca="1" si="261"/>
        <v>1272.8186546050456</v>
      </c>
      <c r="M622" s="359">
        <f t="shared" ca="1" si="277"/>
        <v>-1.276525608136744</v>
      </c>
      <c r="N622" s="357">
        <f t="shared" ca="1" si="278"/>
        <v>-73.139529786606204</v>
      </c>
      <c r="O622" s="343"/>
      <c r="P622" s="363">
        <f t="shared" ca="1" si="279"/>
        <v>23</v>
      </c>
      <c r="Q622" s="357">
        <f t="shared" ca="1" si="280"/>
        <v>0</v>
      </c>
      <c r="R622" s="359">
        <f t="shared" ca="1" si="281"/>
        <v>0</v>
      </c>
      <c r="S622" s="360">
        <f t="shared" ca="1" si="282"/>
        <v>8.3819999999999997</v>
      </c>
      <c r="T622" s="357">
        <f t="shared" ca="1" si="262"/>
        <v>82.227419999999995</v>
      </c>
      <c r="U622" s="364">
        <f t="shared" ca="1" si="263"/>
        <v>0</v>
      </c>
      <c r="V622" s="359">
        <f t="shared" ca="1" si="264"/>
        <v>1.1059833819512621</v>
      </c>
      <c r="W622" s="357">
        <f t="shared" ca="1" si="265"/>
        <v>20.31872954922499</v>
      </c>
      <c r="X622" s="343"/>
      <c r="Y622" s="367" t="str">
        <f t="shared" ca="1" si="283"/>
        <v/>
      </c>
      <c r="Z622" s="368" t="str">
        <f t="shared" ca="1" si="284"/>
        <v/>
      </c>
      <c r="AA622" s="369" t="str">
        <f t="shared" ca="1" si="285"/>
        <v/>
      </c>
      <c r="AB622" s="344"/>
      <c r="AC622" s="363" t="e">
        <f t="shared" ca="1" si="286"/>
        <v>#N/A</v>
      </c>
      <c r="AD622" s="376" t="e">
        <f t="shared" ca="1" si="287"/>
        <v>#N/A</v>
      </c>
      <c r="AE622" s="377" t="e">
        <f t="shared" ca="1" si="266"/>
        <v>#N/A</v>
      </c>
      <c r="AF622" s="344"/>
      <c r="AG622" s="359">
        <f t="shared" ca="1" si="288"/>
        <v>6.9968517773242649</v>
      </c>
      <c r="AH622" s="357">
        <f t="shared" ca="1" si="289"/>
        <v>-2.3815529288738038</v>
      </c>
    </row>
    <row r="623" spans="1:34" x14ac:dyDescent="0.2">
      <c r="A623" s="402">
        <f t="shared" ca="1" si="267"/>
        <v>0.1</v>
      </c>
      <c r="B623" s="357">
        <f t="shared" ca="1" si="268"/>
        <v>25.900000000000055</v>
      </c>
      <c r="C623" s="342"/>
      <c r="D623" s="359">
        <f t="shared" ca="1" si="269"/>
        <v>-0.70308814754221882</v>
      </c>
      <c r="E623" s="360">
        <f t="shared" ca="1" si="270"/>
        <v>-7.4901113105166441</v>
      </c>
      <c r="F623" s="357">
        <f t="shared" ca="1" si="271"/>
        <v>7.5230379759206123</v>
      </c>
      <c r="G623" s="359">
        <f t="shared" ca="1" si="272"/>
        <v>24.051225117854859</v>
      </c>
      <c r="H623" s="360">
        <f t="shared" ca="1" si="273"/>
        <v>-80.339705326175377</v>
      </c>
      <c r="I623" s="357">
        <f t="shared" ca="1" si="274"/>
        <v>83.862564243924865</v>
      </c>
      <c r="J623" s="359">
        <f t="shared" ca="1" si="275"/>
        <v>762.19634051981291</v>
      </c>
      <c r="K623" s="360">
        <f t="shared" ca="1" si="276"/>
        <v>1013.174364126159</v>
      </c>
      <c r="L623" s="357">
        <f t="shared" ca="1" si="261"/>
        <v>1267.8586489132931</v>
      </c>
      <c r="M623" s="359">
        <f t="shared" ca="1" si="277"/>
        <v>-1.2799184419413254</v>
      </c>
      <c r="N623" s="357">
        <f t="shared" ca="1" si="278"/>
        <v>-73.333924844198037</v>
      </c>
      <c r="O623" s="343"/>
      <c r="P623" s="363">
        <f t="shared" ca="1" si="279"/>
        <v>23</v>
      </c>
      <c r="Q623" s="357">
        <f t="shared" ca="1" si="280"/>
        <v>0</v>
      </c>
      <c r="R623" s="359">
        <f t="shared" ca="1" si="281"/>
        <v>0</v>
      </c>
      <c r="S623" s="360">
        <f t="shared" ca="1" si="282"/>
        <v>8.3819999999999997</v>
      </c>
      <c r="T623" s="357">
        <f t="shared" ca="1" si="262"/>
        <v>82.227419999999995</v>
      </c>
      <c r="U623" s="364">
        <f t="shared" ca="1" si="263"/>
        <v>0</v>
      </c>
      <c r="V623" s="359">
        <f t="shared" ca="1" si="264"/>
        <v>1.1068704328486965</v>
      </c>
      <c r="W623" s="357">
        <f t="shared" ca="1" si="265"/>
        <v>20.677257358779642</v>
      </c>
      <c r="X623" s="343"/>
      <c r="Y623" s="367" t="str">
        <f t="shared" ca="1" si="283"/>
        <v/>
      </c>
      <c r="Z623" s="368" t="str">
        <f t="shared" ca="1" si="284"/>
        <v/>
      </c>
      <c r="AA623" s="369" t="str">
        <f t="shared" ca="1" si="285"/>
        <v/>
      </c>
      <c r="AB623" s="344"/>
      <c r="AC623" s="363" t="e">
        <f t="shared" ca="1" si="286"/>
        <v>#N/A</v>
      </c>
      <c r="AD623" s="376" t="e">
        <f t="shared" ca="1" si="287"/>
        <v>#N/A</v>
      </c>
      <c r="AE623" s="377" t="e">
        <f t="shared" ca="1" si="266"/>
        <v>#N/A</v>
      </c>
      <c r="AF623" s="344"/>
      <c r="AG623" s="359">
        <f t="shared" ca="1" si="288"/>
        <v>6.9642156901961076</v>
      </c>
      <c r="AH623" s="357">
        <f t="shared" ca="1" si="289"/>
        <v>-2.4240908553119769</v>
      </c>
    </row>
    <row r="624" spans="1:34" x14ac:dyDescent="0.2">
      <c r="A624" s="402">
        <f t="shared" ca="1" si="267"/>
        <v>0.1</v>
      </c>
      <c r="B624" s="357">
        <f t="shared" ca="1" si="268"/>
        <v>26.000000000000057</v>
      </c>
      <c r="C624" s="342"/>
      <c r="D624" s="359">
        <f t="shared" ca="1" si="269"/>
        <v>-0.70748028555956288</v>
      </c>
      <c r="E624" s="360">
        <f t="shared" ca="1" si="270"/>
        <v>-7.4467624772786136</v>
      </c>
      <c r="F624" s="357">
        <f t="shared" ca="1" si="271"/>
        <v>7.4802940949845116</v>
      </c>
      <c r="G624" s="359">
        <f t="shared" ca="1" si="272"/>
        <v>23.980477089298901</v>
      </c>
      <c r="H624" s="360">
        <f t="shared" ca="1" si="273"/>
        <v>-81.084381573903244</v>
      </c>
      <c r="I624" s="357">
        <f t="shared" ca="1" si="274"/>
        <v>84.556136481350251</v>
      </c>
      <c r="J624" s="359">
        <f t="shared" ca="1" si="275"/>
        <v>764.59792563017061</v>
      </c>
      <c r="K624" s="360">
        <f t="shared" ca="1" si="276"/>
        <v>1005.1031597811551</v>
      </c>
      <c r="L624" s="357">
        <f t="shared" ca="1" si="261"/>
        <v>1262.8706781298006</v>
      </c>
      <c r="M624" s="359">
        <f t="shared" ca="1" si="277"/>
        <v>-1.283245755604401</v>
      </c>
      <c r="N624" s="357">
        <f t="shared" ca="1" si="278"/>
        <v>-73.524565874208491</v>
      </c>
      <c r="O624" s="343"/>
      <c r="P624" s="363">
        <f t="shared" ca="1" si="279"/>
        <v>23</v>
      </c>
      <c r="Q624" s="357">
        <f t="shared" ca="1" si="280"/>
        <v>0</v>
      </c>
      <c r="R624" s="359">
        <f t="shared" ca="1" si="281"/>
        <v>0</v>
      </c>
      <c r="S624" s="360">
        <f t="shared" ca="1" si="282"/>
        <v>8.3819999999999997</v>
      </c>
      <c r="T624" s="357">
        <f t="shared" ca="1" si="262"/>
        <v>82.227419999999995</v>
      </c>
      <c r="U624" s="364">
        <f t="shared" ca="1" si="263"/>
        <v>0</v>
      </c>
      <c r="V624" s="359">
        <f t="shared" ca="1" si="264"/>
        <v>1.1077664533360241</v>
      </c>
      <c r="W624" s="357">
        <f t="shared" ca="1" si="265"/>
        <v>21.037704123132499</v>
      </c>
      <c r="X624" s="343"/>
      <c r="Y624" s="367" t="str">
        <f t="shared" ca="1" si="283"/>
        <v/>
      </c>
      <c r="Z624" s="368" t="str">
        <f t="shared" ca="1" si="284"/>
        <v/>
      </c>
      <c r="AA624" s="369" t="str">
        <f t="shared" ca="1" si="285"/>
        <v/>
      </c>
      <c r="AB624" s="344"/>
      <c r="AC624" s="363">
        <f t="shared" ca="1" si="286"/>
        <v>26.000000000000057</v>
      </c>
      <c r="AD624" s="376">
        <f t="shared" ca="1" si="287"/>
        <v>764.59792563017061</v>
      </c>
      <c r="AE624" s="377" t="e">
        <f t="shared" ca="1" si="266"/>
        <v>#N/A</v>
      </c>
      <c r="AF624" s="344"/>
      <c r="AG624" s="359">
        <f t="shared" ca="1" si="288"/>
        <v>6.9310417667827675</v>
      </c>
      <c r="AH624" s="357">
        <f t="shared" ca="1" si="289"/>
        <v>-2.4668643949868341</v>
      </c>
    </row>
    <row r="625" spans="1:34" x14ac:dyDescent="0.2">
      <c r="A625" s="402">
        <f t="shared" ca="1" si="267"/>
        <v>0.1</v>
      </c>
      <c r="B625" s="357">
        <f t="shared" ca="1" si="268"/>
        <v>26.100000000000058</v>
      </c>
      <c r="C625" s="342"/>
      <c r="D625" s="359">
        <f t="shared" ca="1" si="269"/>
        <v>-0.7118088353086568</v>
      </c>
      <c r="E625" s="360">
        <f t="shared" ca="1" si="270"/>
        <v>-7.4031846979141909</v>
      </c>
      <c r="F625" s="357">
        <f t="shared" ca="1" si="271"/>
        <v>7.4373258291844584</v>
      </c>
      <c r="G625" s="359">
        <f t="shared" ca="1" si="272"/>
        <v>23.909296205768037</v>
      </c>
      <c r="H625" s="360">
        <f t="shared" ca="1" si="273"/>
        <v>-81.824700043694662</v>
      </c>
      <c r="I625" s="357">
        <f t="shared" ca="1" si="274"/>
        <v>85.246325330161639</v>
      </c>
      <c r="J625" s="359">
        <f t="shared" ca="1" si="275"/>
        <v>766.99241429492395</v>
      </c>
      <c r="K625" s="360">
        <f t="shared" ca="1" si="276"/>
        <v>996.95770570027526</v>
      </c>
      <c r="L625" s="357">
        <f t="shared" ca="1" si="261"/>
        <v>1257.8561247380851</v>
      </c>
      <c r="M625" s="359">
        <f t="shared" ca="1" si="277"/>
        <v>-1.2865094298113735</v>
      </c>
      <c r="N625" s="357">
        <f t="shared" ca="1" si="278"/>
        <v>-73.711560631973711</v>
      </c>
      <c r="O625" s="343"/>
      <c r="P625" s="363">
        <f t="shared" ca="1" si="279"/>
        <v>23</v>
      </c>
      <c r="Q625" s="357">
        <f t="shared" ca="1" si="280"/>
        <v>0</v>
      </c>
      <c r="R625" s="359">
        <f t="shared" ca="1" si="281"/>
        <v>0</v>
      </c>
      <c r="S625" s="360">
        <f t="shared" ca="1" si="282"/>
        <v>8.3819999999999997</v>
      </c>
      <c r="T625" s="357">
        <f t="shared" ca="1" si="262"/>
        <v>82.227419999999995</v>
      </c>
      <c r="U625" s="364">
        <f t="shared" ca="1" si="263"/>
        <v>0</v>
      </c>
      <c r="V625" s="359">
        <f t="shared" ca="1" si="264"/>
        <v>1.1086714150115868</v>
      </c>
      <c r="W625" s="357">
        <f t="shared" ca="1" si="265"/>
        <v>21.400013928939224</v>
      </c>
      <c r="X625" s="343"/>
      <c r="Y625" s="367" t="str">
        <f t="shared" ca="1" si="283"/>
        <v/>
      </c>
      <c r="Z625" s="368" t="str">
        <f t="shared" ca="1" si="284"/>
        <v/>
      </c>
      <c r="AA625" s="369" t="str">
        <f t="shared" ca="1" si="285"/>
        <v/>
      </c>
      <c r="AB625" s="344"/>
      <c r="AC625" s="363" t="e">
        <f t="shared" ca="1" si="286"/>
        <v>#N/A</v>
      </c>
      <c r="AD625" s="376" t="e">
        <f t="shared" ca="1" si="287"/>
        <v>#N/A</v>
      </c>
      <c r="AE625" s="377" t="e">
        <f t="shared" ca="1" si="266"/>
        <v>#N/A</v>
      </c>
      <c r="AF625" s="344"/>
      <c r="AG625" s="359">
        <f t="shared" ca="1" si="288"/>
        <v>6.8973484564223178</v>
      </c>
      <c r="AH625" s="357">
        <f t="shared" ca="1" si="289"/>
        <v>-2.5098668722420068</v>
      </c>
    </row>
    <row r="626" spans="1:34" x14ac:dyDescent="0.2">
      <c r="A626" s="402">
        <f t="shared" ca="1" si="267"/>
        <v>0.1</v>
      </c>
      <c r="B626" s="357">
        <f t="shared" ca="1" si="268"/>
        <v>26.20000000000006</v>
      </c>
      <c r="C626" s="342"/>
      <c r="D626" s="359">
        <f t="shared" ca="1" si="269"/>
        <v>-0.71607337279740224</v>
      </c>
      <c r="E626" s="360">
        <f t="shared" ca="1" si="270"/>
        <v>-7.3593846228610884</v>
      </c>
      <c r="F626" s="357">
        <f t="shared" ca="1" si="271"/>
        <v>7.3941397810991978</v>
      </c>
      <c r="G626" s="359">
        <f t="shared" ca="1" si="272"/>
        <v>23.837688868488296</v>
      </c>
      <c r="H626" s="360">
        <f t="shared" ca="1" si="273"/>
        <v>-82.560638505980776</v>
      </c>
      <c r="I626" s="357">
        <f t="shared" ca="1" si="274"/>
        <v>85.933081180102491</v>
      </c>
      <c r="J626" s="359">
        <f t="shared" ca="1" si="275"/>
        <v>769.37976354863679</v>
      </c>
      <c r="K626" s="360">
        <f t="shared" ca="1" si="276"/>
        <v>988.73843877279148</v>
      </c>
      <c r="L626" s="357">
        <f t="shared" ca="1" si="261"/>
        <v>1252.8163955125322</v>
      </c>
      <c r="M626" s="359">
        <f t="shared" ca="1" si="277"/>
        <v>-1.2897112761875078</v>
      </c>
      <c r="N626" s="357">
        <f t="shared" ca="1" si="278"/>
        <v>-73.895012915975471</v>
      </c>
      <c r="O626" s="343"/>
      <c r="P626" s="363">
        <f t="shared" ca="1" si="279"/>
        <v>23</v>
      </c>
      <c r="Q626" s="357">
        <f t="shared" ca="1" si="280"/>
        <v>0</v>
      </c>
      <c r="R626" s="359">
        <f t="shared" ca="1" si="281"/>
        <v>0</v>
      </c>
      <c r="S626" s="360">
        <f t="shared" ca="1" si="282"/>
        <v>8.3819999999999997</v>
      </c>
      <c r="T626" s="357">
        <f t="shared" ca="1" si="262"/>
        <v>82.227419999999995</v>
      </c>
      <c r="U626" s="364">
        <f t="shared" ca="1" si="263"/>
        <v>0</v>
      </c>
      <c r="V626" s="359">
        <f t="shared" ca="1" si="264"/>
        <v>1.1095852892940727</v>
      </c>
      <c r="W626" s="357">
        <f t="shared" ca="1" si="265"/>
        <v>21.764130919749739</v>
      </c>
      <c r="X626" s="343"/>
      <c r="Y626" s="367" t="str">
        <f t="shared" ca="1" si="283"/>
        <v/>
      </c>
      <c r="Z626" s="368" t="str">
        <f t="shared" ca="1" si="284"/>
        <v/>
      </c>
      <c r="AA626" s="369" t="str">
        <f t="shared" ca="1" si="285"/>
        <v/>
      </c>
      <c r="AB626" s="344"/>
      <c r="AC626" s="363" t="e">
        <f t="shared" ca="1" si="286"/>
        <v>#N/A</v>
      </c>
      <c r="AD626" s="376" t="e">
        <f t="shared" ca="1" si="287"/>
        <v>#N/A</v>
      </c>
      <c r="AE626" s="377" t="e">
        <f t="shared" ca="1" si="266"/>
        <v>#N/A</v>
      </c>
      <c r="AF626" s="344"/>
      <c r="AG626" s="359">
        <f t="shared" ca="1" si="288"/>
        <v>6.8631536506771518</v>
      </c>
      <c r="AH626" s="357">
        <f t="shared" ca="1" si="289"/>
        <v>-2.5530916164327397</v>
      </c>
    </row>
    <row r="627" spans="1:34" x14ac:dyDescent="0.2">
      <c r="A627" s="402">
        <f t="shared" ca="1" si="267"/>
        <v>0.1</v>
      </c>
      <c r="B627" s="357">
        <f t="shared" ca="1" si="268"/>
        <v>26.300000000000061</v>
      </c>
      <c r="C627" s="342"/>
      <c r="D627" s="359">
        <f t="shared" ca="1" si="269"/>
        <v>-0.72027349930684947</v>
      </c>
      <c r="E627" s="360">
        <f t="shared" ca="1" si="270"/>
        <v>-7.3153689000731656</v>
      </c>
      <c r="F627" s="357">
        <f t="shared" ca="1" si="271"/>
        <v>7.350742551467941</v>
      </c>
      <c r="G627" s="359">
        <f t="shared" ca="1" si="272"/>
        <v>23.765661518557611</v>
      </c>
      <c r="H627" s="360">
        <f t="shared" ca="1" si="273"/>
        <v>-83.292175395988096</v>
      </c>
      <c r="I627" s="357">
        <f t="shared" ca="1" si="274"/>
        <v>86.616356132145711</v>
      </c>
      <c r="J627" s="359">
        <f t="shared" ca="1" si="275"/>
        <v>771.7599310679891</v>
      </c>
      <c r="K627" s="360">
        <f t="shared" ca="1" si="276"/>
        <v>980.44579807769298</v>
      </c>
      <c r="L627" s="357">
        <f t="shared" ca="1" si="261"/>
        <v>1247.7529219241571</v>
      </c>
      <c r="M627" s="359">
        <f t="shared" ca="1" si="277"/>
        <v>-1.2928530403067642</v>
      </c>
      <c r="N627" s="357">
        <f t="shared" ca="1" si="278"/>
        <v>-74.075022740234488</v>
      </c>
      <c r="O627" s="343"/>
      <c r="P627" s="363">
        <f t="shared" ca="1" si="279"/>
        <v>23</v>
      </c>
      <c r="Q627" s="357">
        <f t="shared" ca="1" si="280"/>
        <v>0</v>
      </c>
      <c r="R627" s="359">
        <f t="shared" ca="1" si="281"/>
        <v>0</v>
      </c>
      <c r="S627" s="360">
        <f t="shared" ca="1" si="282"/>
        <v>8.3819999999999997</v>
      </c>
      <c r="T627" s="357">
        <f t="shared" ca="1" si="262"/>
        <v>82.227419999999995</v>
      </c>
      <c r="U627" s="364">
        <f t="shared" ca="1" si="263"/>
        <v>0</v>
      </c>
      <c r="V627" s="359">
        <f t="shared" ca="1" si="264"/>
        <v>1.1105080474262163</v>
      </c>
      <c r="W627" s="357">
        <f t="shared" ca="1" si="265"/>
        <v>22.129999310747806</v>
      </c>
      <c r="X627" s="343"/>
      <c r="Y627" s="367" t="str">
        <f t="shared" ca="1" si="283"/>
        <v/>
      </c>
      <c r="Z627" s="368" t="str">
        <f t="shared" ca="1" si="284"/>
        <v/>
      </c>
      <c r="AA627" s="369" t="str">
        <f t="shared" ca="1" si="285"/>
        <v/>
      </c>
      <c r="AB627" s="344"/>
      <c r="AC627" s="363" t="e">
        <f t="shared" ca="1" si="286"/>
        <v>#N/A</v>
      </c>
      <c r="AD627" s="376" t="e">
        <f t="shared" ca="1" si="287"/>
        <v>#N/A</v>
      </c>
      <c r="AE627" s="377" t="e">
        <f t="shared" ca="1" si="266"/>
        <v>#N/A</v>
      </c>
      <c r="AF627" s="344"/>
      <c r="AG627" s="359">
        <f t="shared" ca="1" si="288"/>
        <v>6.8284747115062192</v>
      </c>
      <c r="AH627" s="357">
        <f t="shared" ca="1" si="289"/>
        <v>-2.5965319637019495</v>
      </c>
    </row>
    <row r="628" spans="1:34" x14ac:dyDescent="0.2">
      <c r="A628" s="402">
        <f t="shared" ca="1" si="267"/>
        <v>0.1</v>
      </c>
      <c r="B628" s="357">
        <f t="shared" ca="1" si="268"/>
        <v>26.400000000000063</v>
      </c>
      <c r="C628" s="342"/>
      <c r="D628" s="359">
        <f t="shared" ca="1" si="269"/>
        <v>-0.72440884083250801</v>
      </c>
      <c r="E628" s="360">
        <f t="shared" ca="1" si="270"/>
        <v>-7.2711441729946973</v>
      </c>
      <c r="F628" s="357">
        <f t="shared" ca="1" si="271"/>
        <v>7.3071407371933814</v>
      </c>
      <c r="G628" s="359">
        <f t="shared" ca="1" si="272"/>
        <v>23.693220634474361</v>
      </c>
      <c r="H628" s="360">
        <f t="shared" ca="1" si="273"/>
        <v>-84.019289813287571</v>
      </c>
      <c r="I628" s="357">
        <f t="shared" ca="1" si="274"/>
        <v>87.296103949506758</v>
      </c>
      <c r="J628" s="359">
        <f t="shared" ca="1" si="275"/>
        <v>774.13287517564072</v>
      </c>
      <c r="K628" s="360">
        <f t="shared" ca="1" si="276"/>
        <v>972.08022481722924</v>
      </c>
      <c r="L628" s="357">
        <f t="shared" ca="1" si="261"/>
        <v>1242.6671605496056</v>
      </c>
      <c r="M628" s="359">
        <f t="shared" ca="1" si="277"/>
        <v>-1.2959364045524309</v>
      </c>
      <c r="N628" s="357">
        <f t="shared" ca="1" si="278"/>
        <v>-74.251686498212734</v>
      </c>
      <c r="O628" s="343"/>
      <c r="P628" s="363">
        <f t="shared" ca="1" si="279"/>
        <v>23</v>
      </c>
      <c r="Q628" s="357">
        <f t="shared" ca="1" si="280"/>
        <v>0</v>
      </c>
      <c r="R628" s="359">
        <f t="shared" ca="1" si="281"/>
        <v>0</v>
      </c>
      <c r="S628" s="360">
        <f t="shared" ca="1" si="282"/>
        <v>8.3819999999999997</v>
      </c>
      <c r="T628" s="357">
        <f t="shared" ca="1" si="262"/>
        <v>82.227419999999995</v>
      </c>
      <c r="U628" s="364">
        <f t="shared" ca="1" si="263"/>
        <v>0</v>
      </c>
      <c r="V628" s="359">
        <f t="shared" ca="1" si="264"/>
        <v>1.1114396604785082</v>
      </c>
      <c r="W628" s="357">
        <f t="shared" ca="1" si="265"/>
        <v>22.497563403337335</v>
      </c>
      <c r="X628" s="343"/>
      <c r="Y628" s="367" t="str">
        <f t="shared" ca="1" si="283"/>
        <v/>
      </c>
      <c r="Z628" s="368" t="str">
        <f t="shared" ca="1" si="284"/>
        <v/>
      </c>
      <c r="AA628" s="369" t="str">
        <f t="shared" ca="1" si="285"/>
        <v/>
      </c>
      <c r="AB628" s="344"/>
      <c r="AC628" s="363" t="e">
        <f t="shared" ca="1" si="286"/>
        <v>#N/A</v>
      </c>
      <c r="AD628" s="376" t="e">
        <f t="shared" ca="1" si="287"/>
        <v>#N/A</v>
      </c>
      <c r="AE628" s="377" t="e">
        <f t="shared" ca="1" si="266"/>
        <v>#N/A</v>
      </c>
      <c r="AF628" s="344"/>
      <c r="AG628" s="359">
        <f t="shared" ca="1" si="288"/>
        <v>6.7933284976408599</v>
      </c>
      <c r="AH628" s="357">
        <f t="shared" ca="1" si="289"/>
        <v>-2.6401812587387026</v>
      </c>
    </row>
    <row r="629" spans="1:34" x14ac:dyDescent="0.2">
      <c r="A629" s="402">
        <f t="shared" ca="1" si="267"/>
        <v>0.1</v>
      </c>
      <c r="B629" s="357">
        <f t="shared" ca="1" si="268"/>
        <v>26.500000000000064</v>
      </c>
      <c r="C629" s="342"/>
      <c r="D629" s="359">
        <f t="shared" ca="1" si="269"/>
        <v>-0.72847904754664095</v>
      </c>
      <c r="E629" s="360">
        <f t="shared" ca="1" si="270"/>
        <v>-7.226717078569223</v>
      </c>
      <c r="F629" s="357">
        <f t="shared" ca="1" si="271"/>
        <v>7.2633409293794369</v>
      </c>
      <c r="G629" s="359">
        <f t="shared" ca="1" si="272"/>
        <v>23.620372729719698</v>
      </c>
      <c r="H629" s="360">
        <f t="shared" ca="1" si="273"/>
        <v>-84.741961521144489</v>
      </c>
      <c r="I629" s="357">
        <f t="shared" ca="1" si="274"/>
        <v>87.972280011046763</v>
      </c>
      <c r="J629" s="359">
        <f t="shared" ca="1" si="275"/>
        <v>776.49855484385046</v>
      </c>
      <c r="K629" s="360">
        <f t="shared" ca="1" si="276"/>
        <v>963.64216225050768</v>
      </c>
      <c r="L629" s="357">
        <f t="shared" ca="1" si="261"/>
        <v>1237.5605934827686</v>
      </c>
      <c r="M629" s="359">
        <f t="shared" ca="1" si="277"/>
        <v>-1.2989629908374556</v>
      </c>
      <c r="N629" s="357">
        <f t="shared" ca="1" si="278"/>
        <v>-74.425097118676831</v>
      </c>
      <c r="O629" s="343"/>
      <c r="P629" s="363">
        <f t="shared" ca="1" si="279"/>
        <v>23</v>
      </c>
      <c r="Q629" s="357">
        <f t="shared" ca="1" si="280"/>
        <v>0</v>
      </c>
      <c r="R629" s="359">
        <f t="shared" ca="1" si="281"/>
        <v>0</v>
      </c>
      <c r="S629" s="360">
        <f t="shared" ca="1" si="282"/>
        <v>8.3819999999999997</v>
      </c>
      <c r="T629" s="357">
        <f t="shared" ca="1" si="262"/>
        <v>82.227419999999995</v>
      </c>
      <c r="U629" s="364">
        <f t="shared" ca="1" si="263"/>
        <v>0</v>
      </c>
      <c r="V629" s="359">
        <f t="shared" ca="1" si="264"/>
        <v>1.1123800993529127</v>
      </c>
      <c r="W629" s="357">
        <f t="shared" ca="1" si="265"/>
        <v>22.866767599569588</v>
      </c>
      <c r="X629" s="343"/>
      <c r="Y629" s="367" t="str">
        <f t="shared" ca="1" si="283"/>
        <v/>
      </c>
      <c r="Z629" s="368" t="str">
        <f t="shared" ca="1" si="284"/>
        <v/>
      </c>
      <c r="AA629" s="369" t="str">
        <f t="shared" ca="1" si="285"/>
        <v/>
      </c>
      <c r="AB629" s="344"/>
      <c r="AC629" s="363" t="e">
        <f t="shared" ca="1" si="286"/>
        <v>#N/A</v>
      </c>
      <c r="AD629" s="376" t="e">
        <f t="shared" ca="1" si="287"/>
        <v>#N/A</v>
      </c>
      <c r="AE629" s="377" t="e">
        <f t="shared" ca="1" si="266"/>
        <v>#N/A</v>
      </c>
      <c r="AF629" s="344"/>
      <c r="AG629" s="359">
        <f t="shared" ca="1" si="288"/>
        <v>6.7577313892845412</v>
      </c>
      <c r="AH629" s="357">
        <f t="shared" ca="1" si="289"/>
        <v>-2.6840328565184128</v>
      </c>
    </row>
    <row r="630" spans="1:34" x14ac:dyDescent="0.2">
      <c r="A630" s="402">
        <f t="shared" ca="1" si="267"/>
        <v>0.1</v>
      </c>
      <c r="B630" s="357">
        <f t="shared" ca="1" si="268"/>
        <v>26.600000000000065</v>
      </c>
      <c r="C630" s="342"/>
      <c r="D630" s="359">
        <f t="shared" ca="1" si="269"/>
        <v>-0.73248379328007007</v>
      </c>
      <c r="E630" s="360">
        <f t="shared" ca="1" si="270"/>
        <v>-7.1820942452825456</v>
      </c>
      <c r="F630" s="357">
        <f t="shared" ca="1" si="271"/>
        <v>7.2193497114032796</v>
      </c>
      <c r="G630" s="359">
        <f t="shared" ca="1" si="272"/>
        <v>23.547124350391691</v>
      </c>
      <c r="H630" s="360">
        <f t="shared" ca="1" si="273"/>
        <v>-85.460170945672743</v>
      </c>
      <c r="I630" s="357">
        <f t="shared" ca="1" si="274"/>
        <v>88.644841266914213</v>
      </c>
      <c r="J630" s="359">
        <f t="shared" ca="1" si="275"/>
        <v>778.856929697856</v>
      </c>
      <c r="K630" s="360">
        <f t="shared" ca="1" si="276"/>
        <v>955.13205562716678</v>
      </c>
      <c r="L630" s="357">
        <f t="shared" ca="1" si="261"/>
        <v>1232.4347287483213</v>
      </c>
      <c r="M630" s="359">
        <f t="shared" ca="1" si="277"/>
        <v>-1.3019343631919407</v>
      </c>
      <c r="N630" s="357">
        <f t="shared" ca="1" si="278"/>
        <v>-74.595344213950668</v>
      </c>
      <c r="O630" s="343"/>
      <c r="P630" s="363">
        <f t="shared" ca="1" si="279"/>
        <v>23</v>
      </c>
      <c r="Q630" s="357">
        <f t="shared" ca="1" si="280"/>
        <v>0</v>
      </c>
      <c r="R630" s="359">
        <f t="shared" ca="1" si="281"/>
        <v>0</v>
      </c>
      <c r="S630" s="360">
        <f t="shared" ca="1" si="282"/>
        <v>8.3819999999999997</v>
      </c>
      <c r="T630" s="357">
        <f t="shared" ca="1" si="262"/>
        <v>82.227419999999995</v>
      </c>
      <c r="U630" s="364">
        <f t="shared" ca="1" si="263"/>
        <v>0</v>
      </c>
      <c r="V630" s="359">
        <f t="shared" ca="1" si="264"/>
        <v>1.1133293347865985</v>
      </c>
      <c r="W630" s="357">
        <f t="shared" ca="1" si="265"/>
        <v>23.237556416405518</v>
      </c>
      <c r="X630" s="343"/>
      <c r="Y630" s="367" t="str">
        <f t="shared" ca="1" si="283"/>
        <v/>
      </c>
      <c r="Z630" s="368" t="str">
        <f t="shared" ca="1" si="284"/>
        <v/>
      </c>
      <c r="AA630" s="369" t="str">
        <f t="shared" ca="1" si="285"/>
        <v/>
      </c>
      <c r="AB630" s="344"/>
      <c r="AC630" s="363" t="e">
        <f t="shared" ca="1" si="286"/>
        <v>#N/A</v>
      </c>
      <c r="AD630" s="376" t="e">
        <f t="shared" ca="1" si="287"/>
        <v>#N/A</v>
      </c>
      <c r="AE630" s="377" t="e">
        <f t="shared" ca="1" si="266"/>
        <v>#N/A</v>
      </c>
      <c r="AF630" s="344"/>
      <c r="AG630" s="359">
        <f t="shared" ca="1" si="288"/>
        <v>6.7216993112484911</v>
      </c>
      <c r="AH630" s="357">
        <f t="shared" ca="1" si="289"/>
        <v>-2.7280801240240504</v>
      </c>
    </row>
    <row r="631" spans="1:34" x14ac:dyDescent="0.2">
      <c r="A631" s="402">
        <f t="shared" ca="1" si="267"/>
        <v>0.1</v>
      </c>
      <c r="B631" s="357">
        <f t="shared" ca="1" si="268"/>
        <v>26.700000000000067</v>
      </c>
      <c r="C631" s="342"/>
      <c r="D631" s="359">
        <f t="shared" ca="1" si="269"/>
        <v>-0.73642277502213493</v>
      </c>
      <c r="E631" s="360">
        <f t="shared" ca="1" si="270"/>
        <v>-7.1372822912394618</v>
      </c>
      <c r="F631" s="357">
        <f t="shared" ca="1" si="271"/>
        <v>7.1751736570212516</v>
      </c>
      <c r="G631" s="359">
        <f t="shared" ca="1" si="272"/>
        <v>23.473482072889478</v>
      </c>
      <c r="H631" s="360">
        <f t="shared" ca="1" si="273"/>
        <v>-86.173899174796688</v>
      </c>
      <c r="I631" s="357">
        <f t="shared" ca="1" si="274"/>
        <v>89.313746196284299</v>
      </c>
      <c r="J631" s="359">
        <f t="shared" ca="1" si="275"/>
        <v>781.20796001902011</v>
      </c>
      <c r="K631" s="360">
        <f t="shared" ca="1" si="276"/>
        <v>946.55035212114331</v>
      </c>
      <c r="L631" s="357">
        <f t="shared" ca="1" si="261"/>
        <v>1227.2911007164271</v>
      </c>
      <c r="M631" s="359">
        <f t="shared" ca="1" si="277"/>
        <v>-1.3048520302248614</v>
      </c>
      <c r="N631" s="357">
        <f t="shared" ca="1" si="278"/>
        <v>-74.762514220961492</v>
      </c>
      <c r="O631" s="343"/>
      <c r="P631" s="363">
        <f t="shared" ca="1" si="279"/>
        <v>23</v>
      </c>
      <c r="Q631" s="357">
        <f t="shared" ca="1" si="280"/>
        <v>0</v>
      </c>
      <c r="R631" s="359">
        <f t="shared" ca="1" si="281"/>
        <v>0</v>
      </c>
      <c r="S631" s="360">
        <f t="shared" ca="1" si="282"/>
        <v>8.3819999999999997</v>
      </c>
      <c r="T631" s="357">
        <f t="shared" ca="1" si="262"/>
        <v>82.227419999999995</v>
      </c>
      <c r="U631" s="364">
        <f t="shared" ca="1" si="263"/>
        <v>0</v>
      </c>
      <c r="V631" s="359">
        <f t="shared" ca="1" si="264"/>
        <v>1.114287337355673</v>
      </c>
      <c r="W631" s="357">
        <f t="shared" ca="1" si="265"/>
        <v>23.609874499807731</v>
      </c>
      <c r="X631" s="343"/>
      <c r="Y631" s="367" t="str">
        <f t="shared" ca="1" si="283"/>
        <v/>
      </c>
      <c r="Z631" s="368" t="str">
        <f t="shared" ca="1" si="284"/>
        <v/>
      </c>
      <c r="AA631" s="369" t="str">
        <f t="shared" ca="1" si="285"/>
        <v/>
      </c>
      <c r="AB631" s="344"/>
      <c r="AC631" s="363" t="e">
        <f t="shared" ca="1" si="286"/>
        <v>#N/A</v>
      </c>
      <c r="AD631" s="376" t="e">
        <f t="shared" ca="1" si="287"/>
        <v>#N/A</v>
      </c>
      <c r="AE631" s="377" t="e">
        <f t="shared" ca="1" si="266"/>
        <v>#N/A</v>
      </c>
      <c r="AF631" s="344"/>
      <c r="AG631" s="359">
        <f t="shared" ca="1" si="288"/>
        <v>6.6852477546273992</v>
      </c>
      <c r="AH631" s="357">
        <f t="shared" ca="1" si="289"/>
        <v>-2.7723164419476878</v>
      </c>
    </row>
    <row r="632" spans="1:34" x14ac:dyDescent="0.2">
      <c r="A632" s="402">
        <f t="shared" ca="1" si="267"/>
        <v>0.1</v>
      </c>
      <c r="B632" s="357">
        <f t="shared" ca="1" si="268"/>
        <v>26.800000000000068</v>
      </c>
      <c r="C632" s="342"/>
      <c r="D632" s="359">
        <f t="shared" ca="1" si="269"/>
        <v>-0.74029571243753145</v>
      </c>
      <c r="E632" s="360">
        <f t="shared" ca="1" si="270"/>
        <v>-7.0922878222739403</v>
      </c>
      <c r="F632" s="357">
        <f t="shared" ca="1" si="271"/>
        <v>7.1308193285083741</v>
      </c>
      <c r="G632" s="359">
        <f t="shared" ca="1" si="272"/>
        <v>23.399452501645726</v>
      </c>
      <c r="H632" s="360">
        <f t="shared" ca="1" si="273"/>
        <v>-86.883127957024087</v>
      </c>
      <c r="I632" s="357">
        <f t="shared" ca="1" si="274"/>
        <v>89.978954767064252</v>
      </c>
      <c r="J632" s="359">
        <f t="shared" ca="1" si="275"/>
        <v>783.55160674774686</v>
      </c>
      <c r="K632" s="360">
        <f t="shared" ca="1" si="276"/>
        <v>937.89750076455232</v>
      </c>
      <c r="L632" s="357">
        <f t="shared" ca="1" si="261"/>
        <v>1222.1312705177661</v>
      </c>
      <c r="M632" s="359">
        <f t="shared" ca="1" si="277"/>
        <v>-1.3077174474666742</v>
      </c>
      <c r="N632" s="357">
        <f t="shared" ca="1" si="278"/>
        <v>-74.926690535461375</v>
      </c>
      <c r="O632" s="343"/>
      <c r="P632" s="363">
        <f t="shared" ca="1" si="279"/>
        <v>23</v>
      </c>
      <c r="Q632" s="357">
        <f t="shared" ca="1" si="280"/>
        <v>0</v>
      </c>
      <c r="R632" s="359">
        <f t="shared" ca="1" si="281"/>
        <v>0</v>
      </c>
      <c r="S632" s="360">
        <f t="shared" ca="1" si="282"/>
        <v>8.3819999999999997</v>
      </c>
      <c r="T632" s="357">
        <f t="shared" ca="1" si="262"/>
        <v>82.227419999999995</v>
      </c>
      <c r="U632" s="364">
        <f t="shared" ca="1" si="263"/>
        <v>0</v>
      </c>
      <c r="V632" s="359">
        <f t="shared" ca="1" si="264"/>
        <v>1.1152540774789232</v>
      </c>
      <c r="W632" s="357">
        <f t="shared" ca="1" si="265"/>
        <v>23.983666638656867</v>
      </c>
      <c r="X632" s="343"/>
      <c r="Y632" s="367" t="str">
        <f t="shared" ca="1" si="283"/>
        <v/>
      </c>
      <c r="Z632" s="368" t="str">
        <f t="shared" ca="1" si="284"/>
        <v/>
      </c>
      <c r="AA632" s="369" t="str">
        <f t="shared" ca="1" si="285"/>
        <v/>
      </c>
      <c r="AB632" s="344"/>
      <c r="AC632" s="363" t="e">
        <f t="shared" ca="1" si="286"/>
        <v>#N/A</v>
      </c>
      <c r="AD632" s="376" t="e">
        <f t="shared" ca="1" si="287"/>
        <v>#N/A</v>
      </c>
      <c r="AE632" s="377" t="e">
        <f t="shared" ca="1" si="266"/>
        <v>#N/A</v>
      </c>
      <c r="AF632" s="344"/>
      <c r="AG632" s="359">
        <f t="shared" ca="1" si="288"/>
        <v>6.6483917971121542</v>
      </c>
      <c r="AH632" s="357">
        <f t="shared" ca="1" si="289"/>
        <v>-2.816735206371717</v>
      </c>
    </row>
    <row r="633" spans="1:34" x14ac:dyDescent="0.2">
      <c r="A633" s="402">
        <f t="shared" ca="1" si="267"/>
        <v>0.1</v>
      </c>
      <c r="B633" s="357">
        <f t="shared" ca="1" si="268"/>
        <v>26.90000000000007</v>
      </c>
      <c r="C633" s="342"/>
      <c r="D633" s="359">
        <f t="shared" ca="1" si="269"/>
        <v>-0.74410234739885761</v>
      </c>
      <c r="E633" s="360">
        <f t="shared" ca="1" si="270"/>
        <v>-7.0471174300924346</v>
      </c>
      <c r="F633" s="357">
        <f t="shared" ca="1" si="271"/>
        <v>7.086293274831144</v>
      </c>
      <c r="G633" s="359">
        <f t="shared" ca="1" si="272"/>
        <v>23.325042266905839</v>
      </c>
      <c r="H633" s="360">
        <f t="shared" ca="1" si="273"/>
        <v>-87.587839700033328</v>
      </c>
      <c r="I633" s="357">
        <f t="shared" ca="1" si="274"/>
        <v>90.640428397441269</v>
      </c>
      <c r="J633" s="359">
        <f t="shared" ca="1" si="275"/>
        <v>785.88783148617449</v>
      </c>
      <c r="K633" s="360">
        <f t="shared" ca="1" si="276"/>
        <v>929.17395238169945</v>
      </c>
      <c r="L633" s="357">
        <f t="shared" ca="1" si="261"/>
        <v>1216.9568264579768</v>
      </c>
      <c r="M633" s="359">
        <f t="shared" ca="1" si="277"/>
        <v>-1.3105320195991115</v>
      </c>
      <c r="N633" s="357">
        <f t="shared" ca="1" si="278"/>
        <v>-75.087953639785169</v>
      </c>
      <c r="O633" s="343"/>
      <c r="P633" s="363">
        <f t="shared" ca="1" si="279"/>
        <v>23</v>
      </c>
      <c r="Q633" s="357">
        <f t="shared" ca="1" si="280"/>
        <v>0</v>
      </c>
      <c r="R633" s="359">
        <f t="shared" ca="1" si="281"/>
        <v>0</v>
      </c>
      <c r="S633" s="360">
        <f t="shared" ca="1" si="282"/>
        <v>8.3819999999999997</v>
      </c>
      <c r="T633" s="357">
        <f t="shared" ca="1" si="262"/>
        <v>82.227419999999995</v>
      </c>
      <c r="U633" s="364">
        <f t="shared" ca="1" si="263"/>
        <v>0</v>
      </c>
      <c r="V633" s="359">
        <f t="shared" ca="1" si="264"/>
        <v>1.1162295254215659</v>
      </c>
      <c r="W633" s="357">
        <f t="shared" ca="1" si="265"/>
        <v>24.358877778487191</v>
      </c>
      <c r="X633" s="343"/>
      <c r="Y633" s="367" t="str">
        <f t="shared" ca="1" si="283"/>
        <v/>
      </c>
      <c r="Z633" s="368" t="str">
        <f t="shared" ca="1" si="284"/>
        <v/>
      </c>
      <c r="AA633" s="369" t="str">
        <f t="shared" ca="1" si="285"/>
        <v/>
      </c>
      <c r="AB633" s="344"/>
      <c r="AC633" s="363" t="e">
        <f t="shared" ca="1" si="286"/>
        <v>#N/A</v>
      </c>
      <c r="AD633" s="376" t="e">
        <f t="shared" ca="1" si="287"/>
        <v>#N/A</v>
      </c>
      <c r="AE633" s="377" t="e">
        <f t="shared" ca="1" si="266"/>
        <v>#N/A</v>
      </c>
      <c r="AF633" s="344"/>
      <c r="AG633" s="359">
        <f t="shared" ca="1" si="288"/>
        <v>6.6111461220298144</v>
      </c>
      <c r="AH633" s="357">
        <f t="shared" ca="1" si="289"/>
        <v>-2.8613298304291179</v>
      </c>
    </row>
    <row r="634" spans="1:34" x14ac:dyDescent="0.2">
      <c r="A634" s="402">
        <f t="shared" ca="1" si="267"/>
        <v>0.1</v>
      </c>
      <c r="B634" s="357">
        <f t="shared" ca="1" si="268"/>
        <v>27.000000000000071</v>
      </c>
      <c r="C634" s="342"/>
      <c r="D634" s="359">
        <f t="shared" ca="1" si="269"/>
        <v>-0.74784244353378593</v>
      </c>
      <c r="E634" s="360">
        <f t="shared" ca="1" si="270"/>
        <v>-7.0017776904501394</v>
      </c>
      <c r="F634" s="357">
        <f t="shared" ca="1" si="271"/>
        <v>7.0416020298534248</v>
      </c>
      <c r="G634" s="359">
        <f t="shared" ca="1" si="272"/>
        <v>23.250258022552462</v>
      </c>
      <c r="H634" s="360">
        <f t="shared" ca="1" si="273"/>
        <v>-88.288017469078341</v>
      </c>
      <c r="I634" s="357">
        <f t="shared" ca="1" si="274"/>
        <v>91.298129919158526</v>
      </c>
      <c r="J634" s="359">
        <f t="shared" ca="1" si="275"/>
        <v>788.21659650064737</v>
      </c>
      <c r="K634" s="360">
        <f t="shared" ca="1" si="276"/>
        <v>920.38015952324383</v>
      </c>
      <c r="L634" s="357">
        <f t="shared" ca="1" si="261"/>
        <v>1211.7693844305097</v>
      </c>
      <c r="M634" s="359">
        <f t="shared" ca="1" si="277"/>
        <v>-1.313297102578121</v>
      </c>
      <c r="N634" s="357">
        <f t="shared" ca="1" si="278"/>
        <v>-75.246381224485887</v>
      </c>
      <c r="O634" s="343"/>
      <c r="P634" s="363">
        <f t="shared" ca="1" si="279"/>
        <v>23</v>
      </c>
      <c r="Q634" s="357">
        <f t="shared" ca="1" si="280"/>
        <v>0</v>
      </c>
      <c r="R634" s="359">
        <f t="shared" ca="1" si="281"/>
        <v>0</v>
      </c>
      <c r="S634" s="360">
        <f t="shared" ca="1" si="282"/>
        <v>8.3819999999999997</v>
      </c>
      <c r="T634" s="357">
        <f t="shared" ca="1" si="262"/>
        <v>82.227419999999995</v>
      </c>
      <c r="U634" s="364">
        <f t="shared" ca="1" si="263"/>
        <v>0</v>
      </c>
      <c r="V634" s="359">
        <f t="shared" ca="1" si="264"/>
        <v>1.1172136512989956</v>
      </c>
      <c r="W634" s="357">
        <f t="shared" ca="1" si="265"/>
        <v>24.735453035036453</v>
      </c>
      <c r="X634" s="343"/>
      <c r="Y634" s="367" t="str">
        <f t="shared" ca="1" si="283"/>
        <v/>
      </c>
      <c r="Z634" s="368" t="str">
        <f t="shared" ca="1" si="284"/>
        <v/>
      </c>
      <c r="AA634" s="369" t="str">
        <f t="shared" ca="1" si="285"/>
        <v/>
      </c>
      <c r="AB634" s="344"/>
      <c r="AC634" s="363">
        <f t="shared" ca="1" si="286"/>
        <v>27.000000000000071</v>
      </c>
      <c r="AD634" s="376">
        <f t="shared" ca="1" si="287"/>
        <v>788.21659650064737</v>
      </c>
      <c r="AE634" s="377" t="e">
        <f t="shared" ca="1" si="266"/>
        <v>#N/A</v>
      </c>
      <c r="AF634" s="344"/>
      <c r="AG634" s="359">
        <f t="shared" ca="1" si="288"/>
        <v>6.5735250361948241</v>
      </c>
      <c r="AH634" s="357">
        <f t="shared" ca="1" si="289"/>
        <v>-2.9060937459421607</v>
      </c>
    </row>
    <row r="635" spans="1:34" x14ac:dyDescent="0.2">
      <c r="A635" s="402">
        <f t="shared" ca="1" si="267"/>
        <v>0.1</v>
      </c>
      <c r="B635" s="357">
        <f t="shared" ca="1" si="268"/>
        <v>27.100000000000072</v>
      </c>
      <c r="C635" s="342"/>
      <c r="D635" s="359">
        <f t="shared" ca="1" si="269"/>
        <v>-0.75151578578582523</v>
      </c>
      <c r="E635" s="360">
        <f t="shared" ca="1" si="270"/>
        <v>-6.9562751613599918</v>
      </c>
      <c r="F635" s="357">
        <f t="shared" ca="1" si="271"/>
        <v>6.9967521105752528</v>
      </c>
      <c r="G635" s="359">
        <f t="shared" ca="1" si="272"/>
        <v>23.175106443973878</v>
      </c>
      <c r="H635" s="360">
        <f t="shared" ca="1" si="273"/>
        <v>-88.98364498521434</v>
      </c>
      <c r="I635" s="357">
        <f t="shared" ca="1" si="274"/>
        <v>91.952023542411396</v>
      </c>
      <c r="J635" s="359">
        <f t="shared" ca="1" si="275"/>
        <v>790.53786472397371</v>
      </c>
      <c r="K635" s="360">
        <f t="shared" ca="1" si="276"/>
        <v>911.51657640052917</v>
      </c>
      <c r="L635" s="357">
        <f t="shared" ca="1" si="261"/>
        <v>1206.5705883268006</v>
      </c>
      <c r="M635" s="359">
        <f t="shared" ca="1" si="277"/>
        <v>-1.316014005655562</v>
      </c>
      <c r="N635" s="357">
        <f t="shared" ca="1" si="278"/>
        <v>-75.402048304169355</v>
      </c>
      <c r="O635" s="343"/>
      <c r="P635" s="363">
        <f t="shared" ca="1" si="279"/>
        <v>23</v>
      </c>
      <c r="Q635" s="357">
        <f t="shared" ca="1" si="280"/>
        <v>0</v>
      </c>
      <c r="R635" s="359">
        <f t="shared" ca="1" si="281"/>
        <v>0</v>
      </c>
      <c r="S635" s="360">
        <f t="shared" ca="1" si="282"/>
        <v>8.3819999999999997</v>
      </c>
      <c r="T635" s="357">
        <f t="shared" ca="1" si="262"/>
        <v>82.227419999999995</v>
      </c>
      <c r="U635" s="364">
        <f t="shared" ca="1" si="263"/>
        <v>0</v>
      </c>
      <c r="V635" s="359">
        <f t="shared" ca="1" si="264"/>
        <v>1.118206425080543</v>
      </c>
      <c r="W635" s="357">
        <f t="shared" ca="1" si="265"/>
        <v>25.113337707605353</v>
      </c>
      <c r="X635" s="343"/>
      <c r="Y635" s="367" t="str">
        <f t="shared" ca="1" si="283"/>
        <v/>
      </c>
      <c r="Z635" s="368" t="str">
        <f t="shared" ca="1" si="284"/>
        <v/>
      </c>
      <c r="AA635" s="369" t="str">
        <f t="shared" ca="1" si="285"/>
        <v/>
      </c>
      <c r="AB635" s="344"/>
      <c r="AC635" s="363" t="e">
        <f t="shared" ca="1" si="286"/>
        <v>#N/A</v>
      </c>
      <c r="AD635" s="376" t="e">
        <f t="shared" ca="1" si="287"/>
        <v>#N/A</v>
      </c>
      <c r="AE635" s="377" t="e">
        <f t="shared" ca="1" si="266"/>
        <v>#N/A</v>
      </c>
      <c r="AF635" s="344"/>
      <c r="AG635" s="359">
        <f t="shared" ca="1" si="288"/>
        <v>6.5355424866497041</v>
      </c>
      <c r="AH635" s="357">
        <f t="shared" ca="1" si="289"/>
        <v>-2.951020405038947</v>
      </c>
    </row>
    <row r="636" spans="1:34" x14ac:dyDescent="0.2">
      <c r="A636" s="402">
        <f t="shared" ca="1" si="267"/>
        <v>0.1</v>
      </c>
      <c r="B636" s="357">
        <f t="shared" ca="1" si="268"/>
        <v>27.200000000000074</v>
      </c>
      <c r="C636" s="342"/>
      <c r="D636" s="359">
        <f t="shared" ca="1" si="269"/>
        <v>-0.75512217998776177</v>
      </c>
      <c r="E636" s="360">
        <f t="shared" ca="1" si="270"/>
        <v>-6.9106163813342842</v>
      </c>
      <c r="F636" s="357">
        <f t="shared" ca="1" si="271"/>
        <v>6.9517500154044107</v>
      </c>
      <c r="G636" s="359">
        <f t="shared" ca="1" si="272"/>
        <v>23.0995942259751</v>
      </c>
      <c r="H636" s="360">
        <f t="shared" ca="1" si="273"/>
        <v>-89.674706623347774</v>
      </c>
      <c r="I636" s="357">
        <f t="shared" ca="1" si="274"/>
        <v>92.602074822264086</v>
      </c>
      <c r="J636" s="359">
        <f t="shared" ca="1" si="275"/>
        <v>792.85159975747115</v>
      </c>
      <c r="K636" s="360">
        <f t="shared" ca="1" si="276"/>
        <v>902.58365882010105</v>
      </c>
      <c r="L636" s="357">
        <f t="shared" ca="1" si="261"/>
        <v>1201.3621104425852</v>
      </c>
      <c r="M636" s="359">
        <f t="shared" ca="1" si="277"/>
        <v>-1.3186839933049763</v>
      </c>
      <c r="N636" s="357">
        <f t="shared" ca="1" si="278"/>
        <v>-75.555027327832846</v>
      </c>
      <c r="O636" s="343"/>
      <c r="P636" s="363">
        <f t="shared" ca="1" si="279"/>
        <v>23</v>
      </c>
      <c r="Q636" s="357">
        <f t="shared" ca="1" si="280"/>
        <v>0</v>
      </c>
      <c r="R636" s="359">
        <f t="shared" ca="1" si="281"/>
        <v>0</v>
      </c>
      <c r="S636" s="360">
        <f t="shared" ca="1" si="282"/>
        <v>8.3819999999999997</v>
      </c>
      <c r="T636" s="357">
        <f t="shared" ca="1" si="262"/>
        <v>82.227419999999995</v>
      </c>
      <c r="U636" s="364">
        <f t="shared" ca="1" si="263"/>
        <v>0</v>
      </c>
      <c r="V636" s="359">
        <f t="shared" ca="1" si="264"/>
        <v>1.1192078165932302</v>
      </c>
      <c r="W636" s="357">
        <f t="shared" ca="1" si="265"/>
        <v>25.49247729222202</v>
      </c>
      <c r="X636" s="343"/>
      <c r="Y636" s="367" t="str">
        <f t="shared" ca="1" si="283"/>
        <v/>
      </c>
      <c r="Z636" s="368" t="str">
        <f t="shared" ca="1" si="284"/>
        <v/>
      </c>
      <c r="AA636" s="369" t="str">
        <f t="shared" ca="1" si="285"/>
        <v/>
      </c>
      <c r="AB636" s="344"/>
      <c r="AC636" s="363" t="e">
        <f t="shared" ca="1" si="286"/>
        <v>#N/A</v>
      </c>
      <c r="AD636" s="376" t="e">
        <f t="shared" ca="1" si="287"/>
        <v>#N/A</v>
      </c>
      <c r="AE636" s="377" t="e">
        <f t="shared" ca="1" si="266"/>
        <v>#N/A</v>
      </c>
      <c r="AF636" s="344"/>
      <c r="AG636" s="359">
        <f t="shared" ca="1" si="288"/>
        <v>6.497212076368049</v>
      </c>
      <c r="AH636" s="357">
        <f t="shared" ca="1" si="289"/>
        <v>-2.9961032817472386</v>
      </c>
    </row>
    <row r="637" spans="1:34" x14ac:dyDescent="0.2">
      <c r="A637" s="402">
        <f t="shared" ca="1" si="267"/>
        <v>0.1</v>
      </c>
      <c r="B637" s="357">
        <f t="shared" ca="1" si="268"/>
        <v>27.300000000000075</v>
      </c>
      <c r="C637" s="342"/>
      <c r="D637" s="359">
        <f t="shared" ca="1" si="269"/>
        <v>-0.75866145244688032</v>
      </c>
      <c r="E637" s="360">
        <f t="shared" ca="1" si="270"/>
        <v>-6.8648078676587652</v>
      </c>
      <c r="F637" s="357">
        <f t="shared" ca="1" si="271"/>
        <v>6.9066022224606574</v>
      </c>
      <c r="G637" s="359">
        <f t="shared" ca="1" si="272"/>
        <v>23.023728080730411</v>
      </c>
      <c r="H637" s="360">
        <f t="shared" ca="1" si="273"/>
        <v>-90.361187410113644</v>
      </c>
      <c r="I637" s="357">
        <f t="shared" ca="1" si="274"/>
        <v>93.248250626492151</v>
      </c>
      <c r="J637" s="359">
        <f t="shared" ca="1" si="275"/>
        <v>795.15776587280641</v>
      </c>
      <c r="K637" s="360">
        <f t="shared" ca="1" si="276"/>
        <v>893.58186411842803</v>
      </c>
      <c r="L637" s="357">
        <f t="shared" ca="1" si="261"/>
        <v>1196.1456518790669</v>
      </c>
      <c r="M637" s="359">
        <f t="shared" ca="1" si="277"/>
        <v>-1.3213082870564445</v>
      </c>
      <c r="N637" s="357">
        <f t="shared" ca="1" si="278"/>
        <v>-75.705388283994537</v>
      </c>
      <c r="O637" s="343"/>
      <c r="P637" s="363">
        <f t="shared" ca="1" si="279"/>
        <v>23</v>
      </c>
      <c r="Q637" s="357">
        <f t="shared" ca="1" si="280"/>
        <v>0</v>
      </c>
      <c r="R637" s="359">
        <f t="shared" ca="1" si="281"/>
        <v>0</v>
      </c>
      <c r="S637" s="360">
        <f t="shared" ca="1" si="282"/>
        <v>8.3819999999999997</v>
      </c>
      <c r="T637" s="357">
        <f t="shared" ca="1" si="262"/>
        <v>82.227419999999995</v>
      </c>
      <c r="U637" s="364">
        <f t="shared" ca="1" si="263"/>
        <v>0</v>
      </c>
      <c r="V637" s="359">
        <f t="shared" ca="1" si="264"/>
        <v>1.1202177955255295</v>
      </c>
      <c r="W637" s="357">
        <f t="shared" ca="1" si="265"/>
        <v>25.872817494606956</v>
      </c>
      <c r="X637" s="343"/>
      <c r="Y637" s="367" t="str">
        <f t="shared" ca="1" si="283"/>
        <v/>
      </c>
      <c r="Z637" s="368" t="str">
        <f t="shared" ca="1" si="284"/>
        <v/>
      </c>
      <c r="AA637" s="369" t="str">
        <f t="shared" ca="1" si="285"/>
        <v/>
      </c>
      <c r="AB637" s="344"/>
      <c r="AC637" s="363" t="e">
        <f t="shared" ca="1" si="286"/>
        <v>#N/A</v>
      </c>
      <c r="AD637" s="376" t="e">
        <f t="shared" ca="1" si="287"/>
        <v>#N/A</v>
      </c>
      <c r="AE637" s="377" t="e">
        <f t="shared" ca="1" si="266"/>
        <v>#N/A</v>
      </c>
      <c r="AF637" s="344"/>
      <c r="AG637" s="359">
        <f t="shared" ca="1" si="288"/>
        <v>6.4585470789877348</v>
      </c>
      <c r="AH637" s="357">
        <f t="shared" ca="1" si="289"/>
        <v>-3.0413358735650227</v>
      </c>
    </row>
    <row r="638" spans="1:34" x14ac:dyDescent="0.2">
      <c r="A638" s="402">
        <f t="shared" ca="1" si="267"/>
        <v>0.1</v>
      </c>
      <c r="B638" s="357">
        <f t="shared" ca="1" si="268"/>
        <v>27.400000000000077</v>
      </c>
      <c r="C638" s="342"/>
      <c r="D638" s="359">
        <f t="shared" ca="1" si="269"/>
        <v>-0.7621334495411668</v>
      </c>
      <c r="E638" s="360">
        <f t="shared" ca="1" si="270"/>
        <v>-6.8188561146991722</v>
      </c>
      <c r="F638" s="357">
        <f t="shared" ca="1" si="271"/>
        <v>6.8613151879125773</v>
      </c>
      <c r="G638" s="359">
        <f t="shared" ca="1" si="272"/>
        <v>22.947514735776295</v>
      </c>
      <c r="H638" s="360">
        <f t="shared" ca="1" si="273"/>
        <v>-91.043073021583567</v>
      </c>
      <c r="I638" s="357">
        <f t="shared" ca="1" si="274"/>
        <v>93.890519104764067</v>
      </c>
      <c r="J638" s="359">
        <f t="shared" ca="1" si="275"/>
        <v>797.45632801363172</v>
      </c>
      <c r="K638" s="360">
        <f t="shared" ca="1" si="276"/>
        <v>884.51165109684314</v>
      </c>
      <c r="L638" s="357">
        <f t="shared" ca="1" si="261"/>
        <v>1190.9229429375557</v>
      </c>
      <c r="M638" s="359">
        <f t="shared" ca="1" si="277"/>
        <v>-1.3238880672452644</v>
      </c>
      <c r="N638" s="357">
        <f t="shared" ca="1" si="278"/>
        <v>-75.85319880088538</v>
      </c>
      <c r="O638" s="343"/>
      <c r="P638" s="363">
        <f t="shared" ca="1" si="279"/>
        <v>23</v>
      </c>
      <c r="Q638" s="357">
        <f t="shared" ca="1" si="280"/>
        <v>0</v>
      </c>
      <c r="R638" s="359">
        <f t="shared" ca="1" si="281"/>
        <v>0</v>
      </c>
      <c r="S638" s="360">
        <f t="shared" ca="1" si="282"/>
        <v>8.3819999999999997</v>
      </c>
      <c r="T638" s="357">
        <f t="shared" ca="1" si="262"/>
        <v>82.227419999999995</v>
      </c>
      <c r="U638" s="364">
        <f t="shared" ca="1" si="263"/>
        <v>0</v>
      </c>
      <c r="V638" s="359">
        <f t="shared" ca="1" si="264"/>
        <v>1.1212363314311229</v>
      </c>
      <c r="W638" s="357">
        <f t="shared" ca="1" si="265"/>
        <v>26.254304242934605</v>
      </c>
      <c r="X638" s="343"/>
      <c r="Y638" s="367" t="str">
        <f t="shared" ca="1" si="283"/>
        <v/>
      </c>
      <c r="Z638" s="368" t="str">
        <f t="shared" ca="1" si="284"/>
        <v/>
      </c>
      <c r="AA638" s="369" t="str">
        <f t="shared" ca="1" si="285"/>
        <v/>
      </c>
      <c r="AB638" s="344"/>
      <c r="AC638" s="363" t="e">
        <f t="shared" ca="1" si="286"/>
        <v>#N/A</v>
      </c>
      <c r="AD638" s="376" t="e">
        <f t="shared" ca="1" si="287"/>
        <v>#N/A</v>
      </c>
      <c r="AE638" s="377" t="e">
        <f t="shared" ca="1" si="266"/>
        <v>#N/A</v>
      </c>
      <c r="AF638" s="344"/>
      <c r="AG638" s="359">
        <f t="shared" ca="1" si="288"/>
        <v>6.4195604526375787</v>
      </c>
      <c r="AH638" s="357">
        <f t="shared" ca="1" si="289"/>
        <v>-3.0867117030072722</v>
      </c>
    </row>
    <row r="639" spans="1:34" x14ac:dyDescent="0.2">
      <c r="A639" s="402">
        <f t="shared" ca="1" si="267"/>
        <v>0.1</v>
      </c>
      <c r="B639" s="357">
        <f t="shared" ca="1" si="268"/>
        <v>27.500000000000078</v>
      </c>
      <c r="C639" s="342"/>
      <c r="D639" s="359">
        <f t="shared" ca="1" si="269"/>
        <v>-0.76553803732574877</v>
      </c>
      <c r="E639" s="360">
        <f t="shared" ca="1" si="270"/>
        <v>-6.7727675922400881</v>
      </c>
      <c r="F639" s="357">
        <f t="shared" ca="1" si="271"/>
        <v>6.8158953443469299</v>
      </c>
      <c r="G639" s="359">
        <f t="shared" ca="1" si="272"/>
        <v>22.870960932043719</v>
      </c>
      <c r="H639" s="360">
        <f t="shared" ca="1" si="273"/>
        <v>-91.720349780807581</v>
      </c>
      <c r="I639" s="357">
        <f t="shared" ca="1" si="274"/>
        <v>94.528849659079</v>
      </c>
      <c r="J639" s="359">
        <f t="shared" ca="1" si="275"/>
        <v>799.74725179702273</v>
      </c>
      <c r="K639" s="360">
        <f t="shared" ca="1" si="276"/>
        <v>875.3734799567236</v>
      </c>
      <c r="L639" s="357">
        <f t="shared" ca="1" si="261"/>
        <v>1185.6957435060797</v>
      </c>
      <c r="M639" s="359">
        <f t="shared" ca="1" si="277"/>
        <v>-1.3264244746789278</v>
      </c>
      <c r="N639" s="357">
        <f t="shared" ca="1" si="278"/>
        <v>-75.998524241959899</v>
      </c>
      <c r="O639" s="343"/>
      <c r="P639" s="363">
        <f t="shared" ca="1" si="279"/>
        <v>23</v>
      </c>
      <c r="Q639" s="357">
        <f t="shared" ca="1" si="280"/>
        <v>0</v>
      </c>
      <c r="R639" s="359">
        <f t="shared" ca="1" si="281"/>
        <v>0</v>
      </c>
      <c r="S639" s="360">
        <f t="shared" ca="1" si="282"/>
        <v>8.3819999999999997</v>
      </c>
      <c r="T639" s="357">
        <f t="shared" ca="1" si="262"/>
        <v>82.227419999999995</v>
      </c>
      <c r="U639" s="364">
        <f t="shared" ca="1" si="263"/>
        <v>0</v>
      </c>
      <c r="V639" s="359">
        <f t="shared" ca="1" si="264"/>
        <v>1.1222633937326607</v>
      </c>
      <c r="W639" s="357">
        <f t="shared" ca="1" si="265"/>
        <v>26.636883700387205</v>
      </c>
      <c r="X639" s="343"/>
      <c r="Y639" s="367" t="str">
        <f t="shared" ca="1" si="283"/>
        <v/>
      </c>
      <c r="Z639" s="368" t="str">
        <f t="shared" ca="1" si="284"/>
        <v/>
      </c>
      <c r="AA639" s="369" t="str">
        <f t="shared" ca="1" si="285"/>
        <v/>
      </c>
      <c r="AB639" s="344"/>
      <c r="AC639" s="363" t="e">
        <f t="shared" ca="1" si="286"/>
        <v>#N/A</v>
      </c>
      <c r="AD639" s="376" t="e">
        <f t="shared" ca="1" si="287"/>
        <v>#N/A</v>
      </c>
      <c r="AE639" s="377" t="e">
        <f t="shared" ca="1" si="266"/>
        <v>#N/A</v>
      </c>
      <c r="AF639" s="344"/>
      <c r="AG639" s="359">
        <f t="shared" ca="1" si="288"/>
        <v>6.3802648529163699</v>
      </c>
      <c r="AH639" s="357">
        <f t="shared" ca="1" si="289"/>
        <v>-3.1322243191284427</v>
      </c>
    </row>
    <row r="640" spans="1:34" x14ac:dyDescent="0.2">
      <c r="A640" s="402">
        <f t="shared" ca="1" si="267"/>
        <v>0.1</v>
      </c>
      <c r="B640" s="357">
        <f t="shared" ca="1" si="268"/>
        <v>27.60000000000008</v>
      </c>
      <c r="C640" s="342"/>
      <c r="D640" s="359">
        <f t="shared" ca="1" si="269"/>
        <v>-0.76887510114886271</v>
      </c>
      <c r="E640" s="360">
        <f t="shared" ca="1" si="270"/>
        <v>-6.7265487438561351</v>
      </c>
      <c r="F640" s="357">
        <f t="shared" ca="1" si="271"/>
        <v>6.7703490991705308</v>
      </c>
      <c r="G640" s="359">
        <f t="shared" ca="1" si="272"/>
        <v>22.794073421928832</v>
      </c>
      <c r="H640" s="360">
        <f t="shared" ca="1" si="273"/>
        <v>-92.393004655193195</v>
      </c>
      <c r="I640" s="357">
        <f t="shared" ca="1" si="274"/>
        <v>95.163212915384662</v>
      </c>
      <c r="J640" s="359">
        <f t="shared" ca="1" si="275"/>
        <v>802.03050351472132</v>
      </c>
      <c r="K640" s="360">
        <f t="shared" ca="1" si="276"/>
        <v>866.16781223492353</v>
      </c>
      <c r="L640" s="357">
        <f t="shared" ca="1" si="261"/>
        <v>1180.4658434363575</v>
      </c>
      <c r="M640" s="359">
        <f t="shared" ca="1" si="277"/>
        <v>-1.3289186122266214</v>
      </c>
      <c r="N640" s="357">
        <f t="shared" ca="1" si="278"/>
        <v>-76.141427796967847</v>
      </c>
      <c r="O640" s="343"/>
      <c r="P640" s="363">
        <f t="shared" ca="1" si="279"/>
        <v>23</v>
      </c>
      <c r="Q640" s="357">
        <f t="shared" ca="1" si="280"/>
        <v>0</v>
      </c>
      <c r="R640" s="359">
        <f t="shared" ca="1" si="281"/>
        <v>0</v>
      </c>
      <c r="S640" s="360">
        <f t="shared" ca="1" si="282"/>
        <v>8.3819999999999997</v>
      </c>
      <c r="T640" s="357">
        <f t="shared" ca="1" si="262"/>
        <v>82.227419999999995</v>
      </c>
      <c r="U640" s="364">
        <f t="shared" ca="1" si="263"/>
        <v>0</v>
      </c>
      <c r="V640" s="359">
        <f t="shared" ca="1" si="264"/>
        <v>1.1232989517255174</v>
      </c>
      <c r="W640" s="357">
        <f t="shared" ca="1" si="265"/>
        <v>27.020502277497254</v>
      </c>
      <c r="X640" s="343"/>
      <c r="Y640" s="367" t="str">
        <f t="shared" ca="1" si="283"/>
        <v/>
      </c>
      <c r="Z640" s="368" t="str">
        <f t="shared" ca="1" si="284"/>
        <v/>
      </c>
      <c r="AA640" s="369" t="str">
        <f t="shared" ca="1" si="285"/>
        <v/>
      </c>
      <c r="AB640" s="344"/>
      <c r="AC640" s="363" t="e">
        <f t="shared" ca="1" si="286"/>
        <v>#N/A</v>
      </c>
      <c r="AD640" s="376" t="e">
        <f t="shared" ca="1" si="287"/>
        <v>#N/A</v>
      </c>
      <c r="AE640" s="377" t="e">
        <f t="shared" ca="1" si="266"/>
        <v>#N/A</v>
      </c>
      <c r="AF640" s="344"/>
      <c r="AG640" s="359">
        <f t="shared" ca="1" si="288"/>
        <v>6.3406726450793407</v>
      </c>
      <c r="AH640" s="357">
        <f t="shared" ca="1" si="289"/>
        <v>-3.1778672990201868</v>
      </c>
    </row>
    <row r="641" spans="1:34" x14ac:dyDescent="0.2">
      <c r="A641" s="402">
        <f t="shared" ca="1" si="267"/>
        <v>0.1</v>
      </c>
      <c r="B641" s="357">
        <f t="shared" ca="1" si="268"/>
        <v>27.700000000000081</v>
      </c>
      <c r="C641" s="342"/>
      <c r="D641" s="359">
        <f t="shared" ca="1" si="269"/>
        <v>-0.77214454527671161</v>
      </c>
      <c r="E641" s="360">
        <f t="shared" ca="1" si="270"/>
        <v>-6.6802059853154416</v>
      </c>
      <c r="F641" s="357">
        <f t="shared" ca="1" si="271"/>
        <v>6.7246828330446062</v>
      </c>
      <c r="G641" s="359">
        <f t="shared" ca="1" si="272"/>
        <v>22.716858967401162</v>
      </c>
      <c r="H641" s="360">
        <f t="shared" ca="1" si="273"/>
        <v>-93.061025253724736</v>
      </c>
      <c r="I641" s="357">
        <f t="shared" ca="1" si="274"/>
        <v>95.79358069630338</v>
      </c>
      <c r="J641" s="359">
        <f t="shared" ca="1" si="275"/>
        <v>804.30605013418779</v>
      </c>
      <c r="K641" s="360">
        <f t="shared" ca="1" si="276"/>
        <v>856.89511073947767</v>
      </c>
      <c r="L641" s="357">
        <f t="shared" ca="1" si="261"/>
        <v>1175.235062909408</v>
      </c>
      <c r="M641" s="359">
        <f t="shared" ca="1" si="277"/>
        <v>-1.3313715463352438</v>
      </c>
      <c r="N641" s="357">
        <f t="shared" ca="1" si="278"/>
        <v>-76.281970568815595</v>
      </c>
      <c r="O641" s="343"/>
      <c r="P641" s="363">
        <f t="shared" ca="1" si="279"/>
        <v>23</v>
      </c>
      <c r="Q641" s="357">
        <f t="shared" ca="1" si="280"/>
        <v>0</v>
      </c>
      <c r="R641" s="359">
        <f t="shared" ca="1" si="281"/>
        <v>0</v>
      </c>
      <c r="S641" s="360">
        <f t="shared" ca="1" si="282"/>
        <v>8.3819999999999997</v>
      </c>
      <c r="T641" s="357">
        <f t="shared" ca="1" si="262"/>
        <v>82.227419999999995</v>
      </c>
      <c r="U641" s="364">
        <f t="shared" ca="1" si="263"/>
        <v>0</v>
      </c>
      <c r="V641" s="359">
        <f t="shared" ca="1" si="264"/>
        <v>1.1243429745815465</v>
      </c>
      <c r="W641" s="357">
        <f t="shared" ca="1" si="265"/>
        <v>27.405106644275001</v>
      </c>
      <c r="X641" s="343"/>
      <c r="Y641" s="367" t="str">
        <f t="shared" ca="1" si="283"/>
        <v/>
      </c>
      <c r="Z641" s="368" t="str">
        <f t="shared" ca="1" si="284"/>
        <v/>
      </c>
      <c r="AA641" s="369" t="str">
        <f t="shared" ca="1" si="285"/>
        <v/>
      </c>
      <c r="AB641" s="344"/>
      <c r="AC641" s="363" t="e">
        <f t="shared" ca="1" si="286"/>
        <v>#N/A</v>
      </c>
      <c r="AD641" s="376" t="e">
        <f t="shared" ca="1" si="287"/>
        <v>#N/A</v>
      </c>
      <c r="AE641" s="377" t="e">
        <f t="shared" ca="1" si="266"/>
        <v>#N/A</v>
      </c>
      <c r="AF641" s="344"/>
      <c r="AG641" s="359">
        <f t="shared" ca="1" si="288"/>
        <v>6.3007959154832616</v>
      </c>
      <c r="AH641" s="357">
        <f t="shared" ca="1" si="289"/>
        <v>-3.2236342492838528</v>
      </c>
    </row>
    <row r="642" spans="1:34" x14ac:dyDescent="0.2">
      <c r="A642" s="402">
        <f t="shared" ca="1" si="267"/>
        <v>0.1</v>
      </c>
      <c r="B642" s="357">
        <f t="shared" ca="1" si="268"/>
        <v>27.800000000000082</v>
      </c>
      <c r="C642" s="342"/>
      <c r="D642" s="359">
        <f t="shared" ca="1" si="269"/>
        <v>-0.7753462925266178</v>
      </c>
      <c r="E642" s="360">
        <f t="shared" ca="1" si="270"/>
        <v>-6.6337457030153857</v>
      </c>
      <c r="F642" s="357">
        <f t="shared" ca="1" si="271"/>
        <v>6.6789028983516348</v>
      </c>
      <c r="G642" s="359">
        <f t="shared" ca="1" si="272"/>
        <v>22.639324338148501</v>
      </c>
      <c r="H642" s="360">
        <f t="shared" ca="1" si="273"/>
        <v>-93.724399824026278</v>
      </c>
      <c r="I642" s="357">
        <f t="shared" ca="1" si="274"/>
        <v>96.419925994899103</v>
      </c>
      <c r="J642" s="359">
        <f t="shared" ca="1" si="275"/>
        <v>806.57385929946531</v>
      </c>
      <c r="K642" s="360">
        <f t="shared" ca="1" si="276"/>
        <v>847.55583948559013</v>
      </c>
      <c r="L642" s="357">
        <f t="shared" ca="1" si="261"/>
        <v>1170.0052527879338</v>
      </c>
      <c r="M642" s="359">
        <f t="shared" ca="1" si="277"/>
        <v>-1.3337843084757106</v>
      </c>
      <c r="N642" s="357">
        <f t="shared" ca="1" si="278"/>
        <v>-76.420211656433295</v>
      </c>
      <c r="O642" s="343"/>
      <c r="P642" s="363">
        <f t="shared" ca="1" si="279"/>
        <v>23</v>
      </c>
      <c r="Q642" s="357">
        <f t="shared" ca="1" si="280"/>
        <v>0</v>
      </c>
      <c r="R642" s="359">
        <f t="shared" ca="1" si="281"/>
        <v>0</v>
      </c>
      <c r="S642" s="360">
        <f t="shared" ca="1" si="282"/>
        <v>8.3819999999999997</v>
      </c>
      <c r="T642" s="357">
        <f t="shared" ca="1" si="262"/>
        <v>82.227419999999995</v>
      </c>
      <c r="U642" s="364">
        <f t="shared" ca="1" si="263"/>
        <v>0</v>
      </c>
      <c r="V642" s="359">
        <f t="shared" ca="1" si="264"/>
        <v>1.1253954313528327</v>
      </c>
      <c r="W642" s="357">
        <f t="shared" ca="1" si="265"/>
        <v>27.790643742117393</v>
      </c>
      <c r="X642" s="343"/>
      <c r="Y642" s="367" t="str">
        <f t="shared" ca="1" si="283"/>
        <v/>
      </c>
      <c r="Z642" s="368" t="str">
        <f t="shared" ca="1" si="284"/>
        <v/>
      </c>
      <c r="AA642" s="369" t="str">
        <f t="shared" ca="1" si="285"/>
        <v/>
      </c>
      <c r="AB642" s="344"/>
      <c r="AC642" s="363" t="e">
        <f t="shared" ca="1" si="286"/>
        <v>#N/A</v>
      </c>
      <c r="AD642" s="376" t="e">
        <f t="shared" ca="1" si="287"/>
        <v>#N/A</v>
      </c>
      <c r="AE642" s="377" t="e">
        <f t="shared" ca="1" si="266"/>
        <v>#N/A</v>
      </c>
      <c r="AF642" s="344"/>
      <c r="AG642" s="359">
        <f t="shared" ca="1" si="288"/>
        <v>6.2606464823380534</v>
      </c>
      <c r="AH642" s="357">
        <f t="shared" ca="1" si="289"/>
        <v>-3.2695188074773327</v>
      </c>
    </row>
    <row r="643" spans="1:34" x14ac:dyDescent="0.2">
      <c r="A643" s="402">
        <f t="shared" ca="1" si="267"/>
        <v>0.1</v>
      </c>
      <c r="B643" s="357">
        <f t="shared" ca="1" si="268"/>
        <v>27.900000000000084</v>
      </c>
      <c r="C643" s="342"/>
      <c r="D643" s="359">
        <f t="shared" ca="1" si="269"/>
        <v>-0.77848028390790913</v>
      </c>
      <c r="E643" s="360">
        <f t="shared" ca="1" si="270"/>
        <v>-6.5871742524506178</v>
      </c>
      <c r="F643" s="357">
        <f t="shared" ca="1" si="271"/>
        <v>6.6330156176946922</v>
      </c>
      <c r="G643" s="359">
        <f t="shared" ca="1" si="272"/>
        <v>22.561476309757712</v>
      </c>
      <c r="H643" s="360">
        <f t="shared" ca="1" si="273"/>
        <v>-94.383117249271336</v>
      </c>
      <c r="I643" s="357">
        <f t="shared" ca="1" si="274"/>
        <v>97.042222949422694</v>
      </c>
      <c r="J643" s="359">
        <f t="shared" ca="1" si="275"/>
        <v>808.83389933186061</v>
      </c>
      <c r="K643" s="360">
        <f t="shared" ca="1" si="276"/>
        <v>838.15046363192528</v>
      </c>
      <c r="L643" s="357">
        <f t="shared" ca="1" si="261"/>
        <v>1164.7782949535047</v>
      </c>
      <c r="M643" s="359">
        <f t="shared" ca="1" si="277"/>
        <v>-1.3361578965231125</v>
      </c>
      <c r="N643" s="357">
        <f t="shared" ca="1" si="278"/>
        <v>-76.556208233852118</v>
      </c>
      <c r="O643" s="343"/>
      <c r="P643" s="363">
        <f t="shared" ca="1" si="279"/>
        <v>23</v>
      </c>
      <c r="Q643" s="357">
        <f t="shared" ca="1" si="280"/>
        <v>0</v>
      </c>
      <c r="R643" s="359">
        <f t="shared" ca="1" si="281"/>
        <v>0</v>
      </c>
      <c r="S643" s="360">
        <f t="shared" ca="1" si="282"/>
        <v>8.3819999999999997</v>
      </c>
      <c r="T643" s="357">
        <f t="shared" ca="1" si="262"/>
        <v>82.227419999999995</v>
      </c>
      <c r="U643" s="364">
        <f t="shared" ca="1" si="263"/>
        <v>0</v>
      </c>
      <c r="V643" s="359">
        <f t="shared" ca="1" si="264"/>
        <v>1.1264562909754365</v>
      </c>
      <c r="W643" s="357">
        <f t="shared" ca="1" si="265"/>
        <v>28.177060795495208</v>
      </c>
      <c r="X643" s="343"/>
      <c r="Y643" s="367" t="str">
        <f t="shared" ca="1" si="283"/>
        <v/>
      </c>
      <c r="Z643" s="368" t="str">
        <f t="shared" ca="1" si="284"/>
        <v/>
      </c>
      <c r="AA643" s="369" t="str">
        <f t="shared" ca="1" si="285"/>
        <v/>
      </c>
      <c r="AB643" s="344"/>
      <c r="AC643" s="363" t="e">
        <f t="shared" ca="1" si="286"/>
        <v>#N/A</v>
      </c>
      <c r="AD643" s="376" t="e">
        <f t="shared" ca="1" si="287"/>
        <v>#N/A</v>
      </c>
      <c r="AE643" s="377" t="e">
        <f t="shared" ca="1" si="266"/>
        <v>#N/A</v>
      </c>
      <c r="AF643" s="344"/>
      <c r="AG643" s="359">
        <f t="shared" ca="1" si="288"/>
        <v>6.2202359058095187</v>
      </c>
      <c r="AH643" s="357">
        <f t="shared" ca="1" si="289"/>
        <v>-3.3155146435358378</v>
      </c>
    </row>
    <row r="644" spans="1:34" x14ac:dyDescent="0.2">
      <c r="A644" s="402">
        <f t="shared" ca="1" si="267"/>
        <v>0.1</v>
      </c>
      <c r="B644" s="357">
        <f t="shared" ca="1" si="268"/>
        <v>28.000000000000085</v>
      </c>
      <c r="C644" s="342"/>
      <c r="D644" s="359">
        <f t="shared" ca="1" si="269"/>
        <v>-0.78154647827003432</v>
      </c>
      <c r="E644" s="360">
        <f t="shared" ca="1" si="270"/>
        <v>-6.5404979567133701</v>
      </c>
      <c r="F644" s="357">
        <f t="shared" ca="1" si="271"/>
        <v>6.5870272824293101</v>
      </c>
      <c r="G644" s="359">
        <f t="shared" ca="1" si="272"/>
        <v>22.483321661930709</v>
      </c>
      <c r="H644" s="360">
        <f t="shared" ca="1" si="273"/>
        <v>-95.037167044942677</v>
      </c>
      <c r="I644" s="357">
        <f t="shared" ca="1" si="274"/>
        <v>97.660446818976723</v>
      </c>
      <c r="J644" s="359">
        <f t="shared" ca="1" si="275"/>
        <v>811.08613923044504</v>
      </c>
      <c r="K644" s="360">
        <f t="shared" ca="1" si="276"/>
        <v>828.67944941721453</v>
      </c>
      <c r="L644" s="357">
        <f t="shared" ref="L644:L707" ca="1" si="290">SQRT(pos_x^2+pos_z^2)</f>
        <v>1159.5561026264174</v>
      </c>
      <c r="M644" s="359">
        <f t="shared" ca="1" si="277"/>
        <v>-1.3384932760740933</v>
      </c>
      <c r="N644" s="357">
        <f t="shared" ca="1" si="278"/>
        <v>-76.690015625684481</v>
      </c>
      <c r="O644" s="343"/>
      <c r="P644" s="363">
        <f t="shared" ca="1" si="279"/>
        <v>23</v>
      </c>
      <c r="Q644" s="357">
        <f t="shared" ca="1" si="280"/>
        <v>0</v>
      </c>
      <c r="R644" s="359">
        <f t="shared" ca="1" si="281"/>
        <v>0</v>
      </c>
      <c r="S644" s="360">
        <f t="shared" ca="1" si="282"/>
        <v>8.3819999999999997</v>
      </c>
      <c r="T644" s="357">
        <f t="shared" ref="T644:T707" ca="1" si="291">m*g</f>
        <v>82.227419999999995</v>
      </c>
      <c r="U644" s="364">
        <f t="shared" ref="U644:U707" ca="1" si="292">IF(pos_xz&lt;L_rampe,Poids*COS(Beta),0)</f>
        <v>0</v>
      </c>
      <c r="V644" s="359">
        <f t="shared" ref="V644:V707" ca="1" si="293">Rho_moyen*(20000-Alt_rampe-pos_z)/(20000+Alt_rampe+pos_z)</f>
        <v>1.1275255222731377</v>
      </c>
      <c r="W644" s="357">
        <f t="shared" ref="W644:W707" ca="1" si="294">1/2*Rho*Sref*Cx*vit_xz^2</f>
        <v>28.56430532341539</v>
      </c>
      <c r="X644" s="343"/>
      <c r="Y644" s="367" t="str">
        <f t="shared" ca="1" si="283"/>
        <v/>
      </c>
      <c r="Z644" s="368" t="str">
        <f t="shared" ca="1" si="284"/>
        <v/>
      </c>
      <c r="AA644" s="369" t="str">
        <f t="shared" ca="1" si="285"/>
        <v/>
      </c>
      <c r="AB644" s="344"/>
      <c r="AC644" s="363">
        <f t="shared" ca="1" si="286"/>
        <v>28.000000000000085</v>
      </c>
      <c r="AD644" s="376">
        <f t="shared" ca="1" si="287"/>
        <v>811.08613923044504</v>
      </c>
      <c r="AE644" s="377" t="e">
        <f t="shared" ref="AE644:AE707" ca="1" si="295">IF(t&lt;T_para, pos_z, NA())</f>
        <v>#N/A</v>
      </c>
      <c r="AF644" s="344"/>
      <c r="AG644" s="359">
        <f t="shared" ca="1" si="288"/>
        <v>6.1795754975149322</v>
      </c>
      <c r="AH644" s="357">
        <f t="shared" ca="1" si="289"/>
        <v>-3.3616154611662146</v>
      </c>
    </row>
    <row r="645" spans="1:34" x14ac:dyDescent="0.2">
      <c r="A645" s="402">
        <f t="shared" ref="A645:A708" ca="1" si="296">IF(B644+0.01&lt;=T_ini+ROUNDUP(Temps_fin_propu,0), 0.01, IF(K644&gt;0, 0.1, 0.0001))</f>
        <v>0.1</v>
      </c>
      <c r="B645" s="357">
        <f t="shared" ref="B645:B708" ca="1" si="297">B644+pas</f>
        <v>28.100000000000087</v>
      </c>
      <c r="C645" s="342"/>
      <c r="D645" s="359">
        <f t="shared" ref="D645:D708" ca="1" si="298">IF(AND(L644&lt;L_rampe,Poussee&lt;Poids*SIN(M644)),0,(-W644+Poussee)/m*COS(M644)-U644/m*SIN(M644))</f>
        <v>-0.78454485195742718</v>
      </c>
      <c r="E645" s="360">
        <f t="shared" ref="E645:E708" ca="1" si="299">IF(AND(L644&lt;L_rampe,Poussee&lt;Poids*SIN(M644)),0,(-W644+Poussee)/m*SIN(M644)+U644/m*COS(M644)-Poids/m)</f>
        <v>-6.4937231050260635</v>
      </c>
      <c r="F645" s="357">
        <f t="shared" ref="F645:F708" ca="1" si="300">SQRT(acc_x^2+acc_z^2)</f>
        <v>6.5409441512278814</v>
      </c>
      <c r="G645" s="359">
        <f t="shared" ref="G645:G708" ca="1" si="301">G644+acc_x*pas</f>
        <v>22.404867176734967</v>
      </c>
      <c r="H645" s="360">
        <f t="shared" ref="H645:H708" ca="1" si="302">H644+acc_z*pas</f>
        <v>-95.686539355445291</v>
      </c>
      <c r="I645" s="357">
        <f t="shared" ref="I645:I708" ca="1" si="303">SQRT(vit_x^2+vit_z^2)</f>
        <v>98.274573960044805</v>
      </c>
      <c r="J645" s="359">
        <f t="shared" ref="J645:J708" ca="1" si="304">J644+0.5*(vit_x+G644)*pas*(K644&gt;=0)</f>
        <v>813.33054867237831</v>
      </c>
      <c r="K645" s="360">
        <f t="shared" ref="K645:K708" ca="1" si="305">K644+0.5*(vit_z+H644)*pas</f>
        <v>819.14326409719513</v>
      </c>
      <c r="L645" s="357">
        <f t="shared" ca="1" si="290"/>
        <v>1154.3406206659797</v>
      </c>
      <c r="M645" s="359">
        <f t="shared" ref="M645:M708" ca="1" si="306">IF(AND(L644&gt;L_rampe,G645&gt;0),ATAN2(G645,H645),$M$4)</f>
        <v>-1.3407913817046311</v>
      </c>
      <c r="N645" s="357">
        <f t="shared" ref="N645:N708" ca="1" si="307">DEGREES(Beta)</f>
        <v>-76.821687379189541</v>
      </c>
      <c r="O645" s="343"/>
      <c r="P645" s="363">
        <f t="shared" ref="P645:P708" ca="1" si="308">MATCH(t-pas/2-T_ini,CdP_t)</f>
        <v>23</v>
      </c>
      <c r="Q645" s="357">
        <f t="shared" ref="Q645:Q708" ca="1" si="309">(INDEX(CdP,2,i_P+1)-INDEX(CdP,2,i_P+0))/(INDEX(CdP,1,i_P+1)-INDEX(CdP,1,i_P+0))*(t-pas/2-T_ini-INDEX(CdP,1,i_P+0))+INDEX(CdP,2,i_P+0)</f>
        <v>0</v>
      </c>
      <c r="R645" s="359">
        <f t="shared" ref="R645:R708" ca="1" si="310">Poussee/(g*ISP)</f>
        <v>0</v>
      </c>
      <c r="S645" s="360">
        <f t="shared" ref="S645:S708" ca="1" si="311">S644-Débit*pas</f>
        <v>8.3819999999999997</v>
      </c>
      <c r="T645" s="357">
        <f t="shared" ca="1" si="291"/>
        <v>82.227419999999995</v>
      </c>
      <c r="U645" s="364">
        <f t="shared" ca="1" si="292"/>
        <v>0</v>
      </c>
      <c r="V645" s="359">
        <f t="shared" ca="1" si="293"/>
        <v>1.1286030939611698</v>
      </c>
      <c r="W645" s="357">
        <f t="shared" ca="1" si="294"/>
        <v>28.952325150655636</v>
      </c>
      <c r="X645" s="343"/>
      <c r="Y645" s="367" t="str">
        <f t="shared" ref="Y645:Y708" ca="1" si="312">IF(AND(pos_z&lt;=0,K644&gt;0),"Impact balistique","") &amp; IF(AND(H646&lt;0,vit_z&gt;=0),"Apogée","") &amp; IF(AND(Poussee=0,Q644&gt;0),"Fin de propulsion","") &amp; IF(AND(L646&gt;L_rampe,pos_xz&lt;=L_rampe),"Sortie de rampe","")</f>
        <v/>
      </c>
      <c r="Z645" s="368" t="str">
        <f t="shared" ref="Z645:Z708" ca="1" si="313">IF(ABS(t-T_para)&lt;pas/2,"Para","")</f>
        <v/>
      </c>
      <c r="AA645" s="369" t="str">
        <f t="shared" ref="AA645:AA708" ca="1" si="314">IF(ABS(t-T_satellite)&lt;pas/2,"Satellite","")</f>
        <v/>
      </c>
      <c r="AB645" s="344"/>
      <c r="AC645" s="363" t="e">
        <f t="shared" ref="AC645:AC708" ca="1" si="315">IF(ABS(t-ROUND(t,0))&lt;0.001,t,NA())</f>
        <v>#N/A</v>
      </c>
      <c r="AD645" s="376" t="e">
        <f t="shared" ref="AD645:AD708" ca="1" si="316">IF(ABS(t-ROUND(t,0))&lt;0.001,pos_x,NA())</f>
        <v>#N/A</v>
      </c>
      <c r="AE645" s="377" t="e">
        <f t="shared" ca="1" si="295"/>
        <v>#N/A</v>
      </c>
      <c r="AF645" s="344"/>
      <c r="AG645" s="359">
        <f t="shared" ref="AG645:AG708" ca="1" si="317">IF(AND(L644&lt;L_rampe,Poussee&lt;Poids*SIN(M644)),0,(-W644+Poussee)/m-Poids*SIN(M644)/m)</f>
        <v>6.1386763294503304</v>
      </c>
      <c r="AH645" s="357">
        <f t="shared" ref="AH645:AH708" ca="1" si="318">IF(AND(L644&lt;L_rampe,Poussee&lt;Poids*SIN(M644)), g*SIN(M644), (-W644+Poussee)/m)</f>
        <v>-3.4078149992144344</v>
      </c>
    </row>
    <row r="646" spans="1:34" x14ac:dyDescent="0.2">
      <c r="A646" s="402">
        <f t="shared" ca="1" si="296"/>
        <v>0.1</v>
      </c>
      <c r="B646" s="357">
        <f t="shared" ca="1" si="297"/>
        <v>28.200000000000088</v>
      </c>
      <c r="C646" s="342"/>
      <c r="D646" s="359">
        <f t="shared" ca="1" si="298"/>
        <v>-0.78747539847069248</v>
      </c>
      <c r="E646" s="360">
        <f t="shared" ca="1" si="299"/>
        <v>-6.4468559513062189</v>
      </c>
      <c r="F646" s="357">
        <f t="shared" ca="1" si="300"/>
        <v>6.4947724486766267</v>
      </c>
      <c r="G646" s="359">
        <f t="shared" ca="1" si="301"/>
        <v>22.326119636887899</v>
      </c>
      <c r="H646" s="360">
        <f t="shared" ca="1" si="302"/>
        <v>-96.331224950575915</v>
      </c>
      <c r="I646" s="357">
        <f t="shared" ca="1" si="303"/>
        <v>98.884581803833768</v>
      </c>
      <c r="J646" s="359">
        <f t="shared" ca="1" si="304"/>
        <v>815.56709801305942</v>
      </c>
      <c r="K646" s="360">
        <f t="shared" ca="1" si="305"/>
        <v>809.54237588189403</v>
      </c>
      <c r="L646" s="357">
        <f t="shared" ca="1" si="290"/>
        <v>1149.1338258488195</v>
      </c>
      <c r="M646" s="359">
        <f t="shared" ca="1" si="306"/>
        <v>-1.3430531181712304</v>
      </c>
      <c r="N646" s="357">
        <f t="shared" ca="1" si="307"/>
        <v>-76.951275333096518</v>
      </c>
      <c r="O646" s="343"/>
      <c r="P646" s="363">
        <f t="shared" ca="1" si="308"/>
        <v>23</v>
      </c>
      <c r="Q646" s="357">
        <f t="shared" ca="1" si="309"/>
        <v>0</v>
      </c>
      <c r="R646" s="359">
        <f t="shared" ca="1" si="310"/>
        <v>0</v>
      </c>
      <c r="S646" s="360">
        <f t="shared" ca="1" si="311"/>
        <v>8.3819999999999997</v>
      </c>
      <c r="T646" s="357">
        <f t="shared" ca="1" si="291"/>
        <v>82.227419999999995</v>
      </c>
      <c r="U646" s="364">
        <f t="shared" ca="1" si="292"/>
        <v>0</v>
      </c>
      <c r="V646" s="359">
        <f t="shared" ca="1" si="293"/>
        <v>1.129688974649949</v>
      </c>
      <c r="W646" s="357">
        <f t="shared" ca="1" si="294"/>
        <v>29.341068418768355</v>
      </c>
      <c r="X646" s="343"/>
      <c r="Y646" s="367" t="str">
        <f t="shared" ca="1" si="312"/>
        <v/>
      </c>
      <c r="Z646" s="368" t="str">
        <f t="shared" ca="1" si="313"/>
        <v/>
      </c>
      <c r="AA646" s="369" t="str">
        <f t="shared" ca="1" si="314"/>
        <v/>
      </c>
      <c r="AB646" s="344"/>
      <c r="AC646" s="363" t="e">
        <f t="shared" ca="1" si="315"/>
        <v>#N/A</v>
      </c>
      <c r="AD646" s="376" t="e">
        <f t="shared" ca="1" si="316"/>
        <v>#N/A</v>
      </c>
      <c r="AE646" s="377" t="e">
        <f t="shared" ca="1" si="295"/>
        <v>#N/A</v>
      </c>
      <c r="AF646" s="344"/>
      <c r="AG646" s="359">
        <f t="shared" ca="1" si="317"/>
        <v>6.0975492423858864</v>
      </c>
      <c r="AH646" s="357">
        <f t="shared" ca="1" si="318"/>
        <v>-3.454107033005922</v>
      </c>
    </row>
    <row r="647" spans="1:34" x14ac:dyDescent="0.2">
      <c r="A647" s="402">
        <f t="shared" ca="1" si="296"/>
        <v>0.1</v>
      </c>
      <c r="B647" s="357">
        <f t="shared" ca="1" si="297"/>
        <v>28.30000000000009</v>
      </c>
      <c r="C647" s="342"/>
      <c r="D647" s="359">
        <f t="shared" ca="1" si="298"/>
        <v>-0.79033812813369309</v>
      </c>
      <c r="E647" s="360">
        <f t="shared" ca="1" si="299"/>
        <v>-6.3999027127637307</v>
      </c>
      <c r="F647" s="357">
        <f t="shared" ca="1" si="300"/>
        <v>6.4485183639051868</v>
      </c>
      <c r="G647" s="359">
        <f t="shared" ca="1" si="301"/>
        <v>22.247085824074532</v>
      </c>
      <c r="H647" s="360">
        <f t="shared" ca="1" si="302"/>
        <v>-96.97121522185229</v>
      </c>
      <c r="I647" s="357">
        <f t="shared" ca="1" si="303"/>
        <v>99.490448834380757</v>
      </c>
      <c r="J647" s="359">
        <f t="shared" ca="1" si="304"/>
        <v>817.79575828610757</v>
      </c>
      <c r="K647" s="360">
        <f t="shared" ca="1" si="305"/>
        <v>799.87725387327259</v>
      </c>
      <c r="L647" s="357">
        <f t="shared" ca="1" si="290"/>
        <v>1143.9377271226774</v>
      </c>
      <c r="M647" s="359">
        <f t="shared" ca="1" si="306"/>
        <v>-1.3452793615583698</v>
      </c>
      <c r="N647" s="357">
        <f t="shared" ca="1" si="307"/>
        <v>-77.078829683348516</v>
      </c>
      <c r="O647" s="343"/>
      <c r="P647" s="363">
        <f t="shared" ca="1" si="308"/>
        <v>23</v>
      </c>
      <c r="Q647" s="357">
        <f t="shared" ca="1" si="309"/>
        <v>0</v>
      </c>
      <c r="R647" s="359">
        <f t="shared" ca="1" si="310"/>
        <v>0</v>
      </c>
      <c r="S647" s="360">
        <f t="shared" ca="1" si="311"/>
        <v>8.3819999999999997</v>
      </c>
      <c r="T647" s="357">
        <f t="shared" ca="1" si="291"/>
        <v>82.227419999999995</v>
      </c>
      <c r="U647" s="364">
        <f t="shared" ca="1" si="292"/>
        <v>0</v>
      </c>
      <c r="V647" s="359">
        <f t="shared" ca="1" si="293"/>
        <v>1.1307831328487963</v>
      </c>
      <c r="W647" s="357">
        <f t="shared" ca="1" si="294"/>
        <v>29.730483596851716</v>
      </c>
      <c r="X647" s="343"/>
      <c r="Y647" s="367" t="str">
        <f t="shared" ca="1" si="312"/>
        <v/>
      </c>
      <c r="Z647" s="368" t="str">
        <f t="shared" ca="1" si="313"/>
        <v/>
      </c>
      <c r="AA647" s="369" t="str">
        <f t="shared" ca="1" si="314"/>
        <v/>
      </c>
      <c r="AB647" s="344"/>
      <c r="AC647" s="363" t="e">
        <f t="shared" ca="1" si="315"/>
        <v>#N/A</v>
      </c>
      <c r="AD647" s="376" t="e">
        <f t="shared" ca="1" si="316"/>
        <v>#N/A</v>
      </c>
      <c r="AE647" s="377" t="e">
        <f t="shared" ca="1" si="295"/>
        <v>#N/A</v>
      </c>
      <c r="AF647" s="344"/>
      <c r="AG647" s="359">
        <f t="shared" ca="1" si="317"/>
        <v>6.0562048537633499</v>
      </c>
      <c r="AH647" s="357">
        <f t="shared" ca="1" si="318"/>
        <v>-3.500485375658358</v>
      </c>
    </row>
    <row r="648" spans="1:34" x14ac:dyDescent="0.2">
      <c r="A648" s="402">
        <f t="shared" ca="1" si="296"/>
        <v>0.1</v>
      </c>
      <c r="B648" s="357">
        <f t="shared" ca="1" si="297"/>
        <v>28.400000000000091</v>
      </c>
      <c r="C648" s="342"/>
      <c r="D648" s="359">
        <f t="shared" ca="1" si="298"/>
        <v>-0.79313306776618386</v>
      </c>
      <c r="E648" s="360">
        <f t="shared" ca="1" si="299"/>
        <v>-6.3528695685304655</v>
      </c>
      <c r="F648" s="357">
        <f t="shared" ca="1" si="300"/>
        <v>6.4021880492488394</v>
      </c>
      <c r="G648" s="359">
        <f t="shared" ca="1" si="301"/>
        <v>22.167772517297912</v>
      </c>
      <c r="H648" s="360">
        <f t="shared" ca="1" si="302"/>
        <v>-97.606502178705341</v>
      </c>
      <c r="I648" s="357">
        <f t="shared" ca="1" si="303"/>
        <v>100.09215456737995</v>
      </c>
      <c r="J648" s="359">
        <f t="shared" ca="1" si="304"/>
        <v>820.01650120317618</v>
      </c>
      <c r="K648" s="360">
        <f t="shared" ca="1" si="305"/>
        <v>790.14836800324474</v>
      </c>
      <c r="L648" s="357">
        <f t="shared" ca="1" si="290"/>
        <v>1138.7543658329876</v>
      </c>
      <c r="M648" s="359">
        <f t="shared" ca="1" si="306"/>
        <v>-1.3474709603748936</v>
      </c>
      <c r="N648" s="357">
        <f t="shared" ca="1" si="307"/>
        <v>-77.204399045921193</v>
      </c>
      <c r="O648" s="343"/>
      <c r="P648" s="363">
        <f t="shared" ca="1" si="308"/>
        <v>23</v>
      </c>
      <c r="Q648" s="357">
        <f t="shared" ca="1" si="309"/>
        <v>0</v>
      </c>
      <c r="R648" s="359">
        <f t="shared" ca="1" si="310"/>
        <v>0</v>
      </c>
      <c r="S648" s="360">
        <f t="shared" ca="1" si="311"/>
        <v>8.3819999999999997</v>
      </c>
      <c r="T648" s="357">
        <f t="shared" ca="1" si="291"/>
        <v>82.227419999999995</v>
      </c>
      <c r="U648" s="364">
        <f t="shared" ca="1" si="292"/>
        <v>0</v>
      </c>
      <c r="V648" s="359">
        <f t="shared" ca="1" si="293"/>
        <v>1.1318855369696492</v>
      </c>
      <c r="W648" s="357">
        <f t="shared" ca="1" si="294"/>
        <v>30.120519492085169</v>
      </c>
      <c r="X648" s="343"/>
      <c r="Y648" s="367" t="str">
        <f t="shared" ca="1" si="312"/>
        <v/>
      </c>
      <c r="Z648" s="368" t="str">
        <f t="shared" ca="1" si="313"/>
        <v/>
      </c>
      <c r="AA648" s="369" t="str">
        <f t="shared" ca="1" si="314"/>
        <v/>
      </c>
      <c r="AB648" s="344"/>
      <c r="AC648" s="363" t="e">
        <f t="shared" ca="1" si="315"/>
        <v>#N/A</v>
      </c>
      <c r="AD648" s="376" t="e">
        <f t="shared" ca="1" si="316"/>
        <v>#N/A</v>
      </c>
      <c r="AE648" s="377" t="e">
        <f t="shared" ca="1" si="295"/>
        <v>#N/A</v>
      </c>
      <c r="AF648" s="344"/>
      <c r="AG648" s="359">
        <f t="shared" ca="1" si="317"/>
        <v>6.0146535651272437</v>
      </c>
      <c r="AH648" s="357">
        <f t="shared" ca="1" si="318"/>
        <v>-3.5469438793667045</v>
      </c>
    </row>
    <row r="649" spans="1:34" x14ac:dyDescent="0.2">
      <c r="A649" s="402">
        <f t="shared" ca="1" si="296"/>
        <v>0.1</v>
      </c>
      <c r="B649" s="357">
        <f t="shared" ca="1" si="297"/>
        <v>28.500000000000092</v>
      </c>
      <c r="C649" s="342"/>
      <c r="D649" s="359">
        <f t="shared" ca="1" si="298"/>
        <v>-0.7958602603616346</v>
      </c>
      <c r="E649" s="360">
        <f t="shared" ca="1" si="299"/>
        <v>-6.3057626583222621</v>
      </c>
      <c r="F649" s="357">
        <f t="shared" ca="1" si="300"/>
        <v>6.3557876189434097</v>
      </c>
      <c r="G649" s="359">
        <f t="shared" ca="1" si="301"/>
        <v>22.088186491261748</v>
      </c>
      <c r="H649" s="360">
        <f t="shared" ca="1" si="302"/>
        <v>-98.237078444537573</v>
      </c>
      <c r="I649" s="357">
        <f t="shared" ca="1" si="303"/>
        <v>100.68967952968659</v>
      </c>
      <c r="J649" s="359">
        <f t="shared" ca="1" si="304"/>
        <v>822.22929915360419</v>
      </c>
      <c r="K649" s="360">
        <f t="shared" ca="1" si="305"/>
        <v>780.35618897208258</v>
      </c>
      <c r="L649" s="357">
        <f t="shared" ca="1" si="290"/>
        <v>1133.5858159194036</v>
      </c>
      <c r="M649" s="359">
        <f t="shared" ca="1" si="306"/>
        <v>-1.3496287366018909</v>
      </c>
      <c r="N649" s="357">
        <f t="shared" ca="1" si="307"/>
        <v>-77.328030516861801</v>
      </c>
      <c r="O649" s="343"/>
      <c r="P649" s="363">
        <f t="shared" ca="1" si="308"/>
        <v>23</v>
      </c>
      <c r="Q649" s="357">
        <f t="shared" ca="1" si="309"/>
        <v>0</v>
      </c>
      <c r="R649" s="359">
        <f t="shared" ca="1" si="310"/>
        <v>0</v>
      </c>
      <c r="S649" s="360">
        <f t="shared" ca="1" si="311"/>
        <v>8.3819999999999997</v>
      </c>
      <c r="T649" s="357">
        <f t="shared" ca="1" si="291"/>
        <v>82.227419999999995</v>
      </c>
      <c r="U649" s="364">
        <f t="shared" ca="1" si="292"/>
        <v>0</v>
      </c>
      <c r="V649" s="359">
        <f t="shared" ca="1" si="293"/>
        <v>1.132996155330763</v>
      </c>
      <c r="W649" s="357">
        <f t="shared" ca="1" si="294"/>
        <v>30.511125260027299</v>
      </c>
      <c r="X649" s="343"/>
      <c r="Y649" s="367" t="str">
        <f t="shared" ca="1" si="312"/>
        <v/>
      </c>
      <c r="Z649" s="368" t="str">
        <f t="shared" ca="1" si="313"/>
        <v/>
      </c>
      <c r="AA649" s="369" t="str">
        <f t="shared" ca="1" si="314"/>
        <v/>
      </c>
      <c r="AB649" s="344"/>
      <c r="AC649" s="363" t="e">
        <f t="shared" ca="1" si="315"/>
        <v>#N/A</v>
      </c>
      <c r="AD649" s="376" t="e">
        <f t="shared" ca="1" si="316"/>
        <v>#N/A</v>
      </c>
      <c r="AE649" s="377" t="e">
        <f t="shared" ca="1" si="295"/>
        <v>#N/A</v>
      </c>
      <c r="AF649" s="344"/>
      <c r="AG649" s="359">
        <f t="shared" ca="1" si="317"/>
        <v>5.9729055691195292</v>
      </c>
      <c r="AH649" s="357">
        <f t="shared" ca="1" si="318"/>
        <v>-3.5934764366601253</v>
      </c>
    </row>
    <row r="650" spans="1:34" x14ac:dyDescent="0.2">
      <c r="A650" s="402">
        <f t="shared" ca="1" si="296"/>
        <v>0.1</v>
      </c>
      <c r="B650" s="357">
        <f t="shared" ca="1" si="297"/>
        <v>28.600000000000094</v>
      </c>
      <c r="C650" s="342"/>
      <c r="D650" s="359">
        <f t="shared" ca="1" si="298"/>
        <v>-0.79851976476992836</v>
      </c>
      <c r="E650" s="360">
        <f t="shared" ca="1" si="299"/>
        <v>-6.2585880811333112</v>
      </c>
      <c r="F650" s="357">
        <f t="shared" ca="1" si="300"/>
        <v>6.3093231478528784</v>
      </c>
      <c r="G650" s="359">
        <f t="shared" ca="1" si="301"/>
        <v>22.008334514784757</v>
      </c>
      <c r="H650" s="360">
        <f t="shared" ca="1" si="302"/>
        <v>-98.862937252650909</v>
      </c>
      <c r="I650" s="357">
        <f t="shared" ca="1" si="303"/>
        <v>101.28300523945889</v>
      </c>
      <c r="J650" s="359">
        <f t="shared" ca="1" si="304"/>
        <v>824.43412520390655</v>
      </c>
      <c r="K650" s="360">
        <f t="shared" ca="1" si="305"/>
        <v>770.50118818722319</v>
      </c>
      <c r="L650" s="357">
        <f t="shared" ca="1" si="290"/>
        <v>1128.4341840792724</v>
      </c>
      <c r="M650" s="359">
        <f t="shared" ca="1" si="306"/>
        <v>-1.351753486694466</v>
      </c>
      <c r="N650" s="357">
        <f t="shared" ca="1" si="307"/>
        <v>-77.449769729686381</v>
      </c>
      <c r="O650" s="343"/>
      <c r="P650" s="363">
        <f t="shared" ca="1" si="308"/>
        <v>23</v>
      </c>
      <c r="Q650" s="357">
        <f t="shared" ca="1" si="309"/>
        <v>0</v>
      </c>
      <c r="R650" s="359">
        <f t="shared" ca="1" si="310"/>
        <v>0</v>
      </c>
      <c r="S650" s="360">
        <f t="shared" ca="1" si="311"/>
        <v>8.3819999999999997</v>
      </c>
      <c r="T650" s="357">
        <f t="shared" ca="1" si="291"/>
        <v>82.227419999999995</v>
      </c>
      <c r="U650" s="364">
        <f t="shared" ca="1" si="292"/>
        <v>0</v>
      </c>
      <c r="V650" s="359">
        <f t="shared" ca="1" si="293"/>
        <v>1.1341149561604078</v>
      </c>
      <c r="W650" s="357">
        <f t="shared" ca="1" si="294"/>
        <v>30.902250414674153</v>
      </c>
      <c r="X650" s="343"/>
      <c r="Y650" s="367" t="str">
        <f t="shared" ca="1" si="312"/>
        <v/>
      </c>
      <c r="Z650" s="368" t="str">
        <f t="shared" ca="1" si="313"/>
        <v/>
      </c>
      <c r="AA650" s="369" t="str">
        <f t="shared" ca="1" si="314"/>
        <v/>
      </c>
      <c r="AB650" s="344"/>
      <c r="AC650" s="363" t="e">
        <f t="shared" ca="1" si="315"/>
        <v>#N/A</v>
      </c>
      <c r="AD650" s="376" t="e">
        <f t="shared" ca="1" si="316"/>
        <v>#N/A</v>
      </c>
      <c r="AE650" s="377" t="e">
        <f t="shared" ca="1" si="295"/>
        <v>#N/A</v>
      </c>
      <c r="AF650" s="344"/>
      <c r="AG650" s="359">
        <f t="shared" ca="1" si="317"/>
        <v>5.9309708560654819</v>
      </c>
      <c r="AH650" s="357">
        <f t="shared" ca="1" si="318"/>
        <v>-3.6400769816305538</v>
      </c>
    </row>
    <row r="651" spans="1:34" x14ac:dyDescent="0.2">
      <c r="A651" s="402">
        <f t="shared" ca="1" si="296"/>
        <v>0.1</v>
      </c>
      <c r="B651" s="357">
        <f t="shared" ca="1" si="297"/>
        <v>28.700000000000095</v>
      </c>
      <c r="C651" s="342"/>
      <c r="D651" s="359">
        <f t="shared" ca="1" si="298"/>
        <v>-0.80111165538465356</v>
      </c>
      <c r="E651" s="360">
        <f t="shared" ca="1" si="299"/>
        <v>-6.211351893962938</v>
      </c>
      <c r="F651" s="357">
        <f t="shared" ca="1" si="300"/>
        <v>6.2628006702297432</v>
      </c>
      <c r="G651" s="359">
        <f t="shared" ca="1" si="301"/>
        <v>21.928223349246291</v>
      </c>
      <c r="H651" s="360">
        <f t="shared" ca="1" si="302"/>
        <v>-99.484072442047207</v>
      </c>
      <c r="I651" s="357">
        <f t="shared" ca="1" si="303"/>
        <v>101.87211418690066</v>
      </c>
      <c r="J651" s="359">
        <f t="shared" ca="1" si="304"/>
        <v>826.63095309710809</v>
      </c>
      <c r="K651" s="360">
        <f t="shared" ca="1" si="305"/>
        <v>760.58383770248827</v>
      </c>
      <c r="L651" s="357">
        <f t="shared" ca="1" si="290"/>
        <v>1123.301609894902</v>
      </c>
      <c r="M651" s="359">
        <f t="shared" ca="1" si="306"/>
        <v>-1.3538459825396782</v>
      </c>
      <c r="N651" s="357">
        <f t="shared" ca="1" si="307"/>
        <v>-77.569660910265711</v>
      </c>
      <c r="O651" s="343"/>
      <c r="P651" s="363">
        <f t="shared" ca="1" si="308"/>
        <v>23</v>
      </c>
      <c r="Q651" s="357">
        <f t="shared" ca="1" si="309"/>
        <v>0</v>
      </c>
      <c r="R651" s="359">
        <f t="shared" ca="1" si="310"/>
        <v>0</v>
      </c>
      <c r="S651" s="360">
        <f t="shared" ca="1" si="311"/>
        <v>8.3819999999999997</v>
      </c>
      <c r="T651" s="357">
        <f t="shared" ca="1" si="291"/>
        <v>82.227419999999995</v>
      </c>
      <c r="U651" s="364">
        <f t="shared" ca="1" si="292"/>
        <v>0</v>
      </c>
      <c r="V651" s="359">
        <f t="shared" ca="1" si="293"/>
        <v>1.1352419076005469</v>
      </c>
      <c r="W651" s="357">
        <f t="shared" ca="1" si="294"/>
        <v>31.293844838275909</v>
      </c>
      <c r="X651" s="343"/>
      <c r="Y651" s="367" t="str">
        <f t="shared" ca="1" si="312"/>
        <v/>
      </c>
      <c r="Z651" s="368" t="str">
        <f t="shared" ca="1" si="313"/>
        <v/>
      </c>
      <c r="AA651" s="369" t="str">
        <f t="shared" ca="1" si="314"/>
        <v/>
      </c>
      <c r="AB651" s="344"/>
      <c r="AC651" s="363" t="e">
        <f t="shared" ca="1" si="315"/>
        <v>#N/A</v>
      </c>
      <c r="AD651" s="376" t="e">
        <f t="shared" ca="1" si="316"/>
        <v>#N/A</v>
      </c>
      <c r="AE651" s="377" t="e">
        <f t="shared" ca="1" si="295"/>
        <v>#N/A</v>
      </c>
      <c r="AF651" s="344"/>
      <c r="AG651" s="359">
        <f t="shared" ca="1" si="317"/>
        <v>5.8888592201767125</v>
      </c>
      <c r="AH651" s="357">
        <f t="shared" ca="1" si="318"/>
        <v>-3.6867394911326836</v>
      </c>
    </row>
    <row r="652" spans="1:34" x14ac:dyDescent="0.2">
      <c r="A652" s="402">
        <f t="shared" ca="1" si="296"/>
        <v>0.1</v>
      </c>
      <c r="B652" s="357">
        <f t="shared" ca="1" si="297"/>
        <v>28.800000000000097</v>
      </c>
      <c r="C652" s="342"/>
      <c r="D652" s="359">
        <f t="shared" ca="1" si="298"/>
        <v>-0.80363602183470195</v>
      </c>
      <c r="E652" s="360">
        <f t="shared" ca="1" si="299"/>
        <v>-6.1640601105748001</v>
      </c>
      <c r="F652" s="357">
        <f t="shared" ca="1" si="300"/>
        <v>6.2162261785081245</v>
      </c>
      <c r="G652" s="359">
        <f t="shared" ca="1" si="301"/>
        <v>21.84785974706282</v>
      </c>
      <c r="H652" s="360">
        <f t="shared" ca="1" si="302"/>
        <v>-100.10047845310469</v>
      </c>
      <c r="I652" s="357">
        <f t="shared" ca="1" si="303"/>
        <v>102.45698981556994</v>
      </c>
      <c r="J652" s="359">
        <f t="shared" ca="1" si="304"/>
        <v>828.81975725192353</v>
      </c>
      <c r="K652" s="360">
        <f t="shared" ca="1" si="305"/>
        <v>750.60461015773069</v>
      </c>
      <c r="L652" s="357">
        <f t="shared" ca="1" si="290"/>
        <v>1118.1902659213129</v>
      </c>
      <c r="M652" s="359">
        <f t="shared" ca="1" si="306"/>
        <v>-1.3559069723727981</v>
      </c>
      <c r="N652" s="357">
        <f t="shared" ca="1" si="307"/>
        <v>-77.687746929322842</v>
      </c>
      <c r="O652" s="343"/>
      <c r="P652" s="363">
        <f t="shared" ca="1" si="308"/>
        <v>23</v>
      </c>
      <c r="Q652" s="357">
        <f t="shared" ca="1" si="309"/>
        <v>0</v>
      </c>
      <c r="R652" s="359">
        <f t="shared" ca="1" si="310"/>
        <v>0</v>
      </c>
      <c r="S652" s="360">
        <f t="shared" ca="1" si="311"/>
        <v>8.3819999999999997</v>
      </c>
      <c r="T652" s="357">
        <f t="shared" ca="1" si="291"/>
        <v>82.227419999999995</v>
      </c>
      <c r="U652" s="364">
        <f t="shared" ca="1" si="292"/>
        <v>0</v>
      </c>
      <c r="V652" s="359">
        <f t="shared" ca="1" si="293"/>
        <v>1.1363769777105084</v>
      </c>
      <c r="W652" s="357">
        <f t="shared" ca="1" si="294"/>
        <v>31.685858790910405</v>
      </c>
      <c r="X652" s="343"/>
      <c r="Y652" s="367" t="str">
        <f t="shared" ca="1" si="312"/>
        <v/>
      </c>
      <c r="Z652" s="368" t="str">
        <f t="shared" ca="1" si="313"/>
        <v/>
      </c>
      <c r="AA652" s="369" t="str">
        <f t="shared" ca="1" si="314"/>
        <v/>
      </c>
      <c r="AB652" s="344"/>
      <c r="AC652" s="363" t="e">
        <f t="shared" ca="1" si="315"/>
        <v>#N/A</v>
      </c>
      <c r="AD652" s="376" t="e">
        <f t="shared" ca="1" si="316"/>
        <v>#N/A</v>
      </c>
      <c r="AE652" s="377" t="e">
        <f t="shared" ca="1" si="295"/>
        <v>#N/A</v>
      </c>
      <c r="AF652" s="344"/>
      <c r="AG652" s="359">
        <f t="shared" ca="1" si="317"/>
        <v>5.8465802653956507</v>
      </c>
      <c r="AH652" s="357">
        <f t="shared" ca="1" si="318"/>
        <v>-3.7334579859551313</v>
      </c>
    </row>
    <row r="653" spans="1:34" x14ac:dyDescent="0.2">
      <c r="A653" s="402">
        <f t="shared" ca="1" si="296"/>
        <v>0.1</v>
      </c>
      <c r="B653" s="357">
        <f t="shared" ca="1" si="297"/>
        <v>28.900000000000098</v>
      </c>
      <c r="C653" s="342"/>
      <c r="D653" s="359">
        <f t="shared" ca="1" si="298"/>
        <v>-0.80609296867995139</v>
      </c>
      <c r="E653" s="360">
        <f t="shared" ca="1" si="299"/>
        <v>-6.1167187002885051</v>
      </c>
      <c r="F653" s="357">
        <f t="shared" ca="1" si="300"/>
        <v>6.169605622129696</v>
      </c>
      <c r="G653" s="359">
        <f t="shared" ca="1" si="301"/>
        <v>21.767250450194826</v>
      </c>
      <c r="H653" s="360">
        <f t="shared" ca="1" si="302"/>
        <v>-100.71215032313354</v>
      </c>
      <c r="I653" s="357">
        <f t="shared" ca="1" si="303"/>
        <v>103.03761650422119</v>
      </c>
      <c r="J653" s="359">
        <f t="shared" ca="1" si="304"/>
        <v>831.00051276178647</v>
      </c>
      <c r="K653" s="360">
        <f t="shared" ca="1" si="305"/>
        <v>740.56397871891875</v>
      </c>
      <c r="L653" s="357">
        <f t="shared" ca="1" si="290"/>
        <v>1113.1023577310164</v>
      </c>
      <c r="M653" s="359">
        <f t="shared" ca="1" si="306"/>
        <v>-1.3579371816539245</v>
      </c>
      <c r="N653" s="357">
        <f t="shared" ca="1" si="307"/>
        <v>-77.804069352659681</v>
      </c>
      <c r="O653" s="343"/>
      <c r="P653" s="363">
        <f t="shared" ca="1" si="308"/>
        <v>23</v>
      </c>
      <c r="Q653" s="357">
        <f t="shared" ca="1" si="309"/>
        <v>0</v>
      </c>
      <c r="R653" s="359">
        <f t="shared" ca="1" si="310"/>
        <v>0</v>
      </c>
      <c r="S653" s="360">
        <f t="shared" ca="1" si="311"/>
        <v>8.3819999999999997</v>
      </c>
      <c r="T653" s="357">
        <f t="shared" ca="1" si="291"/>
        <v>82.227419999999995</v>
      </c>
      <c r="U653" s="364">
        <f t="shared" ca="1" si="292"/>
        <v>0</v>
      </c>
      <c r="V653" s="359">
        <f t="shared" ca="1" si="293"/>
        <v>1.1375201344706436</v>
      </c>
      <c r="W653" s="357">
        <f t="shared" ca="1" si="294"/>
        <v>32.07824291981202</v>
      </c>
      <c r="X653" s="343"/>
      <c r="Y653" s="367" t="str">
        <f t="shared" ca="1" si="312"/>
        <v/>
      </c>
      <c r="Z653" s="368" t="str">
        <f t="shared" ca="1" si="313"/>
        <v/>
      </c>
      <c r="AA653" s="369" t="str">
        <f t="shared" ca="1" si="314"/>
        <v/>
      </c>
      <c r="AB653" s="344"/>
      <c r="AC653" s="363" t="e">
        <f t="shared" ca="1" si="315"/>
        <v>#N/A</v>
      </c>
      <c r="AD653" s="376" t="e">
        <f t="shared" ca="1" si="316"/>
        <v>#N/A</v>
      </c>
      <c r="AE653" s="377" t="e">
        <f t="shared" ca="1" si="295"/>
        <v>#N/A</v>
      </c>
      <c r="AF653" s="344"/>
      <c r="AG653" s="359">
        <f t="shared" ca="1" si="317"/>
        <v>5.8041434109041994</v>
      </c>
      <c r="AH653" s="357">
        <f t="shared" ca="1" si="318"/>
        <v>-3.7802265319625872</v>
      </c>
    </row>
    <row r="654" spans="1:34" x14ac:dyDescent="0.2">
      <c r="A654" s="402">
        <f t="shared" ca="1" si="296"/>
        <v>0.1</v>
      </c>
      <c r="B654" s="357">
        <f t="shared" ca="1" si="297"/>
        <v>29.000000000000099</v>
      </c>
      <c r="C654" s="342"/>
      <c r="D654" s="359">
        <f t="shared" ca="1" si="298"/>
        <v>-0.80848261511078712</v>
      </c>
      <c r="E654" s="360">
        <f t="shared" ca="1" si="299"/>
        <v>-6.069333586803614</v>
      </c>
      <c r="F654" s="357">
        <f t="shared" ca="1" si="300"/>
        <v>6.1229449064023758</v>
      </c>
      <c r="G654" s="359">
        <f t="shared" ca="1" si="301"/>
        <v>21.686402188683747</v>
      </c>
      <c r="H654" s="360">
        <f t="shared" ca="1" si="302"/>
        <v>-101.31908368181391</v>
      </c>
      <c r="I654" s="357">
        <f t="shared" ca="1" si="303"/>
        <v>103.6139795491504</v>
      </c>
      <c r="J654" s="359">
        <f t="shared" ca="1" si="304"/>
        <v>833.17319539373045</v>
      </c>
      <c r="K654" s="360">
        <f t="shared" ca="1" si="305"/>
        <v>730.46241701867143</v>
      </c>
      <c r="L654" s="357">
        <f t="shared" ca="1" si="290"/>
        <v>1108.0401239121977</v>
      </c>
      <c r="M654" s="359">
        <f t="shared" ca="1" si="306"/>
        <v>-1.3599373139068849</v>
      </c>
      <c r="N654" s="357">
        <f t="shared" ca="1" si="307"/>
        <v>-77.918668489222298</v>
      </c>
      <c r="O654" s="343"/>
      <c r="P654" s="363">
        <f t="shared" ca="1" si="308"/>
        <v>23</v>
      </c>
      <c r="Q654" s="357">
        <f t="shared" ca="1" si="309"/>
        <v>0</v>
      </c>
      <c r="R654" s="359">
        <f t="shared" ca="1" si="310"/>
        <v>0</v>
      </c>
      <c r="S654" s="360">
        <f t="shared" ca="1" si="311"/>
        <v>8.3819999999999997</v>
      </c>
      <c r="T654" s="357">
        <f t="shared" ca="1" si="291"/>
        <v>82.227419999999995</v>
      </c>
      <c r="U654" s="364">
        <f t="shared" ca="1" si="292"/>
        <v>0</v>
      </c>
      <c r="V654" s="359">
        <f t="shared" ca="1" si="293"/>
        <v>1.1386713457859701</v>
      </c>
      <c r="W654" s="357">
        <f t="shared" ca="1" si="294"/>
        <v>32.470948268454315</v>
      </c>
      <c r="X654" s="343"/>
      <c r="Y654" s="367" t="str">
        <f t="shared" ca="1" si="312"/>
        <v/>
      </c>
      <c r="Z654" s="368" t="str">
        <f t="shared" ca="1" si="313"/>
        <v/>
      </c>
      <c r="AA654" s="369" t="str">
        <f t="shared" ca="1" si="314"/>
        <v/>
      </c>
      <c r="AB654" s="344"/>
      <c r="AC654" s="363">
        <f t="shared" ca="1" si="315"/>
        <v>29.000000000000099</v>
      </c>
      <c r="AD654" s="376">
        <f t="shared" ca="1" si="316"/>
        <v>833.17319539373045</v>
      </c>
      <c r="AE654" s="377" t="e">
        <f t="shared" ca="1" si="295"/>
        <v>#N/A</v>
      </c>
      <c r="AF654" s="344"/>
      <c r="AG654" s="359">
        <f t="shared" ca="1" si="317"/>
        <v>5.7615578963178287</v>
      </c>
      <c r="AH654" s="357">
        <f t="shared" ca="1" si="318"/>
        <v>-3.8270392412087832</v>
      </c>
    </row>
    <row r="655" spans="1:34" x14ac:dyDescent="0.2">
      <c r="A655" s="402">
        <f t="shared" ca="1" si="296"/>
        <v>0.1</v>
      </c>
      <c r="B655" s="357">
        <f t="shared" ca="1" si="297"/>
        <v>29.100000000000101</v>
      </c>
      <c r="C655" s="342"/>
      <c r="D655" s="359">
        <f t="shared" ca="1" si="298"/>
        <v>-0.81080509465126749</v>
      </c>
      <c r="E655" s="360">
        <f t="shared" ca="1" si="299"/>
        <v>-6.0219106470560728</v>
      </c>
      <c r="F655" s="357">
        <f t="shared" ca="1" si="300"/>
        <v>6.0762498913918721</v>
      </c>
      <c r="G655" s="359">
        <f t="shared" ca="1" si="301"/>
        <v>21.605321679218619</v>
      </c>
      <c r="H655" s="360">
        <f t="shared" ca="1" si="302"/>
        <v>-101.92127474651952</v>
      </c>
      <c r="I655" s="357">
        <f t="shared" ca="1" si="303"/>
        <v>104.18606514701489</v>
      </c>
      <c r="J655" s="359">
        <f t="shared" ca="1" si="304"/>
        <v>835.33778158712562</v>
      </c>
      <c r="K655" s="360">
        <f t="shared" ca="1" si="305"/>
        <v>720.30039909725474</v>
      </c>
      <c r="L655" s="357">
        <f t="shared" ca="1" si="290"/>
        <v>1103.0058360165483</v>
      </c>
      <c r="M655" s="359">
        <f t="shared" ca="1" si="306"/>
        <v>-1.361908051522249</v>
      </c>
      <c r="N655" s="357">
        <f t="shared" ca="1" si="307"/>
        <v>-78.031583437110342</v>
      </c>
      <c r="O655" s="343"/>
      <c r="P655" s="363">
        <f t="shared" ca="1" si="308"/>
        <v>23</v>
      </c>
      <c r="Q655" s="357">
        <f t="shared" ca="1" si="309"/>
        <v>0</v>
      </c>
      <c r="R655" s="359">
        <f t="shared" ca="1" si="310"/>
        <v>0</v>
      </c>
      <c r="S655" s="360">
        <f t="shared" ca="1" si="311"/>
        <v>8.3819999999999997</v>
      </c>
      <c r="T655" s="357">
        <f t="shared" ca="1" si="291"/>
        <v>82.227419999999995</v>
      </c>
      <c r="U655" s="364">
        <f t="shared" ca="1" si="292"/>
        <v>0</v>
      </c>
      <c r="V655" s="359">
        <f t="shared" ca="1" si="293"/>
        <v>1.1398305794898054</v>
      </c>
      <c r="W655" s="357">
        <f t="shared" ca="1" si="294"/>
        <v>32.863926285385737</v>
      </c>
      <c r="X655" s="343"/>
      <c r="Y655" s="367" t="str">
        <f t="shared" ca="1" si="312"/>
        <v/>
      </c>
      <c r="Z655" s="368" t="str">
        <f t="shared" ca="1" si="313"/>
        <v/>
      </c>
      <c r="AA655" s="369" t="str">
        <f t="shared" ca="1" si="314"/>
        <v/>
      </c>
      <c r="AB655" s="344"/>
      <c r="AC655" s="363" t="e">
        <f t="shared" ca="1" si="315"/>
        <v>#N/A</v>
      </c>
      <c r="AD655" s="376" t="e">
        <f t="shared" ca="1" si="316"/>
        <v>#N/A</v>
      </c>
      <c r="AE655" s="377" t="e">
        <f t="shared" ca="1" si="295"/>
        <v>#N/A</v>
      </c>
      <c r="AF655" s="344"/>
      <c r="AG655" s="359">
        <f t="shared" ca="1" si="317"/>
        <v>5.7188327865850983</v>
      </c>
      <c r="AH655" s="357">
        <f t="shared" ca="1" si="318"/>
        <v>-3.8738902730200806</v>
      </c>
    </row>
    <row r="656" spans="1:34" x14ac:dyDescent="0.2">
      <c r="A656" s="402">
        <f t="shared" ca="1" si="296"/>
        <v>0.1</v>
      </c>
      <c r="B656" s="357">
        <f t="shared" ca="1" si="297"/>
        <v>29.200000000000102</v>
      </c>
      <c r="C656" s="342"/>
      <c r="D656" s="359">
        <f t="shared" ca="1" si="298"/>
        <v>-0.81306055486574147</v>
      </c>
      <c r="E656" s="360">
        <f t="shared" ca="1" si="299"/>
        <v>-5.9744557101069802</v>
      </c>
      <c r="F656" s="357">
        <f t="shared" ca="1" si="300"/>
        <v>6.0295263908460077</v>
      </c>
      <c r="G656" s="359">
        <f t="shared" ca="1" si="301"/>
        <v>21.524015623732044</v>
      </c>
      <c r="H656" s="360">
        <f t="shared" ca="1" si="302"/>
        <v>-102.51872031753021</v>
      </c>
      <c r="I656" s="357">
        <f t="shared" ca="1" si="303"/>
        <v>104.75386037810082</v>
      </c>
      <c r="J656" s="359">
        <f t="shared" ca="1" si="304"/>
        <v>837.49424845227315</v>
      </c>
      <c r="K656" s="360">
        <f t="shared" ca="1" si="305"/>
        <v>710.07839934405229</v>
      </c>
      <c r="L656" s="357">
        <f t="shared" ca="1" si="290"/>
        <v>1098.0017984528301</v>
      </c>
      <c r="M656" s="359">
        <f t="shared" ca="1" si="306"/>
        <v>-1.3638500565261806</v>
      </c>
      <c r="N656" s="357">
        <f t="shared" ca="1" si="307"/>
        <v>-78.142852127628913</v>
      </c>
      <c r="O656" s="343"/>
      <c r="P656" s="363">
        <f t="shared" ca="1" si="308"/>
        <v>23</v>
      </c>
      <c r="Q656" s="357">
        <f t="shared" ca="1" si="309"/>
        <v>0</v>
      </c>
      <c r="R656" s="359">
        <f t="shared" ca="1" si="310"/>
        <v>0</v>
      </c>
      <c r="S656" s="360">
        <f t="shared" ca="1" si="311"/>
        <v>8.3819999999999997</v>
      </c>
      <c r="T656" s="357">
        <f t="shared" ca="1" si="291"/>
        <v>82.227419999999995</v>
      </c>
      <c r="U656" s="364">
        <f t="shared" ca="1" si="292"/>
        <v>0</v>
      </c>
      <c r="V656" s="359">
        <f t="shared" ca="1" si="293"/>
        <v>1.1409978033473775</v>
      </c>
      <c r="W656" s="357">
        <f t="shared" ca="1" si="294"/>
        <v>33.257128832816718</v>
      </c>
      <c r="X656" s="343"/>
      <c r="Y656" s="367" t="str">
        <f t="shared" ca="1" si="312"/>
        <v/>
      </c>
      <c r="Z656" s="368" t="str">
        <f t="shared" ca="1" si="313"/>
        <v/>
      </c>
      <c r="AA656" s="369" t="str">
        <f t="shared" ca="1" si="314"/>
        <v/>
      </c>
      <c r="AB656" s="344"/>
      <c r="AC656" s="363" t="e">
        <f t="shared" ca="1" si="315"/>
        <v>#N/A</v>
      </c>
      <c r="AD656" s="376" t="e">
        <f t="shared" ca="1" si="316"/>
        <v>#N/A</v>
      </c>
      <c r="AE656" s="377" t="e">
        <f t="shared" ca="1" si="295"/>
        <v>#N/A</v>
      </c>
      <c r="AF656" s="344"/>
      <c r="AG656" s="359">
        <f t="shared" ca="1" si="317"/>
        <v>5.6759769766111665</v>
      </c>
      <c r="AH656" s="357">
        <f t="shared" ca="1" si="318"/>
        <v>-3.9207738350495989</v>
      </c>
    </row>
    <row r="657" spans="1:34" x14ac:dyDescent="0.2">
      <c r="A657" s="402">
        <f t="shared" ca="1" si="296"/>
        <v>0.1</v>
      </c>
      <c r="B657" s="357">
        <f t="shared" ca="1" si="297"/>
        <v>29.300000000000104</v>
      </c>
      <c r="C657" s="342"/>
      <c r="D657" s="359">
        <f t="shared" ca="1" si="298"/>
        <v>-0.81524915706874779</v>
      </c>
      <c r="E657" s="360">
        <f t="shared" ca="1" si="299"/>
        <v>-5.9269745560637368</v>
      </c>
      <c r="F657" s="357">
        <f t="shared" ca="1" si="300"/>
        <v>5.98278017115189</v>
      </c>
      <c r="G657" s="359">
        <f t="shared" ca="1" si="301"/>
        <v>21.442490708025169</v>
      </c>
      <c r="H657" s="360">
        <f t="shared" ca="1" si="302"/>
        <v>-103.11141777313658</v>
      </c>
      <c r="I657" s="357">
        <f t="shared" ca="1" si="303"/>
        <v>105.31735319001353</v>
      </c>
      <c r="J657" s="359">
        <f t="shared" ca="1" si="304"/>
        <v>839.64257376886098</v>
      </c>
      <c r="K657" s="360">
        <f t="shared" ca="1" si="305"/>
        <v>699.79689243951896</v>
      </c>
      <c r="L657" s="357">
        <f t="shared" ca="1" si="290"/>
        <v>1093.0303483221337</v>
      </c>
      <c r="M657" s="359">
        <f t="shared" ca="1" si="306"/>
        <v>-1.3657639713167691</v>
      </c>
      <c r="N657" s="357">
        <f t="shared" ca="1" si="307"/>
        <v>-78.252511367477297</v>
      </c>
      <c r="O657" s="343"/>
      <c r="P657" s="363">
        <f t="shared" ca="1" si="308"/>
        <v>23</v>
      </c>
      <c r="Q657" s="357">
        <f t="shared" ca="1" si="309"/>
        <v>0</v>
      </c>
      <c r="R657" s="359">
        <f t="shared" ca="1" si="310"/>
        <v>0</v>
      </c>
      <c r="S657" s="360">
        <f t="shared" ca="1" si="311"/>
        <v>8.3819999999999997</v>
      </c>
      <c r="T657" s="357">
        <f t="shared" ca="1" si="291"/>
        <v>82.227419999999995</v>
      </c>
      <c r="U657" s="364">
        <f t="shared" ca="1" si="292"/>
        <v>0</v>
      </c>
      <c r="V657" s="359">
        <f t="shared" ca="1" si="293"/>
        <v>1.1421729850594318</v>
      </c>
      <c r="W657" s="357">
        <f t="shared" ca="1" si="294"/>
        <v>33.650508194958064</v>
      </c>
      <c r="X657" s="343"/>
      <c r="Y657" s="367" t="str">
        <f t="shared" ca="1" si="312"/>
        <v/>
      </c>
      <c r="Z657" s="368" t="str">
        <f t="shared" ca="1" si="313"/>
        <v/>
      </c>
      <c r="AA657" s="369" t="str">
        <f t="shared" ca="1" si="314"/>
        <v/>
      </c>
      <c r="AB657" s="344"/>
      <c r="AC657" s="363" t="e">
        <f t="shared" ca="1" si="315"/>
        <v>#N/A</v>
      </c>
      <c r="AD657" s="376" t="e">
        <f t="shared" ca="1" si="316"/>
        <v>#N/A</v>
      </c>
      <c r="AE657" s="377" t="e">
        <f t="shared" ca="1" si="295"/>
        <v>#N/A</v>
      </c>
      <c r="AF657" s="344"/>
      <c r="AG657" s="359">
        <f t="shared" ca="1" si="317"/>
        <v>5.6329991956228822</v>
      </c>
      <c r="AH657" s="357">
        <f t="shared" ca="1" si="318"/>
        <v>-3.9676841843016843</v>
      </c>
    </row>
    <row r="658" spans="1:34" x14ac:dyDescent="0.2">
      <c r="A658" s="402">
        <f t="shared" ca="1" si="296"/>
        <v>0.1</v>
      </c>
      <c r="B658" s="357">
        <f t="shared" ca="1" si="297"/>
        <v>29.400000000000105</v>
      </c>
      <c r="C658" s="342"/>
      <c r="D658" s="359">
        <f t="shared" ca="1" si="298"/>
        <v>-0.81737107603803894</v>
      </c>
      <c r="E658" s="360">
        <f t="shared" ca="1" si="299"/>
        <v>-5.8794729150334533</v>
      </c>
      <c r="F658" s="357">
        <f t="shared" ca="1" si="300"/>
        <v>5.9360169503258282</v>
      </c>
      <c r="G658" s="359">
        <f t="shared" ca="1" si="301"/>
        <v>21.360753600421365</v>
      </c>
      <c r="H658" s="360">
        <f t="shared" ca="1" si="302"/>
        <v>-103.69936506463992</v>
      </c>
      <c r="I658" s="357">
        <f t="shared" ca="1" si="303"/>
        <v>105.87653238176709</v>
      </c>
      <c r="J658" s="359">
        <f t="shared" ca="1" si="304"/>
        <v>841.78273598428336</v>
      </c>
      <c r="K658" s="360">
        <f t="shared" ca="1" si="305"/>
        <v>689.45635329763013</v>
      </c>
      <c r="L658" s="357">
        <f t="shared" ca="1" si="290"/>
        <v>1088.0938551906506</v>
      </c>
      <c r="M658" s="359">
        <f t="shared" ca="1" si="306"/>
        <v>-1.3676504193693881</v>
      </c>
      <c r="N658" s="357">
        <f t="shared" ca="1" si="307"/>
        <v>-78.36059687916304</v>
      </c>
      <c r="O658" s="343"/>
      <c r="P658" s="363">
        <f t="shared" ca="1" si="308"/>
        <v>23</v>
      </c>
      <c r="Q658" s="357">
        <f t="shared" ca="1" si="309"/>
        <v>0</v>
      </c>
      <c r="R658" s="359">
        <f t="shared" ca="1" si="310"/>
        <v>0</v>
      </c>
      <c r="S658" s="360">
        <f t="shared" ca="1" si="311"/>
        <v>8.3819999999999997</v>
      </c>
      <c r="T658" s="357">
        <f t="shared" ca="1" si="291"/>
        <v>82.227419999999995</v>
      </c>
      <c r="U658" s="364">
        <f t="shared" ca="1" si="292"/>
        <v>0</v>
      </c>
      <c r="V658" s="359">
        <f t="shared" ca="1" si="293"/>
        <v>1.1433560922658095</v>
      </c>
      <c r="W658" s="357">
        <f t="shared" ca="1" si="294"/>
        <v>34.044017086109164</v>
      </c>
      <c r="X658" s="343"/>
      <c r="Y658" s="367" t="str">
        <f t="shared" ca="1" si="312"/>
        <v/>
      </c>
      <c r="Z658" s="368" t="str">
        <f t="shared" ca="1" si="313"/>
        <v/>
      </c>
      <c r="AA658" s="369" t="str">
        <f t="shared" ca="1" si="314"/>
        <v/>
      </c>
      <c r="AB658" s="344"/>
      <c r="AC658" s="363" t="e">
        <f t="shared" ca="1" si="315"/>
        <v>#N/A</v>
      </c>
      <c r="AD658" s="376" t="e">
        <f t="shared" ca="1" si="316"/>
        <v>#N/A</v>
      </c>
      <c r="AE658" s="377" t="e">
        <f t="shared" ca="1" si="295"/>
        <v>#N/A</v>
      </c>
      <c r="AF658" s="344"/>
      <c r="AG658" s="359">
        <f t="shared" ca="1" si="317"/>
        <v>5.5899080112917696</v>
      </c>
      <c r="AH658" s="357">
        <f t="shared" ca="1" si="318"/>
        <v>-4.014615628126708</v>
      </c>
    </row>
    <row r="659" spans="1:34" x14ac:dyDescent="0.2">
      <c r="A659" s="402">
        <f t="shared" ca="1" si="296"/>
        <v>0.1</v>
      </c>
      <c r="B659" s="357">
        <f t="shared" ca="1" si="297"/>
        <v>29.500000000000107</v>
      </c>
      <c r="C659" s="342"/>
      <c r="D659" s="359">
        <f t="shared" ca="1" si="298"/>
        <v>-0.81942649973058712</v>
      </c>
      <c r="E659" s="360">
        <f t="shared" ca="1" si="299"/>
        <v>-5.8319564661086654</v>
      </c>
      <c r="F659" s="357">
        <f t="shared" ca="1" si="300"/>
        <v>5.8892423970360905</v>
      </c>
      <c r="G659" s="359">
        <f t="shared" ca="1" si="301"/>
        <v>21.278810950448307</v>
      </c>
      <c r="H659" s="360">
        <f t="shared" ca="1" si="302"/>
        <v>-104.28256071125078</v>
      </c>
      <c r="I659" s="357">
        <f t="shared" ca="1" si="303"/>
        <v>106.43138758825154</v>
      </c>
      <c r="J659" s="359">
        <f t="shared" ca="1" si="304"/>
        <v>843.91471421182689</v>
      </c>
      <c r="K659" s="360">
        <f t="shared" ca="1" si="305"/>
        <v>679.05725700883556</v>
      </c>
      <c r="L659" s="357">
        <f t="shared" ca="1" si="290"/>
        <v>1083.1947207956625</v>
      </c>
      <c r="M659" s="359">
        <f t="shared" ca="1" si="306"/>
        <v>-1.3695100059125549</v>
      </c>
      <c r="N659" s="357">
        <f t="shared" ca="1" si="307"/>
        <v>-78.467143339725808</v>
      </c>
      <c r="O659" s="343"/>
      <c r="P659" s="363">
        <f t="shared" ca="1" si="308"/>
        <v>23</v>
      </c>
      <c r="Q659" s="357">
        <f t="shared" ca="1" si="309"/>
        <v>0</v>
      </c>
      <c r="R659" s="359">
        <f t="shared" ca="1" si="310"/>
        <v>0</v>
      </c>
      <c r="S659" s="360">
        <f t="shared" ca="1" si="311"/>
        <v>8.3819999999999997</v>
      </c>
      <c r="T659" s="357">
        <f t="shared" ca="1" si="291"/>
        <v>82.227419999999995</v>
      </c>
      <c r="U659" s="364">
        <f t="shared" ca="1" si="292"/>
        <v>0</v>
      </c>
      <c r="V659" s="359">
        <f t="shared" ca="1" si="293"/>
        <v>1.14454709254902</v>
      </c>
      <c r="W659" s="357">
        <f t="shared" ca="1" si="294"/>
        <v>34.437608658496281</v>
      </c>
      <c r="X659" s="343"/>
      <c r="Y659" s="367" t="str">
        <f t="shared" ca="1" si="312"/>
        <v/>
      </c>
      <c r="Z659" s="368" t="str">
        <f t="shared" ca="1" si="313"/>
        <v/>
      </c>
      <c r="AA659" s="369" t="str">
        <f t="shared" ca="1" si="314"/>
        <v/>
      </c>
      <c r="AB659" s="344"/>
      <c r="AC659" s="363" t="e">
        <f t="shared" ca="1" si="315"/>
        <v>#N/A</v>
      </c>
      <c r="AD659" s="376" t="e">
        <f t="shared" ca="1" si="316"/>
        <v>#N/A</v>
      </c>
      <c r="AE659" s="377" t="e">
        <f t="shared" ca="1" si="295"/>
        <v>#N/A</v>
      </c>
      <c r="AF659" s="344"/>
      <c r="AG659" s="359">
        <f t="shared" ca="1" si="317"/>
        <v>5.5467118336302965</v>
      </c>
      <c r="AH659" s="357">
        <f t="shared" ca="1" si="318"/>
        <v>-4.0615625251860132</v>
      </c>
    </row>
    <row r="660" spans="1:34" x14ac:dyDescent="0.2">
      <c r="A660" s="402">
        <f t="shared" ca="1" si="296"/>
        <v>0.1</v>
      </c>
      <c r="B660" s="357">
        <f t="shared" ca="1" si="297"/>
        <v>29.600000000000108</v>
      </c>
      <c r="C660" s="342"/>
      <c r="D660" s="359">
        <f t="shared" ca="1" si="298"/>
        <v>-0.82141562900145149</v>
      </c>
      <c r="E660" s="360">
        <f t="shared" ca="1" si="299"/>
        <v>-5.7844308363851784</v>
      </c>
      <c r="F660" s="357">
        <f t="shared" ca="1" si="300"/>
        <v>5.8424621296583163</v>
      </c>
      <c r="G660" s="359">
        <f t="shared" ca="1" si="301"/>
        <v>21.196669387548162</v>
      </c>
      <c r="H660" s="360">
        <f t="shared" ca="1" si="302"/>
        <v>-104.8610037948893</v>
      </c>
      <c r="I660" s="357">
        <f t="shared" ca="1" si="303"/>
        <v>106.98190926505663</v>
      </c>
      <c r="J660" s="359">
        <f t="shared" ca="1" si="304"/>
        <v>846.03848822872669</v>
      </c>
      <c r="K660" s="360">
        <f t="shared" ca="1" si="305"/>
        <v>668.6000787835286</v>
      </c>
      <c r="L660" s="357">
        <f t="shared" ca="1" si="290"/>
        <v>1078.3353786803482</v>
      </c>
      <c r="M660" s="359">
        <f t="shared" ca="1" si="306"/>
        <v>-1.3713433185756809</v>
      </c>
      <c r="N660" s="357">
        <f t="shared" ca="1" si="307"/>
        <v>-78.572184417850821</v>
      </c>
      <c r="O660" s="343"/>
      <c r="P660" s="363">
        <f t="shared" ca="1" si="308"/>
        <v>23</v>
      </c>
      <c r="Q660" s="357">
        <f t="shared" ca="1" si="309"/>
        <v>0</v>
      </c>
      <c r="R660" s="359">
        <f t="shared" ca="1" si="310"/>
        <v>0</v>
      </c>
      <c r="S660" s="360">
        <f t="shared" ca="1" si="311"/>
        <v>8.3819999999999997</v>
      </c>
      <c r="T660" s="357">
        <f t="shared" ca="1" si="291"/>
        <v>82.227419999999995</v>
      </c>
      <c r="U660" s="364">
        <f t="shared" ca="1" si="292"/>
        <v>0</v>
      </c>
      <c r="V660" s="359">
        <f t="shared" ca="1" si="293"/>
        <v>1.1457459534377881</v>
      </c>
      <c r="W660" s="357">
        <f t="shared" ca="1" si="294"/>
        <v>34.831236509859785</v>
      </c>
      <c r="X660" s="343"/>
      <c r="Y660" s="367" t="str">
        <f t="shared" ca="1" si="312"/>
        <v/>
      </c>
      <c r="Z660" s="368" t="str">
        <f t="shared" ca="1" si="313"/>
        <v/>
      </c>
      <c r="AA660" s="369" t="str">
        <f t="shared" ca="1" si="314"/>
        <v/>
      </c>
      <c r="AB660" s="344"/>
      <c r="AC660" s="363" t="e">
        <f t="shared" ca="1" si="315"/>
        <v>#N/A</v>
      </c>
      <c r="AD660" s="376" t="e">
        <f t="shared" ca="1" si="316"/>
        <v>#N/A</v>
      </c>
      <c r="AE660" s="377" t="e">
        <f t="shared" ca="1" si="295"/>
        <v>#N/A</v>
      </c>
      <c r="AF660" s="344"/>
      <c r="AG660" s="359">
        <f t="shared" ca="1" si="317"/>
        <v>5.5034189186758251</v>
      </c>
      <c r="AH660" s="357">
        <f t="shared" ca="1" si="318"/>
        <v>-4.1085192863870539</v>
      </c>
    </row>
    <row r="661" spans="1:34" x14ac:dyDescent="0.2">
      <c r="A661" s="402">
        <f t="shared" ca="1" si="296"/>
        <v>0.1</v>
      </c>
      <c r="B661" s="357">
        <f t="shared" ca="1" si="297"/>
        <v>29.700000000000109</v>
      </c>
      <c r="C661" s="342"/>
      <c r="D661" s="359">
        <f t="shared" ca="1" si="298"/>
        <v>-0.82333867732537236</v>
      </c>
      <c r="E661" s="360">
        <f t="shared" ca="1" si="299"/>
        <v>-5.7369016000120974</v>
      </c>
      <c r="F661" s="357">
        <f t="shared" ca="1" si="300"/>
        <v>5.7956817153637115</v>
      </c>
      <c r="G661" s="359">
        <f t="shared" ca="1" si="301"/>
        <v>21.114335519815626</v>
      </c>
      <c r="H661" s="360">
        <f t="shared" ca="1" si="302"/>
        <v>-105.43469395489051</v>
      </c>
      <c r="I661" s="357">
        <f t="shared" ca="1" si="303"/>
        <v>107.52808867363342</v>
      </c>
      <c r="J661" s="359">
        <f t="shared" ca="1" si="304"/>
        <v>848.15403847409493</v>
      </c>
      <c r="K661" s="360">
        <f t="shared" ca="1" si="305"/>
        <v>658.08529389603962</v>
      </c>
      <c r="L661" s="357">
        <f t="shared" ca="1" si="290"/>
        <v>1073.5182937529073</v>
      </c>
      <c r="M661" s="359">
        <f t="shared" ca="1" si="306"/>
        <v>-1.3731509280100354</v>
      </c>
      <c r="N661" s="357">
        <f t="shared" ca="1" si="307"/>
        <v>-78.67575280944736</v>
      </c>
      <c r="O661" s="343"/>
      <c r="P661" s="363">
        <f t="shared" ca="1" si="308"/>
        <v>23</v>
      </c>
      <c r="Q661" s="357">
        <f t="shared" ca="1" si="309"/>
        <v>0</v>
      </c>
      <c r="R661" s="359">
        <f t="shared" ca="1" si="310"/>
        <v>0</v>
      </c>
      <c r="S661" s="360">
        <f t="shared" ca="1" si="311"/>
        <v>8.3819999999999997</v>
      </c>
      <c r="T661" s="357">
        <f t="shared" ca="1" si="291"/>
        <v>82.227419999999995</v>
      </c>
      <c r="U661" s="364">
        <f t="shared" ca="1" si="292"/>
        <v>0</v>
      </c>
      <c r="V661" s="359">
        <f t="shared" ca="1" si="293"/>
        <v>1.1469526424105874</v>
      </c>
      <c r="W661" s="357">
        <f t="shared" ca="1" si="294"/>
        <v>35.224854690790721</v>
      </c>
      <c r="X661" s="343"/>
      <c r="Y661" s="367" t="str">
        <f t="shared" ca="1" si="312"/>
        <v/>
      </c>
      <c r="Z661" s="368" t="str">
        <f t="shared" ca="1" si="313"/>
        <v/>
      </c>
      <c r="AA661" s="369" t="str">
        <f t="shared" ca="1" si="314"/>
        <v/>
      </c>
      <c r="AB661" s="344"/>
      <c r="AC661" s="363" t="e">
        <f t="shared" ca="1" si="315"/>
        <v>#N/A</v>
      </c>
      <c r="AD661" s="376" t="e">
        <f t="shared" ca="1" si="316"/>
        <v>#N/A</v>
      </c>
      <c r="AE661" s="377" t="e">
        <f t="shared" ca="1" si="295"/>
        <v>#N/A</v>
      </c>
      <c r="AF661" s="344"/>
      <c r="AG661" s="359">
        <f t="shared" ca="1" si="317"/>
        <v>5.4600373719757496</v>
      </c>
      <c r="AH661" s="357">
        <f t="shared" ca="1" si="318"/>
        <v>-4.155480375788569</v>
      </c>
    </row>
    <row r="662" spans="1:34" x14ac:dyDescent="0.2">
      <c r="A662" s="402">
        <f t="shared" ca="1" si="296"/>
        <v>0.1</v>
      </c>
      <c r="B662" s="357">
        <f t="shared" ca="1" si="297"/>
        <v>29.800000000000111</v>
      </c>
      <c r="C662" s="342"/>
      <c r="D662" s="359">
        <f t="shared" ca="1" si="298"/>
        <v>-0.82519587052101662</v>
      </c>
      <c r="E662" s="360">
        <f t="shared" ca="1" si="299"/>
        <v>-5.6893742772738456</v>
      </c>
      <c r="F662" s="357">
        <f t="shared" ca="1" si="300"/>
        <v>5.7489066692398323</v>
      </c>
      <c r="G662" s="359">
        <f t="shared" ca="1" si="301"/>
        <v>21.031815932763525</v>
      </c>
      <c r="H662" s="360">
        <f t="shared" ca="1" si="302"/>
        <v>-106.0036313826179</v>
      </c>
      <c r="I662" s="357">
        <f t="shared" ca="1" si="303"/>
        <v>108.0699178667754</v>
      </c>
      <c r="J662" s="359">
        <f t="shared" ca="1" si="304"/>
        <v>850.26134604672393</v>
      </c>
      <c r="K662" s="360">
        <f t="shared" ca="1" si="305"/>
        <v>647.51337762916421</v>
      </c>
      <c r="L662" s="357">
        <f t="shared" ca="1" si="290"/>
        <v>1068.7459617654306</v>
      </c>
      <c r="M662" s="359">
        <f t="shared" ca="1" si="306"/>
        <v>-1.3749333884841743</v>
      </c>
      <c r="N662" s="357">
        <f t="shared" ca="1" si="307"/>
        <v>-78.777880271764417</v>
      </c>
      <c r="O662" s="343"/>
      <c r="P662" s="363">
        <f t="shared" ca="1" si="308"/>
        <v>23</v>
      </c>
      <c r="Q662" s="357">
        <f t="shared" ca="1" si="309"/>
        <v>0</v>
      </c>
      <c r="R662" s="359">
        <f t="shared" ca="1" si="310"/>
        <v>0</v>
      </c>
      <c r="S662" s="360">
        <f t="shared" ca="1" si="311"/>
        <v>8.3819999999999997</v>
      </c>
      <c r="T662" s="357">
        <f t="shared" ca="1" si="291"/>
        <v>82.227419999999995</v>
      </c>
      <c r="U662" s="364">
        <f t="shared" ca="1" si="292"/>
        <v>0</v>
      </c>
      <c r="V662" s="359">
        <f t="shared" ca="1" si="293"/>
        <v>1.1481671268991516</v>
      </c>
      <c r="W662" s="357">
        <f t="shared" ca="1" si="294"/>
        <v>35.618417711816242</v>
      </c>
      <c r="X662" s="343"/>
      <c r="Y662" s="367" t="str">
        <f t="shared" ca="1" si="312"/>
        <v/>
      </c>
      <c r="Z662" s="368" t="str">
        <f t="shared" ca="1" si="313"/>
        <v/>
      </c>
      <c r="AA662" s="369" t="str">
        <f t="shared" ca="1" si="314"/>
        <v/>
      </c>
      <c r="AB662" s="344"/>
      <c r="AC662" s="363" t="e">
        <f t="shared" ca="1" si="315"/>
        <v>#N/A</v>
      </c>
      <c r="AD662" s="376" t="e">
        <f t="shared" ca="1" si="316"/>
        <v>#N/A</v>
      </c>
      <c r="AE662" s="377" t="e">
        <f t="shared" ca="1" si="295"/>
        <v>#N/A</v>
      </c>
      <c r="AF662" s="344"/>
      <c r="AG662" s="359">
        <f t="shared" ca="1" si="317"/>
        <v>5.4165751518864633</v>
      </c>
      <c r="AH662" s="357">
        <f t="shared" ca="1" si="318"/>
        <v>-4.2024403114758675</v>
      </c>
    </row>
    <row r="663" spans="1:34" x14ac:dyDescent="0.2">
      <c r="A663" s="402">
        <f t="shared" ca="1" si="296"/>
        <v>0.1</v>
      </c>
      <c r="B663" s="357">
        <f t="shared" ca="1" si="297"/>
        <v>29.900000000000112</v>
      </c>
      <c r="C663" s="342"/>
      <c r="D663" s="359">
        <f t="shared" ca="1" si="298"/>
        <v>-0.82698744647775224</v>
      </c>
      <c r="E663" s="360">
        <f t="shared" ca="1" si="299"/>
        <v>-5.6418543337041589</v>
      </c>
      <c r="F663" s="357">
        <f t="shared" ca="1" si="300"/>
        <v>5.7021424534439848</v>
      </c>
      <c r="G663" s="359">
        <f t="shared" ca="1" si="301"/>
        <v>20.94911718811575</v>
      </c>
      <c r="H663" s="360">
        <f t="shared" ca="1" si="302"/>
        <v>-106.56781681598831</v>
      </c>
      <c r="I663" s="357">
        <f t="shared" ca="1" si="303"/>
        <v>108.60738967440221</v>
      </c>
      <c r="J663" s="359">
        <f t="shared" ca="1" si="304"/>
        <v>852.36039270276785</v>
      </c>
      <c r="K663" s="360">
        <f t="shared" ca="1" si="305"/>
        <v>636.88480521923395</v>
      </c>
      <c r="L663" s="357">
        <f t="shared" ca="1" si="290"/>
        <v>1064.0209087078872</v>
      </c>
      <c r="M663" s="359">
        <f t="shared" ca="1" si="306"/>
        <v>-1.3766912384550225</v>
      </c>
      <c r="N663" s="357">
        <f t="shared" ca="1" si="307"/>
        <v>-78.878597656111211</v>
      </c>
      <c r="O663" s="343"/>
      <c r="P663" s="363">
        <f t="shared" ca="1" si="308"/>
        <v>23</v>
      </c>
      <c r="Q663" s="357">
        <f t="shared" ca="1" si="309"/>
        <v>0</v>
      </c>
      <c r="R663" s="359">
        <f t="shared" ca="1" si="310"/>
        <v>0</v>
      </c>
      <c r="S663" s="360">
        <f t="shared" ca="1" si="311"/>
        <v>8.3819999999999997</v>
      </c>
      <c r="T663" s="357">
        <f t="shared" ca="1" si="291"/>
        <v>82.227419999999995</v>
      </c>
      <c r="U663" s="364">
        <f t="shared" ca="1" si="292"/>
        <v>0</v>
      </c>
      <c r="V663" s="359">
        <f t="shared" ca="1" si="293"/>
        <v>1.1493893742919721</v>
      </c>
      <c r="W663" s="357">
        <f t="shared" ca="1" si="294"/>
        <v>36.011880550234238</v>
      </c>
      <c r="X663" s="343"/>
      <c r="Y663" s="367" t="str">
        <f t="shared" ca="1" si="312"/>
        <v/>
      </c>
      <c r="Z663" s="368" t="str">
        <f t="shared" ca="1" si="313"/>
        <v/>
      </c>
      <c r="AA663" s="369" t="str">
        <f t="shared" ca="1" si="314"/>
        <v/>
      </c>
      <c r="AB663" s="344"/>
      <c r="AC663" s="363" t="e">
        <f t="shared" ca="1" si="315"/>
        <v>#N/A</v>
      </c>
      <c r="AD663" s="376" t="e">
        <f t="shared" ca="1" si="316"/>
        <v>#N/A</v>
      </c>
      <c r="AE663" s="377" t="e">
        <f t="shared" ca="1" si="295"/>
        <v>#N/A</v>
      </c>
      <c r="AF663" s="344"/>
      <c r="AG663" s="359">
        <f t="shared" ca="1" si="317"/>
        <v>5.3730400726980827</v>
      </c>
      <c r="AH663" s="357">
        <f t="shared" ca="1" si="318"/>
        <v>-4.2493936664061378</v>
      </c>
    </row>
    <row r="664" spans="1:34" x14ac:dyDescent="0.2">
      <c r="A664" s="402">
        <f t="shared" ca="1" si="296"/>
        <v>0.1</v>
      </c>
      <c r="B664" s="357">
        <f t="shared" ca="1" si="297"/>
        <v>30.000000000000114</v>
      </c>
      <c r="C664" s="342"/>
      <c r="D664" s="359">
        <f t="shared" ca="1" si="298"/>
        <v>-0.82871365488489357</v>
      </c>
      <c r="E664" s="360">
        <f t="shared" ca="1" si="299"/>
        <v>-5.5943471792319102</v>
      </c>
      <c r="F664" s="357">
        <f t="shared" ca="1" si="300"/>
        <v>5.655394476389132</v>
      </c>
      <c r="G664" s="359">
        <f t="shared" ca="1" si="301"/>
        <v>20.86624582262726</v>
      </c>
      <c r="H664" s="360">
        <f t="shared" ca="1" si="302"/>
        <v>-107.1272515339115</v>
      </c>
      <c r="I664" s="357">
        <f t="shared" ca="1" si="303"/>
        <v>109.14049768963056</v>
      </c>
      <c r="J664" s="359">
        <f t="shared" ca="1" si="304"/>
        <v>854.45116085330505</v>
      </c>
      <c r="K664" s="360">
        <f t="shared" ca="1" si="305"/>
        <v>626.20005180173894</v>
      </c>
      <c r="L664" s="357">
        <f t="shared" ca="1" si="290"/>
        <v>1059.3456901125624</v>
      </c>
      <c r="M664" s="359">
        <f t="shared" ca="1" si="306"/>
        <v>-1.3784250011157366</v>
      </c>
      <c r="N664" s="357">
        <f t="shared" ca="1" si="307"/>
        <v>-78.977934939247504</v>
      </c>
      <c r="O664" s="343"/>
      <c r="P664" s="363">
        <f t="shared" ca="1" si="308"/>
        <v>23</v>
      </c>
      <c r="Q664" s="357">
        <f t="shared" ca="1" si="309"/>
        <v>0</v>
      </c>
      <c r="R664" s="359">
        <f t="shared" ca="1" si="310"/>
        <v>0</v>
      </c>
      <c r="S664" s="360">
        <f t="shared" ca="1" si="311"/>
        <v>8.3819999999999997</v>
      </c>
      <c r="T664" s="357">
        <f t="shared" ca="1" si="291"/>
        <v>82.227419999999995</v>
      </c>
      <c r="U664" s="364">
        <f t="shared" ca="1" si="292"/>
        <v>0</v>
      </c>
      <c r="V664" s="359">
        <f t="shared" ca="1" si="293"/>
        <v>1.1506193519377681</v>
      </c>
      <c r="W664" s="357">
        <f t="shared" ca="1" si="294"/>
        <v>36.405198656697209</v>
      </c>
      <c r="X664" s="343"/>
      <c r="Y664" s="367" t="str">
        <f t="shared" ca="1" si="312"/>
        <v/>
      </c>
      <c r="Z664" s="368" t="str">
        <f t="shared" ca="1" si="313"/>
        <v/>
      </c>
      <c r="AA664" s="369" t="str">
        <f t="shared" ca="1" si="314"/>
        <v/>
      </c>
      <c r="AB664" s="344"/>
      <c r="AC664" s="363">
        <f t="shared" ca="1" si="315"/>
        <v>30.000000000000114</v>
      </c>
      <c r="AD664" s="376">
        <f t="shared" ca="1" si="316"/>
        <v>854.45116085330505</v>
      </c>
      <c r="AE664" s="377" t="e">
        <f t="shared" ca="1" si="295"/>
        <v>#N/A</v>
      </c>
      <c r="AF664" s="344"/>
      <c r="AG664" s="359">
        <f t="shared" ca="1" si="317"/>
        <v>5.3294398075960157</v>
      </c>
      <c r="AH664" s="357">
        <f t="shared" ca="1" si="318"/>
        <v>-4.2963350692238418</v>
      </c>
    </row>
    <row r="665" spans="1:34" x14ac:dyDescent="0.2">
      <c r="A665" s="402">
        <f t="shared" ca="1" si="296"/>
        <v>0.1</v>
      </c>
      <c r="B665" s="357">
        <f t="shared" ca="1" si="297"/>
        <v>30.100000000000115</v>
      </c>
      <c r="C665" s="342"/>
      <c r="D665" s="359">
        <f t="shared" ca="1" si="298"/>
        <v>-0.83037475696331864</v>
      </c>
      <c r="E665" s="360">
        <f t="shared" ca="1" si="299"/>
        <v>-5.5468581673586534</v>
      </c>
      <c r="F665" s="357">
        <f t="shared" ca="1" si="300"/>
        <v>5.608668091962234</v>
      </c>
      <c r="G665" s="359">
        <f t="shared" ca="1" si="301"/>
        <v>20.783208346930927</v>
      </c>
      <c r="H665" s="360">
        <f t="shared" ca="1" si="302"/>
        <v>-107.68193735064737</v>
      </c>
      <c r="I665" s="357">
        <f t="shared" ca="1" si="303"/>
        <v>109.66923625511707</v>
      </c>
      <c r="J665" s="359">
        <f t="shared" ca="1" si="304"/>
        <v>856.53363356178295</v>
      </c>
      <c r="K665" s="360">
        <f t="shared" ca="1" si="305"/>
        <v>615.45959235751104</v>
      </c>
      <c r="L665" s="357">
        <f t="shared" ca="1" si="290"/>
        <v>1054.7228902642744</v>
      </c>
      <c r="M665" s="359">
        <f t="shared" ca="1" si="306"/>
        <v>-1.3801351849214152</v>
      </c>
      <c r="N665" s="357">
        <f t="shared" ca="1" si="307"/>
        <v>-79.075921253504504</v>
      </c>
      <c r="O665" s="343"/>
      <c r="P665" s="363">
        <f t="shared" ca="1" si="308"/>
        <v>23</v>
      </c>
      <c r="Q665" s="357">
        <f t="shared" ca="1" si="309"/>
        <v>0</v>
      </c>
      <c r="R665" s="359">
        <f t="shared" ca="1" si="310"/>
        <v>0</v>
      </c>
      <c r="S665" s="360">
        <f t="shared" ca="1" si="311"/>
        <v>8.3819999999999997</v>
      </c>
      <c r="T665" s="357">
        <f t="shared" ca="1" si="291"/>
        <v>82.227419999999995</v>
      </c>
      <c r="U665" s="364">
        <f t="shared" ca="1" si="292"/>
        <v>0</v>
      </c>
      <c r="V665" s="359">
        <f t="shared" ca="1" si="293"/>
        <v>1.1518570271489414</v>
      </c>
      <c r="W665" s="357">
        <f t="shared" ca="1" si="294"/>
        <v>36.79832796154578</v>
      </c>
      <c r="X665" s="343"/>
      <c r="Y665" s="367" t="str">
        <f t="shared" ca="1" si="312"/>
        <v/>
      </c>
      <c r="Z665" s="368" t="str">
        <f t="shared" ca="1" si="313"/>
        <v/>
      </c>
      <c r="AA665" s="369" t="str">
        <f t="shared" ca="1" si="314"/>
        <v/>
      </c>
      <c r="AB665" s="344"/>
      <c r="AC665" s="363" t="e">
        <f t="shared" ca="1" si="315"/>
        <v>#N/A</v>
      </c>
      <c r="AD665" s="376" t="e">
        <f t="shared" ca="1" si="316"/>
        <v>#N/A</v>
      </c>
      <c r="AE665" s="377" t="e">
        <f t="shared" ca="1" si="295"/>
        <v>#N/A</v>
      </c>
      <c r="AF665" s="344"/>
      <c r="AG665" s="359">
        <f t="shared" ca="1" si="317"/>
        <v>5.2857818914698926</v>
      </c>
      <c r="AH665" s="357">
        <f t="shared" ca="1" si="318"/>
        <v>-4.3432592050461958</v>
      </c>
    </row>
    <row r="666" spans="1:34" x14ac:dyDescent="0.2">
      <c r="A666" s="402">
        <f t="shared" ca="1" si="296"/>
        <v>0.1</v>
      </c>
      <c r="B666" s="357">
        <f t="shared" ca="1" si="297"/>
        <v>30.200000000000117</v>
      </c>
      <c r="C666" s="342"/>
      <c r="D666" s="359">
        <f t="shared" ca="1" si="298"/>
        <v>-0.83197102519942023</v>
      </c>
      <c r="E666" s="360">
        <f t="shared" ca="1" si="299"/>
        <v>-5.4993925943677811</v>
      </c>
      <c r="F666" s="357">
        <f t="shared" ca="1" si="300"/>
        <v>5.561968598774949</v>
      </c>
      <c r="G666" s="359">
        <f t="shared" ca="1" si="301"/>
        <v>20.700011244410984</v>
      </c>
      <c r="H666" s="360">
        <f t="shared" ca="1" si="302"/>
        <v>-108.23187661008416</v>
      </c>
      <c r="I666" s="357">
        <f t="shared" ca="1" si="303"/>
        <v>110.19360044965961</v>
      </c>
      <c r="J666" s="359">
        <f t="shared" ca="1" si="304"/>
        <v>858.60779454135002</v>
      </c>
      <c r="K666" s="360">
        <f t="shared" ca="1" si="305"/>
        <v>604.6639016594745</v>
      </c>
      <c r="L666" s="357">
        <f t="shared" ca="1" si="290"/>
        <v>1050.1551213117134</v>
      </c>
      <c r="M666" s="359">
        <f t="shared" ca="1" si="306"/>
        <v>-1.3818222840936747</v>
      </c>
      <c r="N666" s="357">
        <f t="shared" ca="1" si="307"/>
        <v>-79.172584915694983</v>
      </c>
      <c r="O666" s="343"/>
      <c r="P666" s="363">
        <f t="shared" ca="1" si="308"/>
        <v>23</v>
      </c>
      <c r="Q666" s="357">
        <f t="shared" ca="1" si="309"/>
        <v>0</v>
      </c>
      <c r="R666" s="359">
        <f t="shared" ca="1" si="310"/>
        <v>0</v>
      </c>
      <c r="S666" s="360">
        <f t="shared" ca="1" si="311"/>
        <v>8.3819999999999997</v>
      </c>
      <c r="T666" s="357">
        <f t="shared" ca="1" si="291"/>
        <v>82.227419999999995</v>
      </c>
      <c r="U666" s="364">
        <f t="shared" ca="1" si="292"/>
        <v>0</v>
      </c>
      <c r="V666" s="359">
        <f t="shared" ca="1" si="293"/>
        <v>1.1531023672050094</v>
      </c>
      <c r="W666" s="357">
        <f t="shared" ca="1" si="294"/>
        <v>37.191224880892541</v>
      </c>
      <c r="X666" s="343"/>
      <c r="Y666" s="367" t="str">
        <f t="shared" ca="1" si="312"/>
        <v/>
      </c>
      <c r="Z666" s="368" t="str">
        <f t="shared" ca="1" si="313"/>
        <v/>
      </c>
      <c r="AA666" s="369" t="str">
        <f t="shared" ca="1" si="314"/>
        <v/>
      </c>
      <c r="AB666" s="344"/>
      <c r="AC666" s="363" t="e">
        <f t="shared" ca="1" si="315"/>
        <v>#N/A</v>
      </c>
      <c r="AD666" s="376" t="e">
        <f t="shared" ca="1" si="316"/>
        <v>#N/A</v>
      </c>
      <c r="AE666" s="377" t="e">
        <f t="shared" ca="1" si="295"/>
        <v>#N/A</v>
      </c>
      <c r="AF666" s="344"/>
      <c r="AG666" s="359">
        <f t="shared" ca="1" si="317"/>
        <v>5.2420737235796331</v>
      </c>
      <c r="AH666" s="357">
        <f t="shared" ca="1" si="318"/>
        <v>-4.390160816218776</v>
      </c>
    </row>
    <row r="667" spans="1:34" x14ac:dyDescent="0.2">
      <c r="A667" s="402">
        <f t="shared" ca="1" si="296"/>
        <v>0.1</v>
      </c>
      <c r="B667" s="357">
        <f t="shared" ca="1" si="297"/>
        <v>30.300000000000118</v>
      </c>
      <c r="C667" s="342"/>
      <c r="D667" s="359">
        <f t="shared" ca="1" si="298"/>
        <v>-0.83350274308131356</v>
      </c>
      <c r="E667" s="360">
        <f t="shared" ca="1" si="299"/>
        <v>-5.4519556985651105</v>
      </c>
      <c r="F667" s="357">
        <f t="shared" ca="1" si="300"/>
        <v>5.5153012394465506</v>
      </c>
      <c r="G667" s="359">
        <f t="shared" ca="1" si="301"/>
        <v>20.616660970102853</v>
      </c>
      <c r="H667" s="360">
        <f t="shared" ca="1" si="302"/>
        <v>-108.77707217994067</v>
      </c>
      <c r="I667" s="357">
        <f t="shared" ca="1" si="303"/>
        <v>110.71358607504403</v>
      </c>
      <c r="J667" s="359">
        <f t="shared" ca="1" si="304"/>
        <v>860.67362815207571</v>
      </c>
      <c r="K667" s="360">
        <f t="shared" ca="1" si="305"/>
        <v>593.81345421997321</v>
      </c>
      <c r="L667" s="357">
        <f t="shared" ca="1" si="290"/>
        <v>1045.6450222753006</v>
      </c>
      <c r="M667" s="359">
        <f t="shared" ca="1" si="306"/>
        <v>-1.3834867791050514</v>
      </c>
      <c r="N667" s="357">
        <f t="shared" ca="1" si="307"/>
        <v>-79.267953454867452</v>
      </c>
      <c r="O667" s="343"/>
      <c r="P667" s="363">
        <f t="shared" ca="1" si="308"/>
        <v>23</v>
      </c>
      <c r="Q667" s="357">
        <f t="shared" ca="1" si="309"/>
        <v>0</v>
      </c>
      <c r="R667" s="359">
        <f t="shared" ca="1" si="310"/>
        <v>0</v>
      </c>
      <c r="S667" s="360">
        <f t="shared" ca="1" si="311"/>
        <v>8.3819999999999997</v>
      </c>
      <c r="T667" s="357">
        <f t="shared" ca="1" si="291"/>
        <v>82.227419999999995</v>
      </c>
      <c r="U667" s="364">
        <f t="shared" ca="1" si="292"/>
        <v>0</v>
      </c>
      <c r="V667" s="359">
        <f t="shared" ca="1" si="293"/>
        <v>1.1543553393560135</v>
      </c>
      <c r="W667" s="357">
        <f t="shared" ca="1" si="294"/>
        <v>37.583846322456537</v>
      </c>
      <c r="X667" s="343"/>
      <c r="Y667" s="367" t="str">
        <f t="shared" ca="1" si="312"/>
        <v/>
      </c>
      <c r="Z667" s="368" t="str">
        <f t="shared" ca="1" si="313"/>
        <v/>
      </c>
      <c r="AA667" s="369" t="str">
        <f t="shared" ca="1" si="314"/>
        <v/>
      </c>
      <c r="AB667" s="344"/>
      <c r="AC667" s="363" t="e">
        <f t="shared" ca="1" si="315"/>
        <v>#N/A</v>
      </c>
      <c r="AD667" s="376" t="e">
        <f t="shared" ca="1" si="316"/>
        <v>#N/A</v>
      </c>
      <c r="AE667" s="377" t="e">
        <f t="shared" ca="1" si="295"/>
        <v>#N/A</v>
      </c>
      <c r="AF667" s="344"/>
      <c r="AG667" s="359">
        <f t="shared" ca="1" si="317"/>
        <v>5.1983225700878988</v>
      </c>
      <c r="AH667" s="357">
        <f t="shared" ca="1" si="318"/>
        <v>-4.437034703041344</v>
      </c>
    </row>
    <row r="668" spans="1:34" x14ac:dyDescent="0.2">
      <c r="A668" s="402">
        <f t="shared" ca="1" si="296"/>
        <v>0.1</v>
      </c>
      <c r="B668" s="357">
        <f t="shared" ca="1" si="297"/>
        <v>30.400000000000119</v>
      </c>
      <c r="C668" s="342"/>
      <c r="D668" s="359">
        <f t="shared" ca="1" si="298"/>
        <v>-0.83497020483725781</v>
      </c>
      <c r="E668" s="360">
        <f t="shared" ca="1" si="299"/>
        <v>-5.4045526595508111</v>
      </c>
      <c r="F668" s="357">
        <f t="shared" ca="1" si="300"/>
        <v>5.4686711999190187</v>
      </c>
      <c r="G668" s="359">
        <f t="shared" ca="1" si="301"/>
        <v>20.533163949619126</v>
      </c>
      <c r="H668" s="360">
        <f t="shared" ca="1" si="302"/>
        <v>-109.31752744589575</v>
      </c>
      <c r="I668" s="357">
        <f t="shared" ca="1" si="303"/>
        <v>111.2291896431243</v>
      </c>
      <c r="J668" s="359">
        <f t="shared" ca="1" si="304"/>
        <v>862.73111939806176</v>
      </c>
      <c r="K668" s="360">
        <f t="shared" ca="1" si="305"/>
        <v>582.90872423868143</v>
      </c>
      <c r="L668" s="357">
        <f t="shared" ca="1" si="290"/>
        <v>1041.1952579470385</v>
      </c>
      <c r="M668" s="359">
        <f t="shared" ca="1" si="306"/>
        <v>-1.385129137144147</v>
      </c>
      <c r="N668" s="357">
        <f t="shared" ca="1" si="307"/>
        <v>-79.362053638957008</v>
      </c>
      <c r="O668" s="343"/>
      <c r="P668" s="363">
        <f t="shared" ca="1" si="308"/>
        <v>23</v>
      </c>
      <c r="Q668" s="357">
        <f t="shared" ca="1" si="309"/>
        <v>0</v>
      </c>
      <c r="R668" s="359">
        <f t="shared" ca="1" si="310"/>
        <v>0</v>
      </c>
      <c r="S668" s="360">
        <f t="shared" ca="1" si="311"/>
        <v>8.3819999999999997</v>
      </c>
      <c r="T668" s="357">
        <f t="shared" ca="1" si="291"/>
        <v>82.227419999999995</v>
      </c>
      <c r="U668" s="364">
        <f t="shared" ca="1" si="292"/>
        <v>0</v>
      </c>
      <c r="V668" s="359">
        <f t="shared" ca="1" si="293"/>
        <v>1.1556159108259083</v>
      </c>
      <c r="W668" s="357">
        <f t="shared" ca="1" si="294"/>
        <v>37.976149691149509</v>
      </c>
      <c r="X668" s="343"/>
      <c r="Y668" s="367" t="str">
        <f t="shared" ca="1" si="312"/>
        <v/>
      </c>
      <c r="Z668" s="368" t="str">
        <f t="shared" ca="1" si="313"/>
        <v/>
      </c>
      <c r="AA668" s="369" t="str">
        <f t="shared" ca="1" si="314"/>
        <v/>
      </c>
      <c r="AB668" s="344"/>
      <c r="AC668" s="363" t="e">
        <f t="shared" ca="1" si="315"/>
        <v>#N/A</v>
      </c>
      <c r="AD668" s="376" t="e">
        <f t="shared" ca="1" si="316"/>
        <v>#N/A</v>
      </c>
      <c r="AE668" s="377" t="e">
        <f t="shared" ca="1" si="295"/>
        <v>#N/A</v>
      </c>
      <c r="AF668" s="344"/>
      <c r="AG668" s="359">
        <f t="shared" ca="1" si="317"/>
        <v>5.1545355664675565</v>
      </c>
      <c r="AH668" s="357">
        <f t="shared" ca="1" si="318"/>
        <v>-4.4838757244639158</v>
      </c>
    </row>
    <row r="669" spans="1:34" x14ac:dyDescent="0.2">
      <c r="A669" s="402">
        <f t="shared" ca="1" si="296"/>
        <v>0.1</v>
      </c>
      <c r="B669" s="357">
        <f t="shared" ca="1" si="297"/>
        <v>30.500000000000121</v>
      </c>
      <c r="C669" s="342"/>
      <c r="D669" s="359">
        <f t="shared" ca="1" si="298"/>
        <v>-0.83637371517624814</v>
      </c>
      <c r="E669" s="360">
        <f t="shared" ca="1" si="299"/>
        <v>-5.3571885975224349</v>
      </c>
      <c r="F669" s="357">
        <f t="shared" ca="1" si="300"/>
        <v>5.422083608804102</v>
      </c>
      <c r="G669" s="359">
        <f t="shared" ca="1" si="301"/>
        <v>20.449526578101501</v>
      </c>
      <c r="H669" s="360">
        <f t="shared" ca="1" si="302"/>
        <v>-109.85324630564799</v>
      </c>
      <c r="I669" s="357">
        <f t="shared" ca="1" si="303"/>
        <v>111.74040836312457</v>
      </c>
      <c r="J669" s="359">
        <f t="shared" ca="1" si="304"/>
        <v>864.78025392444783</v>
      </c>
      <c r="K669" s="360">
        <f t="shared" ca="1" si="305"/>
        <v>571.95018555110425</v>
      </c>
      <c r="L669" s="357">
        <f t="shared" ca="1" si="290"/>
        <v>1036.808517677963</v>
      </c>
      <c r="M669" s="359">
        <f t="shared" ca="1" si="306"/>
        <v>-1.3867498125623827</v>
      </c>
      <c r="N669" s="357">
        <f t="shared" ca="1" si="307"/>
        <v>-79.454911500382522</v>
      </c>
      <c r="O669" s="343"/>
      <c r="P669" s="363">
        <f t="shared" ca="1" si="308"/>
        <v>23</v>
      </c>
      <c r="Q669" s="357">
        <f t="shared" ca="1" si="309"/>
        <v>0</v>
      </c>
      <c r="R669" s="359">
        <f t="shared" ca="1" si="310"/>
        <v>0</v>
      </c>
      <c r="S669" s="360">
        <f t="shared" ca="1" si="311"/>
        <v>8.3819999999999997</v>
      </c>
      <c r="T669" s="357">
        <f t="shared" ca="1" si="291"/>
        <v>82.227419999999995</v>
      </c>
      <c r="U669" s="364">
        <f t="shared" ca="1" si="292"/>
        <v>0</v>
      </c>
      <c r="V669" s="359">
        <f t="shared" ca="1" si="293"/>
        <v>1.1568840488159258</v>
      </c>
      <c r="W669" s="357">
        <f t="shared" ca="1" si="294"/>
        <v>38.368092894414566</v>
      </c>
      <c r="X669" s="343"/>
      <c r="Y669" s="367" t="str">
        <f t="shared" ca="1" si="312"/>
        <v/>
      </c>
      <c r="Z669" s="368" t="str">
        <f t="shared" ca="1" si="313"/>
        <v/>
      </c>
      <c r="AA669" s="369" t="str">
        <f t="shared" ca="1" si="314"/>
        <v/>
      </c>
      <c r="AB669" s="344"/>
      <c r="AC669" s="363" t="e">
        <f t="shared" ca="1" si="315"/>
        <v>#N/A</v>
      </c>
      <c r="AD669" s="376" t="e">
        <f t="shared" ca="1" si="316"/>
        <v>#N/A</v>
      </c>
      <c r="AE669" s="377" t="e">
        <f t="shared" ca="1" si="295"/>
        <v>#N/A</v>
      </c>
      <c r="AF669" s="344"/>
      <c r="AG669" s="359">
        <f t="shared" ca="1" si="317"/>
        <v>5.1107197197922973</v>
      </c>
      <c r="AH669" s="357">
        <f t="shared" ca="1" si="318"/>
        <v>-4.5306787987532227</v>
      </c>
    </row>
    <row r="670" spans="1:34" x14ac:dyDescent="0.2">
      <c r="A670" s="402">
        <f t="shared" ca="1" si="296"/>
        <v>0.1</v>
      </c>
      <c r="B670" s="357">
        <f t="shared" ca="1" si="297"/>
        <v>30.600000000000122</v>
      </c>
      <c r="C670" s="342"/>
      <c r="D670" s="359">
        <f t="shared" ca="1" si="298"/>
        <v>-0.83771358903075022</v>
      </c>
      <c r="E670" s="360">
        <f t="shared" ca="1" si="299"/>
        <v>-5.3098685726089405</v>
      </c>
      <c r="F670" s="357">
        <f t="shared" ca="1" si="300"/>
        <v>5.3755435367622955</v>
      </c>
      <c r="G670" s="359">
        <f t="shared" ca="1" si="301"/>
        <v>20.365755219198427</v>
      </c>
      <c r="H670" s="360">
        <f t="shared" ca="1" si="302"/>
        <v>-110.38423316290888</v>
      </c>
      <c r="I670" s="357">
        <f t="shared" ca="1" si="303"/>
        <v>112.24724012915303</v>
      </c>
      <c r="J670" s="359">
        <f t="shared" ca="1" si="304"/>
        <v>866.82101801431281</v>
      </c>
      <c r="K670" s="360">
        <f t="shared" ca="1" si="305"/>
        <v>560.93831157767636</v>
      </c>
      <c r="L670" s="357">
        <f t="shared" ca="1" si="290"/>
        <v>1032.4875140489517</v>
      </c>
      <c r="M670" s="359">
        <f t="shared" ca="1" si="306"/>
        <v>-1.3883492473031929</v>
      </c>
      <c r="N670" s="357">
        <f t="shared" ca="1" si="307"/>
        <v>-79.546552360637548</v>
      </c>
      <c r="O670" s="343"/>
      <c r="P670" s="363">
        <f t="shared" ca="1" si="308"/>
        <v>23</v>
      </c>
      <c r="Q670" s="357">
        <f t="shared" ca="1" si="309"/>
        <v>0</v>
      </c>
      <c r="R670" s="359">
        <f t="shared" ca="1" si="310"/>
        <v>0</v>
      </c>
      <c r="S670" s="360">
        <f t="shared" ca="1" si="311"/>
        <v>8.3819999999999997</v>
      </c>
      <c r="T670" s="357">
        <f t="shared" ca="1" si="291"/>
        <v>82.227419999999995</v>
      </c>
      <c r="U670" s="364">
        <f t="shared" ca="1" si="292"/>
        <v>0</v>
      </c>
      <c r="V670" s="359">
        <f t="shared" ca="1" si="293"/>
        <v>1.1581597205079182</v>
      </c>
      <c r="W670" s="357">
        <f t="shared" ca="1" si="294"/>
        <v>38.759634347318588</v>
      </c>
      <c r="X670" s="343"/>
      <c r="Y670" s="367" t="str">
        <f t="shared" ca="1" si="312"/>
        <v/>
      </c>
      <c r="Z670" s="368" t="str">
        <f t="shared" ca="1" si="313"/>
        <v/>
      </c>
      <c r="AA670" s="369" t="str">
        <f t="shared" ca="1" si="314"/>
        <v/>
      </c>
      <c r="AB670" s="344"/>
      <c r="AC670" s="363" t="e">
        <f t="shared" ca="1" si="315"/>
        <v>#N/A</v>
      </c>
      <c r="AD670" s="376" t="e">
        <f t="shared" ca="1" si="316"/>
        <v>#N/A</v>
      </c>
      <c r="AE670" s="377" t="e">
        <f t="shared" ca="1" si="295"/>
        <v>#N/A</v>
      </c>
      <c r="AF670" s="344"/>
      <c r="AG670" s="359">
        <f t="shared" ca="1" si="317"/>
        <v>5.0668819109180161</v>
      </c>
      <c r="AH670" s="357">
        <f t="shared" ca="1" si="318"/>
        <v>-4.5774389041296315</v>
      </c>
    </row>
    <row r="671" spans="1:34" x14ac:dyDescent="0.2">
      <c r="A671" s="402">
        <f t="shared" ca="1" si="296"/>
        <v>0.1</v>
      </c>
      <c r="B671" s="357">
        <f t="shared" ca="1" si="297"/>
        <v>30.700000000000124</v>
      </c>
      <c r="C671" s="342"/>
      <c r="D671" s="359">
        <f t="shared" ca="1" si="298"/>
        <v>-0.83899015130152754</v>
      </c>
      <c r="E671" s="360">
        <f t="shared" ca="1" si="299"/>
        <v>-5.2625975842354711</v>
      </c>
      <c r="F671" s="357">
        <f t="shared" ca="1" si="300"/>
        <v>5.3290559959135333</v>
      </c>
      <c r="G671" s="359">
        <f t="shared" ca="1" si="301"/>
        <v>20.281856204068273</v>
      </c>
      <c r="H671" s="360">
        <f t="shared" ca="1" si="302"/>
        <v>-110.91049292133243</v>
      </c>
      <c r="I671" s="357">
        <f t="shared" ca="1" si="303"/>
        <v>112.74968350791693</v>
      </c>
      <c r="J671" s="359">
        <f t="shared" ca="1" si="304"/>
        <v>868.85339858547616</v>
      </c>
      <c r="K671" s="360">
        <f t="shared" ca="1" si="305"/>
        <v>549.87357527346433</v>
      </c>
      <c r="L671" s="357">
        <f t="shared" ca="1" si="290"/>
        <v>1028.2349814208592</v>
      </c>
      <c r="M671" s="359">
        <f t="shared" ca="1" si="306"/>
        <v>-1.3899278713144354</v>
      </c>
      <c r="N671" s="357">
        <f t="shared" ca="1" si="307"/>
        <v>-79.637000853919744</v>
      </c>
      <c r="O671" s="343"/>
      <c r="P671" s="363">
        <f t="shared" ca="1" si="308"/>
        <v>23</v>
      </c>
      <c r="Q671" s="357">
        <f t="shared" ca="1" si="309"/>
        <v>0</v>
      </c>
      <c r="R671" s="359">
        <f t="shared" ca="1" si="310"/>
        <v>0</v>
      </c>
      <c r="S671" s="360">
        <f t="shared" ca="1" si="311"/>
        <v>8.3819999999999997</v>
      </c>
      <c r="T671" s="357">
        <f t="shared" ca="1" si="291"/>
        <v>82.227419999999995</v>
      </c>
      <c r="U671" s="364">
        <f t="shared" ca="1" si="292"/>
        <v>0</v>
      </c>
      <c r="V671" s="359">
        <f t="shared" ca="1" si="293"/>
        <v>1.1594428930676739</v>
      </c>
      <c r="W671" s="357">
        <f t="shared" ca="1" si="294"/>
        <v>39.150732977399024</v>
      </c>
      <c r="X671" s="343"/>
      <c r="Y671" s="367" t="str">
        <f t="shared" ca="1" si="312"/>
        <v/>
      </c>
      <c r="Z671" s="368" t="str">
        <f t="shared" ca="1" si="313"/>
        <v/>
      </c>
      <c r="AA671" s="369" t="str">
        <f t="shared" ca="1" si="314"/>
        <v/>
      </c>
      <c r="AB671" s="344"/>
      <c r="AC671" s="363" t="e">
        <f t="shared" ca="1" si="315"/>
        <v>#N/A</v>
      </c>
      <c r="AD671" s="376" t="e">
        <f t="shared" ca="1" si="316"/>
        <v>#N/A</v>
      </c>
      <c r="AE671" s="377" t="e">
        <f t="shared" ca="1" si="295"/>
        <v>#N/A</v>
      </c>
      <c r="AF671" s="344"/>
      <c r="AG671" s="359">
        <f t="shared" ca="1" si="317"/>
        <v>5.0230288965621313</v>
      </c>
      <c r="AH671" s="357">
        <f t="shared" ca="1" si="318"/>
        <v>-4.6241510793746823</v>
      </c>
    </row>
    <row r="672" spans="1:34" x14ac:dyDescent="0.2">
      <c r="A672" s="402">
        <f t="shared" ca="1" si="296"/>
        <v>0.1</v>
      </c>
      <c r="B672" s="357">
        <f t="shared" ca="1" si="297"/>
        <v>30.800000000000125</v>
      </c>
      <c r="C672" s="342"/>
      <c r="D672" s="359">
        <f t="shared" ca="1" si="298"/>
        <v>-0.84020373660455905</v>
      </c>
      <c r="E672" s="360">
        <f t="shared" ca="1" si="299"/>
        <v>-5.2153805705187484</v>
      </c>
      <c r="F672" s="357">
        <f t="shared" ca="1" si="300"/>
        <v>5.2826259392795105</v>
      </c>
      <c r="G672" s="359">
        <f t="shared" ca="1" si="301"/>
        <v>20.197835830407818</v>
      </c>
      <c r="H672" s="360">
        <f t="shared" ca="1" si="302"/>
        <v>-111.4320309783843</v>
      </c>
      <c r="I672" s="357">
        <f t="shared" ca="1" si="303"/>
        <v>113.24773772663056</v>
      </c>
      <c r="J672" s="359">
        <f t="shared" ca="1" si="304"/>
        <v>870.87738318719994</v>
      </c>
      <c r="K672" s="360">
        <f t="shared" ca="1" si="305"/>
        <v>538.75644907847845</v>
      </c>
      <c r="L672" s="357">
        <f t="shared" ca="1" si="290"/>
        <v>1024.0536743602047</v>
      </c>
      <c r="M672" s="359">
        <f t="shared" ca="1" si="306"/>
        <v>-1.3914861029447718</v>
      </c>
      <c r="N672" s="357">
        <f t="shared" ca="1" si="307"/>
        <v>-79.726280949841822</v>
      </c>
      <c r="O672" s="343"/>
      <c r="P672" s="363">
        <f t="shared" ca="1" si="308"/>
        <v>23</v>
      </c>
      <c r="Q672" s="357">
        <f t="shared" ca="1" si="309"/>
        <v>0</v>
      </c>
      <c r="R672" s="359">
        <f t="shared" ca="1" si="310"/>
        <v>0</v>
      </c>
      <c r="S672" s="360">
        <f t="shared" ca="1" si="311"/>
        <v>8.3819999999999997</v>
      </c>
      <c r="T672" s="357">
        <f t="shared" ca="1" si="291"/>
        <v>82.227419999999995</v>
      </c>
      <c r="U672" s="364">
        <f t="shared" ca="1" si="292"/>
        <v>0</v>
      </c>
      <c r="V672" s="359">
        <f t="shared" ca="1" si="293"/>
        <v>1.1607335336482121</v>
      </c>
      <c r="W672" s="357">
        <f t="shared" ca="1" si="294"/>
        <v>39.54134822926715</v>
      </c>
      <c r="X672" s="343"/>
      <c r="Y672" s="367" t="str">
        <f t="shared" ca="1" si="312"/>
        <v/>
      </c>
      <c r="Z672" s="368" t="str">
        <f t="shared" ca="1" si="313"/>
        <v/>
      </c>
      <c r="AA672" s="369" t="str">
        <f t="shared" ca="1" si="314"/>
        <v/>
      </c>
      <c r="AB672" s="344"/>
      <c r="AC672" s="363" t="e">
        <f t="shared" ca="1" si="315"/>
        <v>#N/A</v>
      </c>
      <c r="AD672" s="376" t="e">
        <f t="shared" ca="1" si="316"/>
        <v>#N/A</v>
      </c>
      <c r="AE672" s="377" t="e">
        <f t="shared" ca="1" si="295"/>
        <v>#N/A</v>
      </c>
      <c r="AF672" s="344"/>
      <c r="AG672" s="359">
        <f t="shared" ca="1" si="317"/>
        <v>4.9791673112875747</v>
      </c>
      <c r="AH672" s="357">
        <f t="shared" ca="1" si="318"/>
        <v>-4.6708104244093329</v>
      </c>
    </row>
    <row r="673" spans="1:34" x14ac:dyDescent="0.2">
      <c r="A673" s="402">
        <f t="shared" ca="1" si="296"/>
        <v>0.1</v>
      </c>
      <c r="B673" s="357">
        <f t="shared" ca="1" si="297"/>
        <v>30.900000000000126</v>
      </c>
      <c r="C673" s="342"/>
      <c r="D673" s="359">
        <f t="shared" ca="1" si="298"/>
        <v>-0.84135468902000987</v>
      </c>
      <c r="E673" s="360">
        <f t="shared" ca="1" si="299"/>
        <v>-5.1682224076927952</v>
      </c>
      <c r="F673" s="357">
        <f t="shared" ca="1" si="300"/>
        <v>5.2362582602574017</v>
      </c>
      <c r="G673" s="359">
        <f t="shared" ca="1" si="301"/>
        <v>20.113700361505817</v>
      </c>
      <c r="H673" s="360">
        <f t="shared" ca="1" si="302"/>
        <v>-111.94885321915359</v>
      </c>
      <c r="I673" s="357">
        <f t="shared" ca="1" si="303"/>
        <v>113.7414026611068</v>
      </c>
      <c r="J673" s="359">
        <f t="shared" ca="1" si="304"/>
        <v>872.89295999679564</v>
      </c>
      <c r="K673" s="360">
        <f t="shared" ca="1" si="305"/>
        <v>527.58740486860154</v>
      </c>
      <c r="L673" s="357">
        <f t="shared" ca="1" si="290"/>
        <v>1019.9463659369316</v>
      </c>
      <c r="M673" s="359">
        <f t="shared" ca="1" si="306"/>
        <v>-1.3930243493247196</v>
      </c>
      <c r="N673" s="357">
        <f t="shared" ca="1" si="307"/>
        <v>-79.814415975264097</v>
      </c>
      <c r="O673" s="343"/>
      <c r="P673" s="363">
        <f t="shared" ca="1" si="308"/>
        <v>23</v>
      </c>
      <c r="Q673" s="357">
        <f t="shared" ca="1" si="309"/>
        <v>0</v>
      </c>
      <c r="R673" s="359">
        <f t="shared" ca="1" si="310"/>
        <v>0</v>
      </c>
      <c r="S673" s="360">
        <f t="shared" ca="1" si="311"/>
        <v>8.3819999999999997</v>
      </c>
      <c r="T673" s="357">
        <f t="shared" ca="1" si="291"/>
        <v>82.227419999999995</v>
      </c>
      <c r="U673" s="364">
        <f t="shared" ca="1" si="292"/>
        <v>0</v>
      </c>
      <c r="V673" s="359">
        <f t="shared" ca="1" si="293"/>
        <v>1.1620316093930498</v>
      </c>
      <c r="W673" s="357">
        <f t="shared" ca="1" si="294"/>
        <v>39.931440068968449</v>
      </c>
      <c r="X673" s="343"/>
      <c r="Y673" s="367" t="str">
        <f t="shared" ca="1" si="312"/>
        <v/>
      </c>
      <c r="Z673" s="368" t="str">
        <f t="shared" ca="1" si="313"/>
        <v/>
      </c>
      <c r="AA673" s="369" t="str">
        <f t="shared" ca="1" si="314"/>
        <v/>
      </c>
      <c r="AB673" s="344"/>
      <c r="AC673" s="363" t="e">
        <f t="shared" ca="1" si="315"/>
        <v>#N/A</v>
      </c>
      <c r="AD673" s="376" t="e">
        <f t="shared" ca="1" si="316"/>
        <v>#N/A</v>
      </c>
      <c r="AE673" s="377" t="e">
        <f t="shared" ca="1" si="295"/>
        <v>#N/A</v>
      </c>
      <c r="AF673" s="344"/>
      <c r="AG673" s="359">
        <f t="shared" ca="1" si="317"/>
        <v>4.9353036693977455</v>
      </c>
      <c r="AH673" s="357">
        <f t="shared" ca="1" si="318"/>
        <v>-4.7174121008431342</v>
      </c>
    </row>
    <row r="674" spans="1:34" x14ac:dyDescent="0.2">
      <c r="A674" s="402">
        <f t="shared" ca="1" si="296"/>
        <v>0.1</v>
      </c>
      <c r="B674" s="357">
        <f t="shared" ca="1" si="297"/>
        <v>31.000000000000128</v>
      </c>
      <c r="C674" s="342"/>
      <c r="D674" s="359">
        <f t="shared" ca="1" si="298"/>
        <v>-0.84244336184325086</v>
      </c>
      <c r="E674" s="360">
        <f t="shared" ca="1" si="299"/>
        <v>-5.1211279095648328</v>
      </c>
      <c r="F674" s="357">
        <f t="shared" ca="1" si="300"/>
        <v>5.1899577921248676</v>
      </c>
      <c r="G674" s="359">
        <f t="shared" ca="1" si="301"/>
        <v>20.02945602532149</v>
      </c>
      <c r="H674" s="360">
        <f t="shared" ca="1" si="302"/>
        <v>-112.46096601011007</v>
      </c>
      <c r="I674" s="357">
        <f t="shared" ca="1" si="303"/>
        <v>114.23067882402441</v>
      </c>
      <c r="J674" s="359">
        <f t="shared" ca="1" si="304"/>
        <v>874.90011781613703</v>
      </c>
      <c r="K674" s="360">
        <f t="shared" ca="1" si="305"/>
        <v>516.36691390713838</v>
      </c>
      <c r="L674" s="357">
        <f t="shared" ca="1" si="290"/>
        <v>1015.9158458911213</v>
      </c>
      <c r="M674" s="359">
        <f t="shared" ca="1" si="306"/>
        <v>-1.3945430067330546</v>
      </c>
      <c r="N674" s="357">
        <f t="shared" ca="1" si="307"/>
        <v>-79.901428635287971</v>
      </c>
      <c r="O674" s="343"/>
      <c r="P674" s="363">
        <f t="shared" ca="1" si="308"/>
        <v>23</v>
      </c>
      <c r="Q674" s="357">
        <f t="shared" ca="1" si="309"/>
        <v>0</v>
      </c>
      <c r="R674" s="359">
        <f t="shared" ca="1" si="310"/>
        <v>0</v>
      </c>
      <c r="S674" s="360">
        <f t="shared" ca="1" si="311"/>
        <v>8.3819999999999997</v>
      </c>
      <c r="T674" s="357">
        <f t="shared" ca="1" si="291"/>
        <v>82.227419999999995</v>
      </c>
      <c r="U674" s="364">
        <f t="shared" ca="1" si="292"/>
        <v>0</v>
      </c>
      <c r="V674" s="359">
        <f t="shared" ca="1" si="293"/>
        <v>1.1633370874394464</v>
      </c>
      <c r="W674" s="357">
        <f t="shared" ca="1" si="294"/>
        <v>40.320968988102116</v>
      </c>
      <c r="X674" s="343"/>
      <c r="Y674" s="367" t="str">
        <f t="shared" ca="1" si="312"/>
        <v/>
      </c>
      <c r="Z674" s="368" t="str">
        <f t="shared" ca="1" si="313"/>
        <v/>
      </c>
      <c r="AA674" s="369" t="str">
        <f t="shared" ca="1" si="314"/>
        <v/>
      </c>
      <c r="AB674" s="344"/>
      <c r="AC674" s="363">
        <f t="shared" ca="1" si="315"/>
        <v>31.000000000000128</v>
      </c>
      <c r="AD674" s="376">
        <f t="shared" ca="1" si="316"/>
        <v>874.90011781613703</v>
      </c>
      <c r="AE674" s="377" t="e">
        <f t="shared" ca="1" si="295"/>
        <v>#N/A</v>
      </c>
      <c r="AF674" s="344"/>
      <c r="AG674" s="359">
        <f t="shared" ca="1" si="317"/>
        <v>4.8914443667483756</v>
      </c>
      <c r="AH674" s="357">
        <f t="shared" ca="1" si="318"/>
        <v>-4.7639513324944467</v>
      </c>
    </row>
    <row r="675" spans="1:34" x14ac:dyDescent="0.2">
      <c r="A675" s="402">
        <f t="shared" ca="1" si="296"/>
        <v>0.1</v>
      </c>
      <c r="B675" s="357">
        <f t="shared" ca="1" si="297"/>
        <v>31.100000000000129</v>
      </c>
      <c r="C675" s="342"/>
      <c r="D675" s="359">
        <f t="shared" ca="1" si="298"/>
        <v>-0.84347011733790855</v>
      </c>
      <c r="E675" s="360">
        <f t="shared" ca="1" si="299"/>
        <v>-5.0741018270010887</v>
      </c>
      <c r="F675" s="357">
        <f t="shared" ca="1" si="300"/>
        <v>5.143729307576149</v>
      </c>
      <c r="G675" s="359">
        <f t="shared" ca="1" si="301"/>
        <v>19.9451090135877</v>
      </c>
      <c r="H675" s="360">
        <f t="shared" ca="1" si="302"/>
        <v>-112.96837619281018</v>
      </c>
      <c r="I675" s="357">
        <f t="shared" ca="1" si="303"/>
        <v>114.71556735336395</v>
      </c>
      <c r="J675" s="359">
        <f t="shared" ca="1" si="304"/>
        <v>876.89884606808243</v>
      </c>
      <c r="K675" s="360">
        <f t="shared" ca="1" si="305"/>
        <v>505.09544679699235</v>
      </c>
      <c r="L675" s="357">
        <f t="shared" ca="1" si="290"/>
        <v>1011.9649186659525</v>
      </c>
      <c r="M675" s="359">
        <f t="shared" ca="1" si="306"/>
        <v>-1.3960424609492021</v>
      </c>
      <c r="N675" s="357">
        <f t="shared" ca="1" si="307"/>
        <v>-79.987341033446327</v>
      </c>
      <c r="O675" s="343"/>
      <c r="P675" s="363">
        <f t="shared" ca="1" si="308"/>
        <v>23</v>
      </c>
      <c r="Q675" s="357">
        <f t="shared" ca="1" si="309"/>
        <v>0</v>
      </c>
      <c r="R675" s="359">
        <f t="shared" ca="1" si="310"/>
        <v>0</v>
      </c>
      <c r="S675" s="360">
        <f t="shared" ca="1" si="311"/>
        <v>8.3819999999999997</v>
      </c>
      <c r="T675" s="357">
        <f t="shared" ca="1" si="291"/>
        <v>82.227419999999995</v>
      </c>
      <c r="U675" s="364">
        <f t="shared" ca="1" si="292"/>
        <v>0</v>
      </c>
      <c r="V675" s="359">
        <f t="shared" ca="1" si="293"/>
        <v>1.1646499349216182</v>
      </c>
      <c r="W675" s="357">
        <f t="shared" ca="1" si="294"/>
        <v>40.709896007701118</v>
      </c>
      <c r="X675" s="343"/>
      <c r="Y675" s="367" t="str">
        <f t="shared" ca="1" si="312"/>
        <v/>
      </c>
      <c r="Z675" s="368" t="str">
        <f t="shared" ca="1" si="313"/>
        <v/>
      </c>
      <c r="AA675" s="369" t="str">
        <f t="shared" ca="1" si="314"/>
        <v/>
      </c>
      <c r="AB675" s="344"/>
      <c r="AC675" s="363" t="e">
        <f t="shared" ca="1" si="315"/>
        <v>#N/A</v>
      </c>
      <c r="AD675" s="376" t="e">
        <f t="shared" ca="1" si="316"/>
        <v>#N/A</v>
      </c>
      <c r="AE675" s="377" t="e">
        <f t="shared" ca="1" si="295"/>
        <v>#N/A</v>
      </c>
      <c r="AF675" s="344"/>
      <c r="AG675" s="359">
        <f t="shared" ca="1" si="317"/>
        <v>4.8475956824818738</v>
      </c>
      <c r="AH675" s="357">
        <f t="shared" ca="1" si="318"/>
        <v>-4.8104234058819042</v>
      </c>
    </row>
    <row r="676" spans="1:34" x14ac:dyDescent="0.2">
      <c r="A676" s="402">
        <f t="shared" ca="1" si="296"/>
        <v>0.1</v>
      </c>
      <c r="B676" s="357">
        <f t="shared" ca="1" si="297"/>
        <v>31.200000000000131</v>
      </c>
      <c r="C676" s="342"/>
      <c r="D676" s="359">
        <f t="shared" ca="1" si="298"/>
        <v>-0.84443532649094377</v>
      </c>
      <c r="E676" s="360">
        <f t="shared" ca="1" si="299"/>
        <v>-5.0271488474422723</v>
      </c>
      <c r="F676" s="357">
        <f t="shared" ca="1" si="300"/>
        <v>5.0975775182890581</v>
      </c>
      <c r="G676" s="359">
        <f t="shared" ca="1" si="301"/>
        <v>19.860665480938607</v>
      </c>
      <c r="H676" s="360">
        <f t="shared" ca="1" si="302"/>
        <v>-113.47109107755441</v>
      </c>
      <c r="I676" s="357">
        <f t="shared" ca="1" si="303"/>
        <v>115.19607000100478</v>
      </c>
      <c r="J676" s="359">
        <f t="shared" ca="1" si="304"/>
        <v>878.8891347928087</v>
      </c>
      <c r="K676" s="360">
        <f t="shared" ca="1" si="305"/>
        <v>493.77347343347412</v>
      </c>
      <c r="L676" s="357">
        <f t="shared" ca="1" si="290"/>
        <v>1008.0964013046618</v>
      </c>
      <c r="M676" s="359">
        <f t="shared" ca="1" si="306"/>
        <v>-1.3975230875922278</v>
      </c>
      <c r="N676" s="357">
        <f t="shared" ca="1" si="307"/>
        <v>-80.072174691126321</v>
      </c>
      <c r="O676" s="343"/>
      <c r="P676" s="363">
        <f t="shared" ca="1" si="308"/>
        <v>23</v>
      </c>
      <c r="Q676" s="357">
        <f t="shared" ca="1" si="309"/>
        <v>0</v>
      </c>
      <c r="R676" s="359">
        <f t="shared" ca="1" si="310"/>
        <v>0</v>
      </c>
      <c r="S676" s="360">
        <f t="shared" ca="1" si="311"/>
        <v>8.3819999999999997</v>
      </c>
      <c r="T676" s="357">
        <f t="shared" ca="1" si="291"/>
        <v>82.227419999999995</v>
      </c>
      <c r="U676" s="364">
        <f t="shared" ca="1" si="292"/>
        <v>0</v>
      </c>
      <c r="V676" s="359">
        <f t="shared" ca="1" si="293"/>
        <v>1.16597011897393</v>
      </c>
      <c r="W676" s="357">
        <f t="shared" ca="1" si="294"/>
        <v>41.098182681874633</v>
      </c>
      <c r="X676" s="343"/>
      <c r="Y676" s="367" t="str">
        <f t="shared" ca="1" si="312"/>
        <v/>
      </c>
      <c r="Z676" s="368" t="str">
        <f t="shared" ca="1" si="313"/>
        <v/>
      </c>
      <c r="AA676" s="369" t="str">
        <f t="shared" ca="1" si="314"/>
        <v/>
      </c>
      <c r="AB676" s="344"/>
      <c r="AC676" s="363" t="e">
        <f t="shared" ca="1" si="315"/>
        <v>#N/A</v>
      </c>
      <c r="AD676" s="376" t="e">
        <f t="shared" ca="1" si="316"/>
        <v>#N/A</v>
      </c>
      <c r="AE676" s="377" t="e">
        <f t="shared" ca="1" si="295"/>
        <v>#N/A</v>
      </c>
      <c r="AF676" s="344"/>
      <c r="AG676" s="359">
        <f t="shared" ca="1" si="317"/>
        <v>4.8037637806893931</v>
      </c>
      <c r="AH676" s="357">
        <f t="shared" ca="1" si="318"/>
        <v>-4.8568236706873202</v>
      </c>
    </row>
    <row r="677" spans="1:34" x14ac:dyDescent="0.2">
      <c r="A677" s="402">
        <f t="shared" ca="1" si="296"/>
        <v>0.1</v>
      </c>
      <c r="B677" s="357">
        <f t="shared" ca="1" si="297"/>
        <v>31.300000000000132</v>
      </c>
      <c r="C677" s="342"/>
      <c r="D677" s="359">
        <f t="shared" ca="1" si="298"/>
        <v>-0.84533936876975135</v>
      </c>
      <c r="E677" s="360">
        <f t="shared" ca="1" si="299"/>
        <v>-4.9802735944484802</v>
      </c>
      <c r="F677" s="357">
        <f t="shared" ca="1" si="300"/>
        <v>5.0515070745226938</v>
      </c>
      <c r="G677" s="359">
        <f t="shared" ca="1" si="301"/>
        <v>19.776131544061631</v>
      </c>
      <c r="H677" s="360">
        <f t="shared" ca="1" si="302"/>
        <v>-113.96911843699925</v>
      </c>
      <c r="I677" s="357">
        <f t="shared" ca="1" si="303"/>
        <v>115.67218912147722</v>
      </c>
      <c r="J677" s="359">
        <f t="shared" ca="1" si="304"/>
        <v>880.87097464405872</v>
      </c>
      <c r="K677" s="360">
        <f t="shared" ca="1" si="305"/>
        <v>482.40146295774645</v>
      </c>
      <c r="L677" s="357">
        <f t="shared" ca="1" si="290"/>
        <v>1004.3131212097888</v>
      </c>
      <c r="M677" s="359">
        <f t="shared" ca="1" si="306"/>
        <v>-1.3989852524470088</v>
      </c>
      <c r="N677" s="357">
        <f t="shared" ca="1" si="307"/>
        <v>-80.15595056625763</v>
      </c>
      <c r="O677" s="343"/>
      <c r="P677" s="363">
        <f t="shared" ca="1" si="308"/>
        <v>23</v>
      </c>
      <c r="Q677" s="357">
        <f t="shared" ca="1" si="309"/>
        <v>0</v>
      </c>
      <c r="R677" s="359">
        <f t="shared" ca="1" si="310"/>
        <v>0</v>
      </c>
      <c r="S677" s="360">
        <f t="shared" ca="1" si="311"/>
        <v>8.3819999999999997</v>
      </c>
      <c r="T677" s="357">
        <f t="shared" ca="1" si="291"/>
        <v>82.227419999999995</v>
      </c>
      <c r="U677" s="364">
        <f t="shared" ca="1" si="292"/>
        <v>0</v>
      </c>
      <c r="V677" s="359">
        <f t="shared" ca="1" si="293"/>
        <v>1.1672976067340588</v>
      </c>
      <c r="W677" s="357">
        <f t="shared" ca="1" si="294"/>
        <v>41.485791101214794</v>
      </c>
      <c r="X677" s="343"/>
      <c r="Y677" s="367" t="str">
        <f t="shared" ca="1" si="312"/>
        <v/>
      </c>
      <c r="Z677" s="368" t="str">
        <f t="shared" ca="1" si="313"/>
        <v/>
      </c>
      <c r="AA677" s="369" t="str">
        <f t="shared" ca="1" si="314"/>
        <v/>
      </c>
      <c r="AB677" s="344"/>
      <c r="AC677" s="363" t="e">
        <f t="shared" ca="1" si="315"/>
        <v>#N/A</v>
      </c>
      <c r="AD677" s="376" t="e">
        <f t="shared" ca="1" si="316"/>
        <v>#N/A</v>
      </c>
      <c r="AE677" s="377" t="e">
        <f t="shared" ca="1" si="295"/>
        <v>#N/A</v>
      </c>
      <c r="AF677" s="344"/>
      <c r="AG677" s="359">
        <f t="shared" ca="1" si="317"/>
        <v>4.7599547120055057</v>
      </c>
      <c r="AH677" s="357">
        <f t="shared" ca="1" si="318"/>
        <v>-4.9031475401902451</v>
      </c>
    </row>
    <row r="678" spans="1:34" x14ac:dyDescent="0.2">
      <c r="A678" s="402">
        <f t="shared" ca="1" si="296"/>
        <v>0.1</v>
      </c>
      <c r="B678" s="357">
        <f t="shared" ca="1" si="297"/>
        <v>31.400000000000134</v>
      </c>
      <c r="C678" s="342"/>
      <c r="D678" s="359">
        <f t="shared" ca="1" si="298"/>
        <v>-0.8461826318812804</v>
      </c>
      <c r="E678" s="360">
        <f t="shared" ca="1" si="299"/>
        <v>-4.933480627273239</v>
      </c>
      <c r="F678" s="357">
        <f t="shared" ca="1" si="300"/>
        <v>5.0055225647456512</v>
      </c>
      <c r="G678" s="359">
        <f t="shared" ca="1" si="301"/>
        <v>19.691513280873501</v>
      </c>
      <c r="H678" s="360">
        <f t="shared" ca="1" si="302"/>
        <v>-114.46246649972657</v>
      </c>
      <c r="I678" s="357">
        <f t="shared" ca="1" si="303"/>
        <v>116.1439276608633</v>
      </c>
      <c r="J678" s="359">
        <f t="shared" ca="1" si="304"/>
        <v>882.8443568853055</v>
      </c>
      <c r="K678" s="360">
        <f t="shared" ca="1" si="305"/>
        <v>470.97988371091014</v>
      </c>
      <c r="L678" s="357">
        <f t="shared" ca="1" si="290"/>
        <v>1000.617913763576</v>
      </c>
      <c r="M678" s="359">
        <f t="shared" ca="1" si="306"/>
        <v>-1.4004293117781359</v>
      </c>
      <c r="N678" s="357">
        <f t="shared" ca="1" si="307"/>
        <v>-80.238689071297699</v>
      </c>
      <c r="O678" s="343"/>
      <c r="P678" s="363">
        <f t="shared" ca="1" si="308"/>
        <v>23</v>
      </c>
      <c r="Q678" s="357">
        <f t="shared" ca="1" si="309"/>
        <v>0</v>
      </c>
      <c r="R678" s="359">
        <f t="shared" ca="1" si="310"/>
        <v>0</v>
      </c>
      <c r="S678" s="360">
        <f t="shared" ca="1" si="311"/>
        <v>8.3819999999999997</v>
      </c>
      <c r="T678" s="357">
        <f t="shared" ca="1" si="291"/>
        <v>82.227419999999995</v>
      </c>
      <c r="U678" s="364">
        <f t="shared" ca="1" si="292"/>
        <v>0</v>
      </c>
      <c r="V678" s="359">
        <f t="shared" ca="1" si="293"/>
        <v>1.1686323653461304</v>
      </c>
      <c r="W678" s="357">
        <f t="shared" ca="1" si="294"/>
        <v>41.872683895969594</v>
      </c>
      <c r="X678" s="343"/>
      <c r="Y678" s="367" t="str">
        <f t="shared" ca="1" si="312"/>
        <v/>
      </c>
      <c r="Z678" s="368" t="str">
        <f t="shared" ca="1" si="313"/>
        <v/>
      </c>
      <c r="AA678" s="369" t="str">
        <f t="shared" ca="1" si="314"/>
        <v/>
      </c>
      <c r="AB678" s="344"/>
      <c r="AC678" s="363" t="e">
        <f t="shared" ca="1" si="315"/>
        <v>#N/A</v>
      </c>
      <c r="AD678" s="376" t="e">
        <f t="shared" ca="1" si="316"/>
        <v>#N/A</v>
      </c>
      <c r="AE678" s="377" t="e">
        <f t="shared" ca="1" si="295"/>
        <v>#N/A</v>
      </c>
      <c r="AF678" s="344"/>
      <c r="AG678" s="359">
        <f t="shared" ca="1" si="317"/>
        <v>4.7161744151401228</v>
      </c>
      <c r="AH678" s="357">
        <f t="shared" ca="1" si="318"/>
        <v>-4.9493904916743974</v>
      </c>
    </row>
    <row r="679" spans="1:34" x14ac:dyDescent="0.2">
      <c r="A679" s="402">
        <f t="shared" ca="1" si="296"/>
        <v>0.1</v>
      </c>
      <c r="B679" s="357">
        <f t="shared" ca="1" si="297"/>
        <v>31.500000000000135</v>
      </c>
      <c r="C679" s="342"/>
      <c r="D679" s="359">
        <f t="shared" ca="1" si="298"/>
        <v>-0.84696551153318456</v>
      </c>
      <c r="E679" s="360">
        <f t="shared" ca="1" si="299"/>
        <v>-4.886774440466441</v>
      </c>
      <c r="F679" s="357">
        <f t="shared" ca="1" si="300"/>
        <v>4.9596285152945443</v>
      </c>
      <c r="G679" s="359">
        <f t="shared" ca="1" si="301"/>
        <v>19.606816729720183</v>
      </c>
      <c r="H679" s="360">
        <f t="shared" ca="1" si="302"/>
        <v>-114.95114394377322</v>
      </c>
      <c r="I679" s="357">
        <f t="shared" ca="1" si="303"/>
        <v>116.61128914584087</v>
      </c>
      <c r="J679" s="359">
        <f t="shared" ca="1" si="304"/>
        <v>884.80927338583524</v>
      </c>
      <c r="K679" s="360">
        <f t="shared" ca="1" si="305"/>
        <v>459.50920318873517</v>
      </c>
      <c r="L679" s="357">
        <f t="shared" ca="1" si="290"/>
        <v>997.0136198090355</v>
      </c>
      <c r="M679" s="359">
        <f t="shared" ca="1" si="306"/>
        <v>-1.4018556126320731</v>
      </c>
      <c r="N679" s="357">
        <f t="shared" ca="1" si="307"/>
        <v>-80.3204100905442</v>
      </c>
      <c r="O679" s="343"/>
      <c r="P679" s="363">
        <f t="shared" ca="1" si="308"/>
        <v>23</v>
      </c>
      <c r="Q679" s="357">
        <f t="shared" ca="1" si="309"/>
        <v>0</v>
      </c>
      <c r="R679" s="359">
        <f t="shared" ca="1" si="310"/>
        <v>0</v>
      </c>
      <c r="S679" s="360">
        <f t="shared" ca="1" si="311"/>
        <v>8.3819999999999997</v>
      </c>
      <c r="T679" s="357">
        <f t="shared" ca="1" si="291"/>
        <v>82.227419999999995</v>
      </c>
      <c r="U679" s="364">
        <f t="shared" ca="1" si="292"/>
        <v>0</v>
      </c>
      <c r="V679" s="359">
        <f t="shared" ca="1" si="293"/>
        <v>1.1699743619638276</v>
      </c>
      <c r="W679" s="357">
        <f t="shared" ca="1" si="294"/>
        <v>42.258824238984026</v>
      </c>
      <c r="X679" s="343"/>
      <c r="Y679" s="367" t="str">
        <f t="shared" ca="1" si="312"/>
        <v/>
      </c>
      <c r="Z679" s="368" t="str">
        <f t="shared" ca="1" si="313"/>
        <v/>
      </c>
      <c r="AA679" s="369" t="str">
        <f t="shared" ca="1" si="314"/>
        <v/>
      </c>
      <c r="AB679" s="344"/>
      <c r="AC679" s="363" t="e">
        <f t="shared" ca="1" si="315"/>
        <v>#N/A</v>
      </c>
      <c r="AD679" s="376" t="e">
        <f t="shared" ca="1" si="316"/>
        <v>#N/A</v>
      </c>
      <c r="AE679" s="377" t="e">
        <f t="shared" ca="1" si="295"/>
        <v>#N/A</v>
      </c>
      <c r="AF679" s="344"/>
      <c r="AG679" s="359">
        <f t="shared" ca="1" si="317"/>
        <v>4.6724287183519797</v>
      </c>
      <c r="AH679" s="357">
        <f t="shared" ca="1" si="318"/>
        <v>-4.9955480668062036</v>
      </c>
    </row>
    <row r="680" spans="1:34" x14ac:dyDescent="0.2">
      <c r="A680" s="402">
        <f t="shared" ca="1" si="296"/>
        <v>0.1</v>
      </c>
      <c r="B680" s="357">
        <f t="shared" ca="1" si="297"/>
        <v>31.600000000000136</v>
      </c>
      <c r="C680" s="342"/>
      <c r="D680" s="359">
        <f t="shared" ca="1" si="298"/>
        <v>-0.847688411197</v>
      </c>
      <c r="E680" s="360">
        <f t="shared" ca="1" si="299"/>
        <v>-4.8401594635058665</v>
      </c>
      <c r="F680" s="357">
        <f t="shared" ca="1" si="300"/>
        <v>4.9138293900626113</v>
      </c>
      <c r="G680" s="359">
        <f t="shared" ca="1" si="301"/>
        <v>19.522047888600483</v>
      </c>
      <c r="H680" s="360">
        <f t="shared" ca="1" si="302"/>
        <v>-115.4351598901238</v>
      </c>
      <c r="I680" s="357">
        <f t="shared" ca="1" si="303"/>
        <v>117.07427767286569</v>
      </c>
      <c r="J680" s="359">
        <f t="shared" ca="1" si="304"/>
        <v>886.76571661675132</v>
      </c>
      <c r="K680" s="360">
        <f t="shared" ca="1" si="305"/>
        <v>447.98988799704034</v>
      </c>
      <c r="L680" s="357">
        <f t="shared" ca="1" si="290"/>
        <v>993.50308299190556</v>
      </c>
      <c r="M680" s="359">
        <f t="shared" ca="1" si="306"/>
        <v>-1.4032644931280787</v>
      </c>
      <c r="N680" s="357">
        <f t="shared" ca="1" si="307"/>
        <v>-80.401132996803625</v>
      </c>
      <c r="O680" s="343"/>
      <c r="P680" s="363">
        <f t="shared" ca="1" si="308"/>
        <v>23</v>
      </c>
      <c r="Q680" s="357">
        <f t="shared" ca="1" si="309"/>
        <v>0</v>
      </c>
      <c r="R680" s="359">
        <f t="shared" ca="1" si="310"/>
        <v>0</v>
      </c>
      <c r="S680" s="360">
        <f t="shared" ca="1" si="311"/>
        <v>8.3819999999999997</v>
      </c>
      <c r="T680" s="357">
        <f t="shared" ca="1" si="291"/>
        <v>82.227419999999995</v>
      </c>
      <c r="U680" s="364">
        <f t="shared" ca="1" si="292"/>
        <v>0</v>
      </c>
      <c r="V680" s="359">
        <f t="shared" ca="1" si="293"/>
        <v>1.1713235637534709</v>
      </c>
      <c r="W680" s="357">
        <f t="shared" ca="1" si="294"/>
        <v>42.644175848411727</v>
      </c>
      <c r="X680" s="343"/>
      <c r="Y680" s="367" t="str">
        <f t="shared" ca="1" si="312"/>
        <v/>
      </c>
      <c r="Z680" s="368" t="str">
        <f t="shared" ca="1" si="313"/>
        <v/>
      </c>
      <c r="AA680" s="369" t="str">
        <f t="shared" ca="1" si="314"/>
        <v/>
      </c>
      <c r="AB680" s="344"/>
      <c r="AC680" s="363" t="e">
        <f t="shared" ca="1" si="315"/>
        <v>#N/A</v>
      </c>
      <c r="AD680" s="376" t="e">
        <f t="shared" ca="1" si="316"/>
        <v>#N/A</v>
      </c>
      <c r="AE680" s="377" t="e">
        <f t="shared" ca="1" si="295"/>
        <v>#N/A</v>
      </c>
      <c r="AF680" s="344"/>
      <c r="AG680" s="359">
        <f t="shared" ca="1" si="317"/>
        <v>4.6287233408677482</v>
      </c>
      <c r="AH680" s="357">
        <f t="shared" ca="1" si="318"/>
        <v>-5.0416158719856865</v>
      </c>
    </row>
    <row r="681" spans="1:34" x14ac:dyDescent="0.2">
      <c r="A681" s="402">
        <f t="shared" ca="1" si="296"/>
        <v>0.1</v>
      </c>
      <c r="B681" s="357">
        <f t="shared" ca="1" si="297"/>
        <v>31.700000000000138</v>
      </c>
      <c r="C681" s="342"/>
      <c r="D681" s="359">
        <f t="shared" ca="1" si="298"/>
        <v>-0.84835174187335127</v>
      </c>
      <c r="E681" s="360">
        <f t="shared" ca="1" si="299"/>
        <v>-4.7936400604570073</v>
      </c>
      <c r="F681" s="357">
        <f t="shared" ca="1" si="300"/>
        <v>4.8681295902181789</v>
      </c>
      <c r="G681" s="359">
        <f t="shared" ca="1" si="301"/>
        <v>19.437212714413146</v>
      </c>
      <c r="H681" s="360">
        <f t="shared" ca="1" si="302"/>
        <v>-115.9145238961695</v>
      </c>
      <c r="I681" s="357">
        <f t="shared" ca="1" si="303"/>
        <v>117.53289789748654</v>
      </c>
      <c r="J681" s="359">
        <f t="shared" ca="1" si="304"/>
        <v>888.71367964690205</v>
      </c>
      <c r="K681" s="360">
        <f t="shared" ca="1" si="305"/>
        <v>436.42240380772569</v>
      </c>
      <c r="L681" s="357">
        <f t="shared" ca="1" si="290"/>
        <v>990.08914696447914</v>
      </c>
      <c r="M681" s="359">
        <f t="shared" ca="1" si="306"/>
        <v>-1.4046562827383566</v>
      </c>
      <c r="N681" s="357">
        <f t="shared" ca="1" si="307"/>
        <v>-80.480876667442701</v>
      </c>
      <c r="O681" s="343"/>
      <c r="P681" s="363">
        <f t="shared" ca="1" si="308"/>
        <v>23</v>
      </c>
      <c r="Q681" s="357">
        <f t="shared" ca="1" si="309"/>
        <v>0</v>
      </c>
      <c r="R681" s="359">
        <f t="shared" ca="1" si="310"/>
        <v>0</v>
      </c>
      <c r="S681" s="360">
        <f t="shared" ca="1" si="311"/>
        <v>8.3819999999999997</v>
      </c>
      <c r="T681" s="357">
        <f t="shared" ca="1" si="291"/>
        <v>82.227419999999995</v>
      </c>
      <c r="U681" s="364">
        <f t="shared" ca="1" si="292"/>
        <v>0</v>
      </c>
      <c r="V681" s="359">
        <f t="shared" ca="1" si="293"/>
        <v>1.1726799378970703</v>
      </c>
      <c r="W681" s="357">
        <f t="shared" ca="1" si="294"/>
        <v>43.028702990199307</v>
      </c>
      <c r="X681" s="343"/>
      <c r="Y681" s="367" t="str">
        <f t="shared" ca="1" si="312"/>
        <v/>
      </c>
      <c r="Z681" s="368" t="str">
        <f t="shared" ca="1" si="313"/>
        <v/>
      </c>
      <c r="AA681" s="369" t="str">
        <f t="shared" ca="1" si="314"/>
        <v/>
      </c>
      <c r="AB681" s="344"/>
      <c r="AC681" s="363" t="e">
        <f t="shared" ca="1" si="315"/>
        <v>#N/A</v>
      </c>
      <c r="AD681" s="376" t="e">
        <f t="shared" ca="1" si="316"/>
        <v>#N/A</v>
      </c>
      <c r="AE681" s="377" t="e">
        <f t="shared" ca="1" si="295"/>
        <v>#N/A</v>
      </c>
      <c r="AF681" s="344"/>
      <c r="AG681" s="359">
        <f t="shared" ca="1" si="317"/>
        <v>4.5850638942506228</v>
      </c>
      <c r="AH681" s="357">
        <f t="shared" ca="1" si="318"/>
        <v>-5.0875895786699745</v>
      </c>
    </row>
    <row r="682" spans="1:34" x14ac:dyDescent="0.2">
      <c r="A682" s="402">
        <f t="shared" ca="1" si="296"/>
        <v>0.1</v>
      </c>
      <c r="B682" s="357">
        <f t="shared" ca="1" si="297"/>
        <v>31.800000000000139</v>
      </c>
      <c r="C682" s="342"/>
      <c r="D682" s="359">
        <f t="shared" ca="1" si="298"/>
        <v>-0.84895592185922097</v>
      </c>
      <c r="E682" s="360">
        <f t="shared" ca="1" si="299"/>
        <v>-4.7472205296608898</v>
      </c>
      <c r="F682" s="357">
        <f t="shared" ca="1" si="300"/>
        <v>4.8225334539527731</v>
      </c>
      <c r="G682" s="359">
        <f t="shared" ca="1" si="301"/>
        <v>19.352317122227223</v>
      </c>
      <c r="H682" s="360">
        <f t="shared" ca="1" si="302"/>
        <v>-116.38924594913559</v>
      </c>
      <c r="I682" s="357">
        <f t="shared" ca="1" si="303"/>
        <v>117.98715502378903</v>
      </c>
      <c r="J682" s="359">
        <f t="shared" ca="1" si="304"/>
        <v>890.65315613873406</v>
      </c>
      <c r="K682" s="360">
        <f t="shared" ca="1" si="305"/>
        <v>424.80721531546044</v>
      </c>
      <c r="L682" s="357">
        <f t="shared" ca="1" si="290"/>
        <v>986.77465245311407</v>
      </c>
      <c r="M682" s="359">
        <f t="shared" ca="1" si="306"/>
        <v>-1.4060313025579032</v>
      </c>
      <c r="N682" s="357">
        <f t="shared" ca="1" si="307"/>
        <v>-80.559659499849559</v>
      </c>
      <c r="O682" s="343"/>
      <c r="P682" s="363">
        <f t="shared" ca="1" si="308"/>
        <v>23</v>
      </c>
      <c r="Q682" s="357">
        <f t="shared" ca="1" si="309"/>
        <v>0</v>
      </c>
      <c r="R682" s="359">
        <f t="shared" ca="1" si="310"/>
        <v>0</v>
      </c>
      <c r="S682" s="360">
        <f t="shared" ca="1" si="311"/>
        <v>8.3819999999999997</v>
      </c>
      <c r="T682" s="357">
        <f t="shared" ca="1" si="291"/>
        <v>82.227419999999995</v>
      </c>
      <c r="U682" s="364">
        <f t="shared" ca="1" si="292"/>
        <v>0</v>
      </c>
      <c r="V682" s="359">
        <f t="shared" ca="1" si="293"/>
        <v>1.1740434515953495</v>
      </c>
      <c r="W682" s="357">
        <f t="shared" ca="1" si="294"/>
        <v>43.4123704803458</v>
      </c>
      <c r="X682" s="343"/>
      <c r="Y682" s="367" t="str">
        <f t="shared" ca="1" si="312"/>
        <v/>
      </c>
      <c r="Z682" s="368" t="str">
        <f t="shared" ca="1" si="313"/>
        <v/>
      </c>
      <c r="AA682" s="369" t="str">
        <f t="shared" ca="1" si="314"/>
        <v/>
      </c>
      <c r="AB682" s="344"/>
      <c r="AC682" s="363" t="e">
        <f t="shared" ca="1" si="315"/>
        <v>#N/A</v>
      </c>
      <c r="AD682" s="376" t="e">
        <f t="shared" ca="1" si="316"/>
        <v>#N/A</v>
      </c>
      <c r="AE682" s="377" t="e">
        <f t="shared" ca="1" si="295"/>
        <v>#N/A</v>
      </c>
      <c r="AF682" s="344"/>
      <c r="AG682" s="359">
        <f t="shared" ca="1" si="317"/>
        <v>4.5414558837218957</v>
      </c>
      <c r="AH682" s="357">
        <f t="shared" ca="1" si="318"/>
        <v>-5.1334649236696857</v>
      </c>
    </row>
    <row r="683" spans="1:34" x14ac:dyDescent="0.2">
      <c r="A683" s="402">
        <f t="shared" ca="1" si="296"/>
        <v>0.1</v>
      </c>
      <c r="B683" s="357">
        <f t="shared" ca="1" si="297"/>
        <v>31.900000000000141</v>
      </c>
      <c r="C683" s="342"/>
      <c r="D683" s="359">
        <f t="shared" ca="1" si="298"/>
        <v>-0.84950137651726254</v>
      </c>
      <c r="E683" s="360">
        <f t="shared" ca="1" si="299"/>
        <v>-4.700905103449557</v>
      </c>
      <c r="F683" s="357">
        <f t="shared" ca="1" si="300"/>
        <v>4.7770452562586021</v>
      </c>
      <c r="G683" s="359">
        <f t="shared" ca="1" si="301"/>
        <v>19.267366984575496</v>
      </c>
      <c r="H683" s="360">
        <f t="shared" ca="1" si="302"/>
        <v>-116.85933645948055</v>
      </c>
      <c r="I683" s="357">
        <f t="shared" ca="1" si="303"/>
        <v>118.43705479396382</v>
      </c>
      <c r="J683" s="359">
        <f t="shared" ca="1" si="304"/>
        <v>892.58414034407417</v>
      </c>
      <c r="K683" s="360">
        <f t="shared" ca="1" si="305"/>
        <v>413.14478619502961</v>
      </c>
      <c r="L683" s="357">
        <f t="shared" ca="1" si="290"/>
        <v>983.56243419210898</v>
      </c>
      <c r="M683" s="359">
        <f t="shared" ca="1" si="306"/>
        <v>-1.4073898655644723</v>
      </c>
      <c r="N683" s="357">
        <f t="shared" ca="1" si="307"/>
        <v>-80.637499426328574</v>
      </c>
      <c r="O683" s="343"/>
      <c r="P683" s="363">
        <f t="shared" ca="1" si="308"/>
        <v>23</v>
      </c>
      <c r="Q683" s="357">
        <f t="shared" ca="1" si="309"/>
        <v>0</v>
      </c>
      <c r="R683" s="359">
        <f t="shared" ca="1" si="310"/>
        <v>0</v>
      </c>
      <c r="S683" s="360">
        <f t="shared" ca="1" si="311"/>
        <v>8.3819999999999997</v>
      </c>
      <c r="T683" s="357">
        <f t="shared" ca="1" si="291"/>
        <v>82.227419999999995</v>
      </c>
      <c r="U683" s="364">
        <f t="shared" ca="1" si="292"/>
        <v>0</v>
      </c>
      <c r="V683" s="359">
        <f t="shared" ca="1" si="293"/>
        <v>1.1754140720707398</v>
      </c>
      <c r="W683" s="357">
        <f t="shared" ca="1" si="294"/>
        <v>43.795143686939532</v>
      </c>
      <c r="X683" s="343"/>
      <c r="Y683" s="367" t="str">
        <f t="shared" ca="1" si="312"/>
        <v/>
      </c>
      <c r="Z683" s="368" t="str">
        <f t="shared" ca="1" si="313"/>
        <v/>
      </c>
      <c r="AA683" s="369" t="str">
        <f t="shared" ca="1" si="314"/>
        <v/>
      </c>
      <c r="AB683" s="344"/>
      <c r="AC683" s="363" t="e">
        <f t="shared" ca="1" si="315"/>
        <v>#N/A</v>
      </c>
      <c r="AD683" s="376" t="e">
        <f t="shared" ca="1" si="316"/>
        <v>#N/A</v>
      </c>
      <c r="AE683" s="377" t="e">
        <f t="shared" ca="1" si="295"/>
        <v>#N/A</v>
      </c>
      <c r="AF683" s="344"/>
      <c r="AG683" s="359">
        <f t="shared" ca="1" si="317"/>
        <v>4.4979047094389699</v>
      </c>
      <c r="AH683" s="357">
        <f t="shared" ca="1" si="318"/>
        <v>-5.1792377094184925</v>
      </c>
    </row>
    <row r="684" spans="1:34" x14ac:dyDescent="0.2">
      <c r="A684" s="402">
        <f t="shared" ca="1" si="296"/>
        <v>0.1</v>
      </c>
      <c r="B684" s="357">
        <f t="shared" ca="1" si="297"/>
        <v>32.000000000000142</v>
      </c>
      <c r="C684" s="342"/>
      <c r="D684" s="359">
        <f t="shared" ca="1" si="298"/>
        <v>-0.84998853804719343</v>
      </c>
      <c r="E684" s="360">
        <f t="shared" ca="1" si="299"/>
        <v>-4.6546979478889421</v>
      </c>
      <c r="F684" s="357">
        <f t="shared" ca="1" si="300"/>
        <v>4.7316692087352354</v>
      </c>
      <c r="G684" s="359">
        <f t="shared" ca="1" si="301"/>
        <v>19.182368130770776</v>
      </c>
      <c r="H684" s="360">
        <f t="shared" ca="1" si="302"/>
        <v>-117.32480625426943</v>
      </c>
      <c r="I684" s="357">
        <f t="shared" ca="1" si="303"/>
        <v>118.88260347799533</v>
      </c>
      <c r="J684" s="359">
        <f t="shared" ca="1" si="304"/>
        <v>894.50662709984147</v>
      </c>
      <c r="K684" s="360">
        <f t="shared" ca="1" si="305"/>
        <v>401.4355790593421</v>
      </c>
      <c r="L684" s="357">
        <f t="shared" ca="1" si="290"/>
        <v>980.45531772755669</v>
      </c>
      <c r="M684" s="359">
        <f t="shared" ca="1" si="306"/>
        <v>-1.4087322768690786</v>
      </c>
      <c r="N684" s="357">
        <f t="shared" ca="1" si="307"/>
        <v>-80.714413928453169</v>
      </c>
      <c r="O684" s="343"/>
      <c r="P684" s="363">
        <f t="shared" ca="1" si="308"/>
        <v>23</v>
      </c>
      <c r="Q684" s="357">
        <f t="shared" ca="1" si="309"/>
        <v>0</v>
      </c>
      <c r="R684" s="359">
        <f t="shared" ca="1" si="310"/>
        <v>0</v>
      </c>
      <c r="S684" s="360">
        <f t="shared" ca="1" si="311"/>
        <v>8.3819999999999997</v>
      </c>
      <c r="T684" s="357">
        <f t="shared" ca="1" si="291"/>
        <v>82.227419999999995</v>
      </c>
      <c r="U684" s="364">
        <f t="shared" ca="1" si="292"/>
        <v>0</v>
      </c>
      <c r="V684" s="359">
        <f t="shared" ca="1" si="293"/>
        <v>1.1767917665703436</v>
      </c>
      <c r="W684" s="357">
        <f t="shared" ca="1" si="294"/>
        <v>44.176988531975034</v>
      </c>
      <c r="X684" s="343"/>
      <c r="Y684" s="367" t="str">
        <f t="shared" ca="1" si="312"/>
        <v/>
      </c>
      <c r="Z684" s="368" t="str">
        <f t="shared" ca="1" si="313"/>
        <v/>
      </c>
      <c r="AA684" s="369" t="str">
        <f t="shared" ca="1" si="314"/>
        <v/>
      </c>
      <c r="AB684" s="344"/>
      <c r="AC684" s="363">
        <f t="shared" ca="1" si="315"/>
        <v>32.000000000000142</v>
      </c>
      <c r="AD684" s="376">
        <f t="shared" ca="1" si="316"/>
        <v>894.50662709984147</v>
      </c>
      <c r="AE684" s="377" t="e">
        <f t="shared" ca="1" si="295"/>
        <v>#N/A</v>
      </c>
      <c r="AF684" s="344"/>
      <c r="AG684" s="359">
        <f t="shared" ca="1" si="317"/>
        <v>4.4544156677328735</v>
      </c>
      <c r="AH684" s="357">
        <f t="shared" ca="1" si="318"/>
        <v>-5.2249038042161216</v>
      </c>
    </row>
    <row r="685" spans="1:34" x14ac:dyDescent="0.2">
      <c r="A685" s="402">
        <f t="shared" ca="1" si="296"/>
        <v>0.1</v>
      </c>
      <c r="B685" s="357">
        <f t="shared" ca="1" si="297"/>
        <v>32.100000000000144</v>
      </c>
      <c r="C685" s="342"/>
      <c r="D685" s="359">
        <f t="shared" ca="1" si="298"/>
        <v>-0.850417845259268</v>
      </c>
      <c r="E685" s="360">
        <f t="shared" ca="1" si="299"/>
        <v>-4.6086031625487394</v>
      </c>
      <c r="F685" s="357">
        <f t="shared" ca="1" si="300"/>
        <v>4.686409459425164</v>
      </c>
      <c r="G685" s="359">
        <f t="shared" ca="1" si="301"/>
        <v>19.097326346244849</v>
      </c>
      <c r="H685" s="360">
        <f t="shared" ca="1" si="302"/>
        <v>-117.78566657052431</v>
      </c>
      <c r="I685" s="357">
        <f t="shared" ca="1" si="303"/>
        <v>119.32380786346749</v>
      </c>
      <c r="J685" s="359">
        <f t="shared" ca="1" si="304"/>
        <v>896.4206118236923</v>
      </c>
      <c r="K685" s="360">
        <f t="shared" ca="1" si="305"/>
        <v>389.68005541810243</v>
      </c>
      <c r="L685" s="357">
        <f t="shared" ca="1" si="290"/>
        <v>977.45611609576531</v>
      </c>
      <c r="M685" s="359">
        <f t="shared" ca="1" si="306"/>
        <v>-1.410058833957428</v>
      </c>
      <c r="N685" s="357">
        <f t="shared" ca="1" si="307"/>
        <v>-80.79042005089876</v>
      </c>
      <c r="O685" s="343"/>
      <c r="P685" s="363">
        <f t="shared" ca="1" si="308"/>
        <v>23</v>
      </c>
      <c r="Q685" s="357">
        <f t="shared" ca="1" si="309"/>
        <v>0</v>
      </c>
      <c r="R685" s="359">
        <f t="shared" ca="1" si="310"/>
        <v>0</v>
      </c>
      <c r="S685" s="360">
        <f t="shared" ca="1" si="311"/>
        <v>8.3819999999999997</v>
      </c>
      <c r="T685" s="357">
        <f t="shared" ca="1" si="291"/>
        <v>82.227419999999995</v>
      </c>
      <c r="U685" s="364">
        <f t="shared" ca="1" si="292"/>
        <v>0</v>
      </c>
      <c r="V685" s="359">
        <f t="shared" ca="1" si="293"/>
        <v>1.1781765023688708</v>
      </c>
      <c r="W685" s="357">
        <f t="shared" ca="1" si="294"/>
        <v>44.557871492952778</v>
      </c>
      <c r="X685" s="343"/>
      <c r="Y685" s="367" t="str">
        <f t="shared" ca="1" si="312"/>
        <v/>
      </c>
      <c r="Z685" s="368" t="str">
        <f t="shared" ca="1" si="313"/>
        <v/>
      </c>
      <c r="AA685" s="369" t="str">
        <f t="shared" ca="1" si="314"/>
        <v/>
      </c>
      <c r="AB685" s="344"/>
      <c r="AC685" s="363" t="e">
        <f t="shared" ca="1" si="315"/>
        <v>#N/A</v>
      </c>
      <c r="AD685" s="376" t="e">
        <f t="shared" ca="1" si="316"/>
        <v>#N/A</v>
      </c>
      <c r="AE685" s="377" t="e">
        <f t="shared" ca="1" si="295"/>
        <v>#N/A</v>
      </c>
      <c r="AF685" s="344"/>
      <c r="AG685" s="359">
        <f t="shared" ca="1" si="317"/>
        <v>4.4109939523083082</v>
      </c>
      <c r="AH685" s="357">
        <f t="shared" ca="1" si="318"/>
        <v>-5.2704591424451248</v>
      </c>
    </row>
    <row r="686" spans="1:34" x14ac:dyDescent="0.2">
      <c r="A686" s="402">
        <f t="shared" ca="1" si="296"/>
        <v>0.1</v>
      </c>
      <c r="B686" s="357">
        <f t="shared" ca="1" si="297"/>
        <v>32.200000000000145</v>
      </c>
      <c r="C686" s="342"/>
      <c r="D686" s="359">
        <f t="shared" ca="1" si="298"/>
        <v>-0.85078974334986235</v>
      </c>
      <c r="E686" s="360">
        <f t="shared" ca="1" si="299"/>
        <v>-4.5626247802989681</v>
      </c>
      <c r="F686" s="357">
        <f t="shared" ca="1" si="300"/>
        <v>4.6412700926780301</v>
      </c>
      <c r="G686" s="359">
        <f t="shared" ca="1" si="301"/>
        <v>19.012247371909861</v>
      </c>
      <c r="H686" s="360">
        <f t="shared" ca="1" si="302"/>
        <v>-118.24192904855421</v>
      </c>
      <c r="I686" s="357">
        <f t="shared" ca="1" si="303"/>
        <v>119.7606752454829</v>
      </c>
      <c r="J686" s="359">
        <f t="shared" ca="1" si="304"/>
        <v>898.32609050960002</v>
      </c>
      <c r="K686" s="360">
        <f t="shared" ca="1" si="305"/>
        <v>377.87867563714849</v>
      </c>
      <c r="L686" s="357">
        <f t="shared" ca="1" si="290"/>
        <v>974.56762638184694</v>
      </c>
      <c r="M686" s="359">
        <f t="shared" ca="1" si="306"/>
        <v>-1.411369826922654</v>
      </c>
      <c r="N686" s="357">
        <f t="shared" ca="1" si="307"/>
        <v>-80.865534414777542</v>
      </c>
      <c r="O686" s="343"/>
      <c r="P686" s="363">
        <f t="shared" ca="1" si="308"/>
        <v>23</v>
      </c>
      <c r="Q686" s="357">
        <f t="shared" ca="1" si="309"/>
        <v>0</v>
      </c>
      <c r="R686" s="359">
        <f t="shared" ca="1" si="310"/>
        <v>0</v>
      </c>
      <c r="S686" s="360">
        <f t="shared" ca="1" si="311"/>
        <v>8.3819999999999997</v>
      </c>
      <c r="T686" s="357">
        <f t="shared" ca="1" si="291"/>
        <v>82.227419999999995</v>
      </c>
      <c r="U686" s="364">
        <f t="shared" ca="1" si="292"/>
        <v>0</v>
      </c>
      <c r="V686" s="359">
        <f t="shared" ca="1" si="293"/>
        <v>1.1795682467715416</v>
      </c>
      <c r="W686" s="357">
        <f t="shared" ca="1" si="294"/>
        <v>44.937759604263874</v>
      </c>
      <c r="X686" s="343"/>
      <c r="Y686" s="367" t="str">
        <f t="shared" ca="1" si="312"/>
        <v/>
      </c>
      <c r="Z686" s="368" t="str">
        <f t="shared" ca="1" si="313"/>
        <v/>
      </c>
      <c r="AA686" s="369" t="str">
        <f t="shared" ca="1" si="314"/>
        <v/>
      </c>
      <c r="AB686" s="344"/>
      <c r="AC686" s="363" t="e">
        <f t="shared" ca="1" si="315"/>
        <v>#N/A</v>
      </c>
      <c r="AD686" s="376" t="e">
        <f t="shared" ca="1" si="316"/>
        <v>#N/A</v>
      </c>
      <c r="AE686" s="377" t="e">
        <f t="shared" ca="1" si="295"/>
        <v>#N/A</v>
      </c>
      <c r="AF686" s="344"/>
      <c r="AG686" s="359">
        <f t="shared" ca="1" si="317"/>
        <v>4.3676446554089283</v>
      </c>
      <c r="AH686" s="357">
        <f t="shared" ca="1" si="318"/>
        <v>-5.3158997247617252</v>
      </c>
    </row>
    <row r="687" spans="1:34" x14ac:dyDescent="0.2">
      <c r="A687" s="402">
        <f t="shared" ca="1" si="296"/>
        <v>0.1</v>
      </c>
      <c r="B687" s="357">
        <f t="shared" ca="1" si="297"/>
        <v>32.300000000000146</v>
      </c>
      <c r="C687" s="342"/>
      <c r="D687" s="359">
        <f t="shared" ca="1" si="298"/>
        <v>-0.85110468367916015</v>
      </c>
      <c r="E687" s="360">
        <f t="shared" ca="1" si="299"/>
        <v>-4.5167667671328982</v>
      </c>
      <c r="F687" s="357">
        <f t="shared" ca="1" si="300"/>
        <v>4.5962551290432927</v>
      </c>
      <c r="G687" s="359">
        <f t="shared" ca="1" si="301"/>
        <v>18.927136903541946</v>
      </c>
      <c r="H687" s="360">
        <f t="shared" ca="1" si="302"/>
        <v>-118.6936057252675</v>
      </c>
      <c r="I687" s="357">
        <f t="shared" ca="1" si="303"/>
        <v>120.19321341669284</v>
      </c>
      <c r="J687" s="359">
        <f t="shared" ca="1" si="304"/>
        <v>900.22305972337256</v>
      </c>
      <c r="K687" s="360">
        <f t="shared" ca="1" si="305"/>
        <v>366.03189889845743</v>
      </c>
      <c r="L687" s="357">
        <f t="shared" ca="1" si="290"/>
        <v>971.79262616513063</v>
      </c>
      <c r="M687" s="359">
        <f t="shared" ca="1" si="306"/>
        <v>-1.4126655386897138</v>
      </c>
      <c r="N687" s="357">
        <f t="shared" ca="1" si="307"/>
        <v>-80.939773230495504</v>
      </c>
      <c r="O687" s="343"/>
      <c r="P687" s="363">
        <f t="shared" ca="1" si="308"/>
        <v>23</v>
      </c>
      <c r="Q687" s="357">
        <f t="shared" ca="1" si="309"/>
        <v>0</v>
      </c>
      <c r="R687" s="359">
        <f t="shared" ca="1" si="310"/>
        <v>0</v>
      </c>
      <c r="S687" s="360">
        <f t="shared" ca="1" si="311"/>
        <v>8.3819999999999997</v>
      </c>
      <c r="T687" s="357">
        <f t="shared" ca="1" si="291"/>
        <v>82.227419999999995</v>
      </c>
      <c r="U687" s="364">
        <f t="shared" ca="1" si="292"/>
        <v>0</v>
      </c>
      <c r="V687" s="359">
        <f t="shared" ca="1" si="293"/>
        <v>1.1809669671169609</v>
      </c>
      <c r="W687" s="357">
        <f t="shared" ca="1" si="294"/>
        <v>45.316620458363317</v>
      </c>
      <c r="X687" s="343"/>
      <c r="Y687" s="367" t="str">
        <f t="shared" ca="1" si="312"/>
        <v/>
      </c>
      <c r="Z687" s="368" t="str">
        <f t="shared" ca="1" si="313"/>
        <v/>
      </c>
      <c r="AA687" s="369" t="str">
        <f t="shared" ca="1" si="314"/>
        <v/>
      </c>
      <c r="AB687" s="344"/>
      <c r="AC687" s="363" t="e">
        <f t="shared" ca="1" si="315"/>
        <v>#N/A</v>
      </c>
      <c r="AD687" s="376" t="e">
        <f t="shared" ca="1" si="316"/>
        <v>#N/A</v>
      </c>
      <c r="AE687" s="377" t="e">
        <f t="shared" ca="1" si="295"/>
        <v>#N/A</v>
      </c>
      <c r="AF687" s="344"/>
      <c r="AG687" s="359">
        <f t="shared" ca="1" si="317"/>
        <v>4.3243727689505489</v>
      </c>
      <c r="AH687" s="357">
        <f t="shared" ca="1" si="318"/>
        <v>-5.3612216182610206</v>
      </c>
    </row>
    <row r="688" spans="1:34" x14ac:dyDescent="0.2">
      <c r="A688" s="402">
        <f t="shared" ca="1" si="296"/>
        <v>0.1</v>
      </c>
      <c r="B688" s="357">
        <f t="shared" ca="1" si="297"/>
        <v>32.400000000000148</v>
      </c>
      <c r="C688" s="342"/>
      <c r="D688" s="359">
        <f t="shared" ca="1" si="298"/>
        <v>-0.85136312355099808</v>
      </c>
      <c r="E688" s="360">
        <f t="shared" ca="1" si="299"/>
        <v>-4.4710330220159182</v>
      </c>
      <c r="F688" s="357">
        <f t="shared" ca="1" si="300"/>
        <v>4.551368525191001</v>
      </c>
      <c r="G688" s="359">
        <f t="shared" ca="1" si="301"/>
        <v>18.842000591186846</v>
      </c>
      <c r="H688" s="360">
        <f t="shared" ca="1" si="302"/>
        <v>-119.1407090274691</v>
      </c>
      <c r="I688" s="357">
        <f t="shared" ca="1" si="303"/>
        <v>120.62143065743476</v>
      </c>
      <c r="J688" s="359">
        <f t="shared" ca="1" si="304"/>
        <v>902.11151659810901</v>
      </c>
      <c r="K688" s="360">
        <f t="shared" ca="1" si="305"/>
        <v>354.14018316082058</v>
      </c>
      <c r="L688" s="357">
        <f t="shared" ca="1" si="290"/>
        <v>969.13386985912314</v>
      </c>
      <c r="M688" s="359">
        <f t="shared" ca="1" si="306"/>
        <v>-1.4139462452317904</v>
      </c>
      <c r="N688" s="357">
        <f t="shared" ca="1" si="307"/>
        <v>-81.013152310151284</v>
      </c>
      <c r="O688" s="343"/>
      <c r="P688" s="363">
        <f t="shared" ca="1" si="308"/>
        <v>23</v>
      </c>
      <c r="Q688" s="357">
        <f t="shared" ca="1" si="309"/>
        <v>0</v>
      </c>
      <c r="R688" s="359">
        <f t="shared" ca="1" si="310"/>
        <v>0</v>
      </c>
      <c r="S688" s="360">
        <f t="shared" ca="1" si="311"/>
        <v>8.3819999999999997</v>
      </c>
      <c r="T688" s="357">
        <f t="shared" ca="1" si="291"/>
        <v>82.227419999999995</v>
      </c>
      <c r="U688" s="364">
        <f t="shared" ca="1" si="292"/>
        <v>0</v>
      </c>
      <c r="V688" s="359">
        <f t="shared" ca="1" si="293"/>
        <v>1.182372630779962</v>
      </c>
      <c r="W688" s="357">
        <f t="shared" ca="1" si="294"/>
        <v>45.69442220673384</v>
      </c>
      <c r="X688" s="343"/>
      <c r="Y688" s="367" t="str">
        <f t="shared" ca="1" si="312"/>
        <v/>
      </c>
      <c r="Z688" s="368" t="str">
        <f t="shared" ca="1" si="313"/>
        <v/>
      </c>
      <c r="AA688" s="369" t="str">
        <f t="shared" ca="1" si="314"/>
        <v/>
      </c>
      <c r="AB688" s="344"/>
      <c r="AC688" s="363" t="e">
        <f t="shared" ca="1" si="315"/>
        <v>#N/A</v>
      </c>
      <c r="AD688" s="376" t="e">
        <f t="shared" ca="1" si="316"/>
        <v>#N/A</v>
      </c>
      <c r="AE688" s="377" t="e">
        <f t="shared" ca="1" si="295"/>
        <v>#N/A</v>
      </c>
      <c r="AF688" s="344"/>
      <c r="AG688" s="359">
        <f t="shared" ca="1" si="317"/>
        <v>4.2811831856245774</v>
      </c>
      <c r="AH688" s="357">
        <f t="shared" ca="1" si="318"/>
        <v>-5.4064209566169552</v>
      </c>
    </row>
    <row r="689" spans="1:34" x14ac:dyDescent="0.2">
      <c r="A689" s="402">
        <f t="shared" ca="1" si="296"/>
        <v>0.1</v>
      </c>
      <c r="B689" s="357">
        <f t="shared" ca="1" si="297"/>
        <v>32.500000000000149</v>
      </c>
      <c r="C689" s="342"/>
      <c r="D689" s="359">
        <f t="shared" ca="1" si="298"/>
        <v>-0.85156552599484481</v>
      </c>
      <c r="E689" s="360">
        <f t="shared" ca="1" si="299"/>
        <v>-4.425427376760056</v>
      </c>
      <c r="F689" s="357">
        <f t="shared" ca="1" si="300"/>
        <v>4.5066141738604903</v>
      </c>
      <c r="G689" s="359">
        <f t="shared" ca="1" si="301"/>
        <v>18.75684403858736</v>
      </c>
      <c r="H689" s="360">
        <f t="shared" ca="1" si="302"/>
        <v>-119.58325176514511</v>
      </c>
      <c r="I689" s="357">
        <f t="shared" ca="1" si="303"/>
        <v>121.04533572597488</v>
      </c>
      <c r="J689" s="359">
        <f t="shared" ca="1" si="304"/>
        <v>903.99145882959772</v>
      </c>
      <c r="K689" s="360">
        <f t="shared" ca="1" si="305"/>
        <v>342.20398512118987</v>
      </c>
      <c r="L689" s="357">
        <f t="shared" ca="1" si="290"/>
        <v>966.59408495484172</v>
      </c>
      <c r="M689" s="359">
        <f t="shared" ca="1" si="306"/>
        <v>-1.4152122157790203</v>
      </c>
      <c r="N689" s="357">
        <f t="shared" ca="1" si="307"/>
        <v>-81.085687079495429</v>
      </c>
      <c r="O689" s="343"/>
      <c r="P689" s="363">
        <f t="shared" ca="1" si="308"/>
        <v>23</v>
      </c>
      <c r="Q689" s="357">
        <f t="shared" ca="1" si="309"/>
        <v>0</v>
      </c>
      <c r="R689" s="359">
        <f t="shared" ca="1" si="310"/>
        <v>0</v>
      </c>
      <c r="S689" s="360">
        <f t="shared" ca="1" si="311"/>
        <v>8.3819999999999997</v>
      </c>
      <c r="T689" s="357">
        <f t="shared" ca="1" si="291"/>
        <v>82.227419999999995</v>
      </c>
      <c r="U689" s="364">
        <f t="shared" ca="1" si="292"/>
        <v>0</v>
      </c>
      <c r="V689" s="359">
        <f t="shared" ca="1" si="293"/>
        <v>1.183785205174418</v>
      </c>
      <c r="W689" s="357">
        <f t="shared" ca="1" si="294"/>
        <v>46.07113356064368</v>
      </c>
      <c r="X689" s="343"/>
      <c r="Y689" s="367" t="str">
        <f t="shared" ca="1" si="312"/>
        <v/>
      </c>
      <c r="Z689" s="368" t="str">
        <f t="shared" ca="1" si="313"/>
        <v/>
      </c>
      <c r="AA689" s="369" t="str">
        <f t="shared" ca="1" si="314"/>
        <v/>
      </c>
      <c r="AB689" s="344"/>
      <c r="AC689" s="363" t="e">
        <f t="shared" ca="1" si="315"/>
        <v>#N/A</v>
      </c>
      <c r="AD689" s="376" t="e">
        <f t="shared" ca="1" si="316"/>
        <v>#N/A</v>
      </c>
      <c r="AE689" s="377" t="e">
        <f t="shared" ca="1" si="295"/>
        <v>#N/A</v>
      </c>
      <c r="AF689" s="344"/>
      <c r="AG689" s="359">
        <f t="shared" ca="1" si="317"/>
        <v>4.2380806999740832</v>
      </c>
      <c r="AH689" s="357">
        <f t="shared" ca="1" si="318"/>
        <v>-5.4514939401973086</v>
      </c>
    </row>
    <row r="690" spans="1:34" x14ac:dyDescent="0.2">
      <c r="A690" s="402">
        <f t="shared" ca="1" si="296"/>
        <v>0.1</v>
      </c>
      <c r="B690" s="357">
        <f t="shared" ca="1" si="297"/>
        <v>32.600000000000151</v>
      </c>
      <c r="C690" s="342"/>
      <c r="D690" s="359">
        <f t="shared" ca="1" si="298"/>
        <v>-0.85171235954997515</v>
      </c>
      <c r="E690" s="360">
        <f t="shared" ca="1" si="299"/>
        <v>-4.3799535959237401</v>
      </c>
      <c r="F690" s="357">
        <f t="shared" ca="1" si="300"/>
        <v>4.4619959038366996</v>
      </c>
      <c r="G690" s="359">
        <f t="shared" ca="1" si="301"/>
        <v>18.671672802632362</v>
      </c>
      <c r="H690" s="360">
        <f t="shared" ca="1" si="302"/>
        <v>-120.02124712473749</v>
      </c>
      <c r="I690" s="357">
        <f t="shared" ca="1" si="303"/>
        <v>121.46493784885359</v>
      </c>
      <c r="J690" s="359">
        <f t="shared" ca="1" si="304"/>
        <v>905.86288467165866</v>
      </c>
      <c r="K690" s="360">
        <f t="shared" ca="1" si="305"/>
        <v>330.22376017669575</v>
      </c>
      <c r="L690" s="357">
        <f t="shared" ca="1" si="290"/>
        <v>964.17596817743515</v>
      </c>
      <c r="M690" s="359">
        <f t="shared" ca="1" si="306"/>
        <v>-1.4164637130198654</v>
      </c>
      <c r="N690" s="357">
        <f t="shared" ca="1" si="307"/>
        <v>-81.157392589468117</v>
      </c>
      <c r="O690" s="343"/>
      <c r="P690" s="363">
        <f t="shared" ca="1" si="308"/>
        <v>23</v>
      </c>
      <c r="Q690" s="357">
        <f t="shared" ca="1" si="309"/>
        <v>0</v>
      </c>
      <c r="R690" s="359">
        <f t="shared" ca="1" si="310"/>
        <v>0</v>
      </c>
      <c r="S690" s="360">
        <f t="shared" ca="1" si="311"/>
        <v>8.3819999999999997</v>
      </c>
      <c r="T690" s="357">
        <f t="shared" ca="1" si="291"/>
        <v>82.227419999999995</v>
      </c>
      <c r="U690" s="364">
        <f t="shared" ca="1" si="292"/>
        <v>0</v>
      </c>
      <c r="V690" s="359">
        <f t="shared" ca="1" si="293"/>
        <v>1.1852046577560209</v>
      </c>
      <c r="W690" s="357">
        <f t="shared" ca="1" si="294"/>
        <v>46.446723791701196</v>
      </c>
      <c r="X690" s="343"/>
      <c r="Y690" s="367" t="str">
        <f t="shared" ca="1" si="312"/>
        <v/>
      </c>
      <c r="Z690" s="368" t="str">
        <f t="shared" ca="1" si="313"/>
        <v/>
      </c>
      <c r="AA690" s="369" t="str">
        <f t="shared" ca="1" si="314"/>
        <v/>
      </c>
      <c r="AB690" s="344"/>
      <c r="AC690" s="363" t="e">
        <f t="shared" ca="1" si="315"/>
        <v>#N/A</v>
      </c>
      <c r="AD690" s="376" t="e">
        <f t="shared" ca="1" si="316"/>
        <v>#N/A</v>
      </c>
      <c r="AE690" s="377" t="e">
        <f t="shared" ca="1" si="295"/>
        <v>#N/A</v>
      </c>
      <c r="AF690" s="344"/>
      <c r="AG690" s="359">
        <f t="shared" ca="1" si="317"/>
        <v>4.1950700094445583</v>
      </c>
      <c r="AH690" s="357">
        <f t="shared" ca="1" si="318"/>
        <v>-5.4964368361541016</v>
      </c>
    </row>
    <row r="691" spans="1:34" x14ac:dyDescent="0.2">
      <c r="A691" s="402">
        <f t="shared" ca="1" si="296"/>
        <v>0.1</v>
      </c>
      <c r="B691" s="357">
        <f t="shared" ca="1" si="297"/>
        <v>32.700000000000152</v>
      </c>
      <c r="C691" s="342"/>
      <c r="D691" s="359">
        <f t="shared" ca="1" si="298"/>
        <v>-0.851804098051821</v>
      </c>
      <c r="E691" s="360">
        <f t="shared" ca="1" si="299"/>
        <v>-4.3346153767364344</v>
      </c>
      <c r="F691" s="357">
        <f t="shared" ca="1" si="300"/>
        <v>4.4175174799538501</v>
      </c>
      <c r="G691" s="359">
        <f t="shared" ca="1" si="301"/>
        <v>18.586492392827179</v>
      </c>
      <c r="H691" s="360">
        <f t="shared" ca="1" si="302"/>
        <v>-120.45470866241112</v>
      </c>
      <c r="I691" s="357">
        <f t="shared" ca="1" si="303"/>
        <v>121.88024671133122</v>
      </c>
      <c r="J691" s="359">
        <f t="shared" ca="1" si="304"/>
        <v>907.72579293143167</v>
      </c>
      <c r="K691" s="360">
        <f t="shared" ca="1" si="305"/>
        <v>318.1999623873383</v>
      </c>
      <c r="L691" s="357">
        <f t="shared" ca="1" si="290"/>
        <v>961.88218156710855</v>
      </c>
      <c r="M691" s="359">
        <f t="shared" ca="1" si="306"/>
        <v>-1.4177009932954181</v>
      </c>
      <c r="N691" s="357">
        <f t="shared" ca="1" si="307"/>
        <v>-81.228283527332081</v>
      </c>
      <c r="O691" s="343"/>
      <c r="P691" s="363">
        <f t="shared" ca="1" si="308"/>
        <v>23</v>
      </c>
      <c r="Q691" s="357">
        <f t="shared" ca="1" si="309"/>
        <v>0</v>
      </c>
      <c r="R691" s="359">
        <f t="shared" ca="1" si="310"/>
        <v>0</v>
      </c>
      <c r="S691" s="360">
        <f t="shared" ca="1" si="311"/>
        <v>8.3819999999999997</v>
      </c>
      <c r="T691" s="357">
        <f t="shared" ca="1" si="291"/>
        <v>82.227419999999995</v>
      </c>
      <c r="U691" s="364">
        <f t="shared" ca="1" si="292"/>
        <v>0</v>
      </c>
      <c r="V691" s="359">
        <f t="shared" ca="1" si="293"/>
        <v>1.1866309560250348</v>
      </c>
      <c r="W691" s="357">
        <f t="shared" ca="1" si="294"/>
        <v>46.821162732209395</v>
      </c>
      <c r="X691" s="343"/>
      <c r="Y691" s="367" t="str">
        <f t="shared" ca="1" si="312"/>
        <v/>
      </c>
      <c r="Z691" s="368" t="str">
        <f t="shared" ca="1" si="313"/>
        <v/>
      </c>
      <c r="AA691" s="369" t="str">
        <f t="shared" ca="1" si="314"/>
        <v/>
      </c>
      <c r="AB691" s="344"/>
      <c r="AC691" s="363" t="e">
        <f t="shared" ca="1" si="315"/>
        <v>#N/A</v>
      </c>
      <c r="AD691" s="376" t="e">
        <f t="shared" ca="1" si="316"/>
        <v>#N/A</v>
      </c>
      <c r="AE691" s="377" t="e">
        <f t="shared" ca="1" si="295"/>
        <v>#N/A</v>
      </c>
      <c r="AF691" s="344"/>
      <c r="AG691" s="359">
        <f t="shared" ca="1" si="317"/>
        <v>4.1521557154113804</v>
      </c>
      <c r="AH691" s="357">
        <f t="shared" ca="1" si="318"/>
        <v>-5.5412459784897639</v>
      </c>
    </row>
    <row r="692" spans="1:34" x14ac:dyDescent="0.2">
      <c r="A692" s="402">
        <f t="shared" ca="1" si="296"/>
        <v>0.1</v>
      </c>
      <c r="B692" s="357">
        <f t="shared" ca="1" si="297"/>
        <v>32.800000000000153</v>
      </c>
      <c r="C692" s="342"/>
      <c r="D692" s="359">
        <f t="shared" ca="1" si="298"/>
        <v>-0.85184122042055088</v>
      </c>
      <c r="E692" s="360">
        <f t="shared" ca="1" si="299"/>
        <v>-4.2894163490477473</v>
      </c>
      <c r="F692" s="357">
        <f t="shared" ca="1" si="300"/>
        <v>4.373182603126204</v>
      </c>
      <c r="G692" s="359">
        <f t="shared" ca="1" si="301"/>
        <v>18.501308270785124</v>
      </c>
      <c r="H692" s="360">
        <f t="shared" ca="1" si="302"/>
        <v>-120.8836502973159</v>
      </c>
      <c r="I692" s="357">
        <f t="shared" ca="1" si="303"/>
        <v>122.29127244793222</v>
      </c>
      <c r="J692" s="359">
        <f t="shared" ca="1" si="304"/>
        <v>909.58018296461228</v>
      </c>
      <c r="K692" s="360">
        <f t="shared" ca="1" si="305"/>
        <v>306.13304443935198</v>
      </c>
      <c r="L692" s="357">
        <f t="shared" ca="1" si="290"/>
        <v>959.71534849644024</v>
      </c>
      <c r="M692" s="359">
        <f t="shared" ca="1" si="306"/>
        <v>-1.4189243067869295</v>
      </c>
      <c r="N692" s="357">
        <f t="shared" ca="1" si="307"/>
        <v>-81.298374227417085</v>
      </c>
      <c r="O692" s="343"/>
      <c r="P692" s="363">
        <f t="shared" ca="1" si="308"/>
        <v>23</v>
      </c>
      <c r="Q692" s="357">
        <f t="shared" ca="1" si="309"/>
        <v>0</v>
      </c>
      <c r="R692" s="359">
        <f t="shared" ca="1" si="310"/>
        <v>0</v>
      </c>
      <c r="S692" s="360">
        <f t="shared" ca="1" si="311"/>
        <v>8.3819999999999997</v>
      </c>
      <c r="T692" s="357">
        <f t="shared" ca="1" si="291"/>
        <v>82.227419999999995</v>
      </c>
      <c r="U692" s="364">
        <f t="shared" ca="1" si="292"/>
        <v>0</v>
      </c>
      <c r="V692" s="359">
        <f t="shared" ca="1" si="293"/>
        <v>1.1880640675290068</v>
      </c>
      <c r="W692" s="357">
        <f t="shared" ca="1" si="294"/>
        <v>47.19442077532311</v>
      </c>
      <c r="X692" s="343"/>
      <c r="Y692" s="367" t="str">
        <f t="shared" ca="1" si="312"/>
        <v/>
      </c>
      <c r="Z692" s="368" t="str">
        <f t="shared" ca="1" si="313"/>
        <v/>
      </c>
      <c r="AA692" s="369" t="str">
        <f t="shared" ca="1" si="314"/>
        <v/>
      </c>
      <c r="AB692" s="344"/>
      <c r="AC692" s="363" t="e">
        <f t="shared" ca="1" si="315"/>
        <v>#N/A</v>
      </c>
      <c r="AD692" s="376" t="e">
        <f t="shared" ca="1" si="316"/>
        <v>#N/A</v>
      </c>
      <c r="AE692" s="377" t="e">
        <f t="shared" ca="1" si="295"/>
        <v>#N/A</v>
      </c>
      <c r="AF692" s="344"/>
      <c r="AG692" s="359">
        <f t="shared" ca="1" si="317"/>
        <v>4.1093423241858469</v>
      </c>
      <c r="AH692" s="357">
        <f t="shared" ca="1" si="318"/>
        <v>-5.585917768099427</v>
      </c>
    </row>
    <row r="693" spans="1:34" x14ac:dyDescent="0.2">
      <c r="A693" s="402">
        <f t="shared" ca="1" si="296"/>
        <v>0.1</v>
      </c>
      <c r="B693" s="357">
        <f t="shared" ca="1" si="297"/>
        <v>32.900000000000155</v>
      </c>
      <c r="C693" s="342"/>
      <c r="D693" s="359">
        <f t="shared" ca="1" si="298"/>
        <v>-0.85182421045187395</v>
      </c>
      <c r="E693" s="360">
        <f t="shared" ca="1" si="299"/>
        <v>-4.2443600753006727</v>
      </c>
      <c r="F693" s="357">
        <f t="shared" ca="1" si="300"/>
        <v>4.3289949104056813</v>
      </c>
      <c r="G693" s="359">
        <f t="shared" ca="1" si="301"/>
        <v>18.416125849739938</v>
      </c>
      <c r="H693" s="360">
        <f t="shared" ca="1" si="302"/>
        <v>-121.30808630484596</v>
      </c>
      <c r="I693" s="357">
        <f t="shared" ca="1" si="303"/>
        <v>122.69802563308593</v>
      </c>
      <c r="J693" s="359">
        <f t="shared" ca="1" si="304"/>
        <v>911.42605467063856</v>
      </c>
      <c r="K693" s="360">
        <f t="shared" ca="1" si="305"/>
        <v>294.02345760924391</v>
      </c>
      <c r="L693" s="357">
        <f t="shared" ca="1" si="290"/>
        <v>957.6780496372362</v>
      </c>
      <c r="M693" s="359">
        <f t="shared" ca="1" si="306"/>
        <v>-1.4201338976968263</v>
      </c>
      <c r="N693" s="357">
        <f t="shared" ca="1" si="307"/>
        <v>-81.367678681491569</v>
      </c>
      <c r="O693" s="343"/>
      <c r="P693" s="363">
        <f t="shared" ca="1" si="308"/>
        <v>23</v>
      </c>
      <c r="Q693" s="357">
        <f t="shared" ca="1" si="309"/>
        <v>0</v>
      </c>
      <c r="R693" s="359">
        <f t="shared" ca="1" si="310"/>
        <v>0</v>
      </c>
      <c r="S693" s="360">
        <f t="shared" ca="1" si="311"/>
        <v>8.3819999999999997</v>
      </c>
      <c r="T693" s="357">
        <f t="shared" ca="1" si="291"/>
        <v>82.227419999999995</v>
      </c>
      <c r="U693" s="364">
        <f t="shared" ca="1" si="292"/>
        <v>0</v>
      </c>
      <c r="V693" s="359">
        <f t="shared" ca="1" si="293"/>
        <v>1.1895039598654573</v>
      </c>
      <c r="W693" s="357">
        <f t="shared" ca="1" si="294"/>
        <v>47.566468875012561</v>
      </c>
      <c r="X693" s="343"/>
      <c r="Y693" s="367" t="str">
        <f t="shared" ca="1" si="312"/>
        <v/>
      </c>
      <c r="Z693" s="368" t="str">
        <f t="shared" ca="1" si="313"/>
        <v/>
      </c>
      <c r="AA693" s="369" t="str">
        <f t="shared" ca="1" si="314"/>
        <v/>
      </c>
      <c r="AB693" s="344"/>
      <c r="AC693" s="363" t="e">
        <f t="shared" ca="1" si="315"/>
        <v>#N/A</v>
      </c>
      <c r="AD693" s="376" t="e">
        <f t="shared" ca="1" si="316"/>
        <v>#N/A</v>
      </c>
      <c r="AE693" s="377" t="e">
        <f t="shared" ca="1" si="295"/>
        <v>#N/A</v>
      </c>
      <c r="AF693" s="344"/>
      <c r="AG693" s="359">
        <f t="shared" ca="1" si="317"/>
        <v>4.0666342480015354</v>
      </c>
      <c r="AH693" s="357">
        <f t="shared" ca="1" si="318"/>
        <v>-5.6304486727896821</v>
      </c>
    </row>
    <row r="694" spans="1:34" x14ac:dyDescent="0.2">
      <c r="A694" s="402">
        <f t="shared" ca="1" si="296"/>
        <v>0.1</v>
      </c>
      <c r="B694" s="357">
        <f t="shared" ca="1" si="297"/>
        <v>33.000000000000156</v>
      </c>
      <c r="C694" s="342"/>
      <c r="D694" s="359">
        <f t="shared" ca="1" si="298"/>
        <v>-0.85175355661011187</v>
      </c>
      <c r="E694" s="360">
        <f t="shared" ca="1" si="299"/>
        <v>-4.1994500505285099</v>
      </c>
      <c r="F694" s="357">
        <f t="shared" ca="1" si="300"/>
        <v>4.2849579750660194</v>
      </c>
      <c r="G694" s="359">
        <f t="shared" ca="1" si="301"/>
        <v>18.330950494078927</v>
      </c>
      <c r="H694" s="360">
        <f t="shared" ca="1" si="302"/>
        <v>-121.72803130989881</v>
      </c>
      <c r="I694" s="357">
        <f t="shared" ca="1" si="303"/>
        <v>123.10051727186233</v>
      </c>
      <c r="J694" s="359">
        <f t="shared" ca="1" si="304"/>
        <v>913.26340848782945</v>
      </c>
      <c r="K694" s="360">
        <f t="shared" ca="1" si="305"/>
        <v>281.87165172850666</v>
      </c>
      <c r="L694" s="357">
        <f t="shared" ca="1" si="290"/>
        <v>955.77281889106087</v>
      </c>
      <c r="M694" s="359">
        <f t="shared" ca="1" si="306"/>
        <v>-1.4213300044234793</v>
      </c>
      <c r="N694" s="357">
        <f t="shared" ca="1" si="307"/>
        <v>-81.436210548775989</v>
      </c>
      <c r="O694" s="343"/>
      <c r="P694" s="363">
        <f t="shared" ca="1" si="308"/>
        <v>23</v>
      </c>
      <c r="Q694" s="357">
        <f t="shared" ca="1" si="309"/>
        <v>0</v>
      </c>
      <c r="R694" s="359">
        <f t="shared" ca="1" si="310"/>
        <v>0</v>
      </c>
      <c r="S694" s="360">
        <f t="shared" ca="1" si="311"/>
        <v>8.3819999999999997</v>
      </c>
      <c r="T694" s="357">
        <f t="shared" ca="1" si="291"/>
        <v>82.227419999999995</v>
      </c>
      <c r="U694" s="364">
        <f t="shared" ca="1" si="292"/>
        <v>0</v>
      </c>
      <c r="V694" s="359">
        <f t="shared" ca="1" si="293"/>
        <v>1.1909506006845287</v>
      </c>
      <c r="W694" s="357">
        <f t="shared" ca="1" si="294"/>
        <v>47.93727854583598</v>
      </c>
      <c r="X694" s="343"/>
      <c r="Y694" s="367" t="str">
        <f t="shared" ca="1" si="312"/>
        <v/>
      </c>
      <c r="Z694" s="368" t="str">
        <f t="shared" ca="1" si="313"/>
        <v/>
      </c>
      <c r="AA694" s="369" t="str">
        <f t="shared" ca="1" si="314"/>
        <v/>
      </c>
      <c r="AB694" s="344"/>
      <c r="AC694" s="363">
        <f t="shared" ca="1" si="315"/>
        <v>33.000000000000156</v>
      </c>
      <c r="AD694" s="376">
        <f t="shared" ca="1" si="316"/>
        <v>913.26340848782945</v>
      </c>
      <c r="AE694" s="377" t="e">
        <f t="shared" ca="1" si="295"/>
        <v>#N/A</v>
      </c>
      <c r="AF694" s="344"/>
      <c r="AG694" s="359">
        <f t="shared" ca="1" si="317"/>
        <v>4.0240358059825851</v>
      </c>
      <c r="AH694" s="357">
        <f t="shared" ca="1" si="318"/>
        <v>-5.674835227274226</v>
      </c>
    </row>
    <row r="695" spans="1:34" x14ac:dyDescent="0.2">
      <c r="A695" s="402">
        <f t="shared" ca="1" si="296"/>
        <v>0.1</v>
      </c>
      <c r="B695" s="357">
        <f t="shared" ca="1" si="297"/>
        <v>33.100000000000158</v>
      </c>
      <c r="C695" s="342"/>
      <c r="D695" s="359">
        <f t="shared" ca="1" si="298"/>
        <v>-0.85162975182353684</v>
      </c>
      <c r="E695" s="360">
        <f t="shared" ca="1" si="299"/>
        <v>-4.1546897023750944</v>
      </c>
      <c r="F695" s="357">
        <f t="shared" ca="1" si="300"/>
        <v>4.2410753067132241</v>
      </c>
      <c r="G695" s="359">
        <f t="shared" ca="1" si="301"/>
        <v>18.245787518896574</v>
      </c>
      <c r="H695" s="360">
        <f t="shared" ca="1" si="302"/>
        <v>-122.14350028013632</v>
      </c>
      <c r="I695" s="357">
        <f t="shared" ca="1" si="303"/>
        <v>123.49875879080074</v>
      </c>
      <c r="J695" s="359">
        <f t="shared" ca="1" si="304"/>
        <v>915.0922453884782</v>
      </c>
      <c r="K695" s="360">
        <f t="shared" ca="1" si="305"/>
        <v>269.67807514900488</v>
      </c>
      <c r="L695" s="357">
        <f t="shared" ca="1" si="290"/>
        <v>954.00213929854431</v>
      </c>
      <c r="M695" s="359">
        <f t="shared" ca="1" si="306"/>
        <v>-1.4225128597299679</v>
      </c>
      <c r="N695" s="357">
        <f t="shared" ca="1" si="307"/>
        <v>-81.503983165612439</v>
      </c>
      <c r="O695" s="343"/>
      <c r="P695" s="363">
        <f t="shared" ca="1" si="308"/>
        <v>23</v>
      </c>
      <c r="Q695" s="357">
        <f t="shared" ca="1" si="309"/>
        <v>0</v>
      </c>
      <c r="R695" s="359">
        <f t="shared" ca="1" si="310"/>
        <v>0</v>
      </c>
      <c r="S695" s="360">
        <f t="shared" ca="1" si="311"/>
        <v>8.3819999999999997</v>
      </c>
      <c r="T695" s="357">
        <f t="shared" ca="1" si="291"/>
        <v>82.227419999999995</v>
      </c>
      <c r="U695" s="364">
        <f t="shared" ca="1" si="292"/>
        <v>0</v>
      </c>
      <c r="V695" s="359">
        <f t="shared" ca="1" si="293"/>
        <v>1.1924039576916072</v>
      </c>
      <c r="W695" s="357">
        <f t="shared" ca="1" si="294"/>
        <v>48.306821862524785</v>
      </c>
      <c r="X695" s="343"/>
      <c r="Y695" s="367" t="str">
        <f t="shared" ca="1" si="312"/>
        <v/>
      </c>
      <c r="Z695" s="368" t="str">
        <f t="shared" ca="1" si="313"/>
        <v/>
      </c>
      <c r="AA695" s="369" t="str">
        <f t="shared" ca="1" si="314"/>
        <v/>
      </c>
      <c r="AB695" s="344"/>
      <c r="AC695" s="363" t="e">
        <f t="shared" ca="1" si="315"/>
        <v>#N/A</v>
      </c>
      <c r="AD695" s="376" t="e">
        <f t="shared" ca="1" si="316"/>
        <v>#N/A</v>
      </c>
      <c r="AE695" s="377" t="e">
        <f t="shared" ca="1" si="295"/>
        <v>#N/A</v>
      </c>
      <c r="AF695" s="344"/>
      <c r="AG695" s="359">
        <f t="shared" ca="1" si="317"/>
        <v>3.9815512250954539</v>
      </c>
      <c r="AH695" s="357">
        <f t="shared" ca="1" si="318"/>
        <v>-5.7190740331467405</v>
      </c>
    </row>
    <row r="696" spans="1:34" x14ac:dyDescent="0.2">
      <c r="A696" s="402">
        <f t="shared" ca="1" si="296"/>
        <v>0.1</v>
      </c>
      <c r="B696" s="357">
        <f t="shared" ca="1" si="297"/>
        <v>33.200000000000159</v>
      </c>
      <c r="C696" s="342"/>
      <c r="D696" s="359">
        <f t="shared" ca="1" si="298"/>
        <v>-0.85145329328201069</v>
      </c>
      <c r="E696" s="360">
        <f t="shared" ca="1" si="299"/>
        <v>-4.1100823911379356</v>
      </c>
      <c r="F696" s="357">
        <f t="shared" ca="1" si="300"/>
        <v>4.1973503514220623</v>
      </c>
      <c r="G696" s="359">
        <f t="shared" ca="1" si="301"/>
        <v>18.160642189568371</v>
      </c>
      <c r="H696" s="360">
        <f t="shared" ca="1" si="302"/>
        <v>-122.55450851925012</v>
      </c>
      <c r="I696" s="357">
        <f t="shared" ca="1" si="303"/>
        <v>123.89276202883072</v>
      </c>
      <c r="J696" s="359">
        <f t="shared" ca="1" si="304"/>
        <v>916.91256687390148</v>
      </c>
      <c r="K696" s="360">
        <f t="shared" ca="1" si="305"/>
        <v>257.44317470903559</v>
      </c>
      <c r="L696" s="357">
        <f t="shared" ca="1" si="290"/>
        <v>952.36843894343428</v>
      </c>
      <c r="M696" s="359">
        <f t="shared" ca="1" si="306"/>
        <v>-1.4236826909070772</v>
      </c>
      <c r="N696" s="357">
        <f t="shared" ca="1" si="307"/>
        <v>-81.571009554803624</v>
      </c>
      <c r="O696" s="343"/>
      <c r="P696" s="363">
        <f t="shared" ca="1" si="308"/>
        <v>23</v>
      </c>
      <c r="Q696" s="357">
        <f t="shared" ca="1" si="309"/>
        <v>0</v>
      </c>
      <c r="R696" s="359">
        <f t="shared" ca="1" si="310"/>
        <v>0</v>
      </c>
      <c r="S696" s="360">
        <f t="shared" ca="1" si="311"/>
        <v>8.3819999999999997</v>
      </c>
      <c r="T696" s="357">
        <f t="shared" ca="1" si="291"/>
        <v>82.227419999999995</v>
      </c>
      <c r="U696" s="364">
        <f t="shared" ca="1" si="292"/>
        <v>0</v>
      </c>
      <c r="V696" s="359">
        <f t="shared" ca="1" si="293"/>
        <v>1.1938639986499089</v>
      </c>
      <c r="W696" s="357">
        <f t="shared" ca="1" si="294"/>
        <v>48.675071459384597</v>
      </c>
      <c r="X696" s="343"/>
      <c r="Y696" s="367" t="str">
        <f t="shared" ca="1" si="312"/>
        <v/>
      </c>
      <c r="Z696" s="368" t="str">
        <f t="shared" ca="1" si="313"/>
        <v/>
      </c>
      <c r="AA696" s="369" t="str">
        <f t="shared" ca="1" si="314"/>
        <v/>
      </c>
      <c r="AB696" s="344"/>
      <c r="AC696" s="363" t="e">
        <f t="shared" ca="1" si="315"/>
        <v>#N/A</v>
      </c>
      <c r="AD696" s="376" t="e">
        <f t="shared" ca="1" si="316"/>
        <v>#N/A</v>
      </c>
      <c r="AE696" s="377" t="e">
        <f t="shared" ca="1" si="295"/>
        <v>#N/A</v>
      </c>
      <c r="AF696" s="344"/>
      <c r="AG696" s="359">
        <f t="shared" ca="1" si="317"/>
        <v>3.9391846410855509</v>
      </c>
      <c r="AH696" s="357">
        <f t="shared" ca="1" si="318"/>
        <v>-5.7631617588313988</v>
      </c>
    </row>
    <row r="697" spans="1:34" x14ac:dyDescent="0.2">
      <c r="A697" s="402">
        <f t="shared" ca="1" si="296"/>
        <v>0.1</v>
      </c>
      <c r="B697" s="357">
        <f t="shared" ca="1" si="297"/>
        <v>33.300000000000161</v>
      </c>
      <c r="C697" s="342"/>
      <c r="D697" s="359">
        <f t="shared" ca="1" si="298"/>
        <v>-0.85122468223694026</v>
      </c>
      <c r="E697" s="360">
        <f t="shared" ca="1" si="299"/>
        <v>-4.065631409833836</v>
      </c>
      <c r="F697" s="357">
        <f t="shared" ca="1" si="300"/>
        <v>4.1537864918983072</v>
      </c>
      <c r="G697" s="359">
        <f t="shared" ca="1" si="301"/>
        <v>18.075519721344676</v>
      </c>
      <c r="H697" s="360">
        <f t="shared" ca="1" si="302"/>
        <v>-122.9610716602335</v>
      </c>
      <c r="I697" s="357">
        <f t="shared" ca="1" si="303"/>
        <v>124.28253922828338</v>
      </c>
      <c r="J697" s="359">
        <f t="shared" ca="1" si="304"/>
        <v>918.72437496944713</v>
      </c>
      <c r="K697" s="360">
        <f t="shared" ca="1" si="305"/>
        <v>245.16739570006141</v>
      </c>
      <c r="L697" s="357">
        <f t="shared" ca="1" si="290"/>
        <v>950.87408686815718</v>
      </c>
      <c r="M697" s="359">
        <f t="shared" ca="1" si="306"/>
        <v>-1.4248397199307545</v>
      </c>
      <c r="N697" s="357">
        <f t="shared" ca="1" si="307"/>
        <v>-81.637302434634478</v>
      </c>
      <c r="O697" s="343"/>
      <c r="P697" s="363">
        <f t="shared" ca="1" si="308"/>
        <v>23</v>
      </c>
      <c r="Q697" s="357">
        <f t="shared" ca="1" si="309"/>
        <v>0</v>
      </c>
      <c r="R697" s="359">
        <f t="shared" ca="1" si="310"/>
        <v>0</v>
      </c>
      <c r="S697" s="360">
        <f t="shared" ca="1" si="311"/>
        <v>8.3819999999999997</v>
      </c>
      <c r="T697" s="357">
        <f t="shared" ca="1" si="291"/>
        <v>82.227419999999995</v>
      </c>
      <c r="U697" s="364">
        <f t="shared" ca="1" si="292"/>
        <v>0</v>
      </c>
      <c r="V697" s="359">
        <f t="shared" ca="1" si="293"/>
        <v>1.1953306913830348</v>
      </c>
      <c r="W697" s="357">
        <f t="shared" ca="1" si="294"/>
        <v>49.04200052951537</v>
      </c>
      <c r="X697" s="343"/>
      <c r="Y697" s="367" t="str">
        <f t="shared" ca="1" si="312"/>
        <v/>
      </c>
      <c r="Z697" s="368" t="str">
        <f t="shared" ca="1" si="313"/>
        <v/>
      </c>
      <c r="AA697" s="369" t="str">
        <f t="shared" ca="1" si="314"/>
        <v/>
      </c>
      <c r="AB697" s="344"/>
      <c r="AC697" s="363" t="e">
        <f t="shared" ca="1" si="315"/>
        <v>#N/A</v>
      </c>
      <c r="AD697" s="376" t="e">
        <f t="shared" ca="1" si="316"/>
        <v>#N/A</v>
      </c>
      <c r="AE697" s="377" t="e">
        <f t="shared" ca="1" si="295"/>
        <v>#N/A</v>
      </c>
      <c r="AF697" s="344"/>
      <c r="AG697" s="359">
        <f t="shared" ca="1" si="317"/>
        <v>3.8969400994000427</v>
      </c>
      <c r="AH697" s="357">
        <f t="shared" ca="1" si="318"/>
        <v>-5.8070951395114054</v>
      </c>
    </row>
    <row r="698" spans="1:34" x14ac:dyDescent="0.2">
      <c r="A698" s="402">
        <f t="shared" ca="1" si="296"/>
        <v>0.1</v>
      </c>
      <c r="B698" s="357">
        <f t="shared" ca="1" si="297"/>
        <v>33.400000000000162</v>
      </c>
      <c r="C698" s="342"/>
      <c r="D698" s="359">
        <f t="shared" ca="1" si="298"/>
        <v>-0.85094442380357338</v>
      </c>
      <c r="E698" s="360">
        <f t="shared" ca="1" si="299"/>
        <v>-4.0213399842865822</v>
      </c>
      <c r="F698" s="357">
        <f t="shared" ca="1" si="300"/>
        <v>4.1103870476664852</v>
      </c>
      <c r="G698" s="359">
        <f t="shared" ca="1" si="301"/>
        <v>17.99042527896432</v>
      </c>
      <c r="H698" s="360">
        <f t="shared" ca="1" si="302"/>
        <v>-123.36320565866215</v>
      </c>
      <c r="I698" s="357">
        <f t="shared" ca="1" si="303"/>
        <v>124.66810302599207</v>
      </c>
      <c r="J698" s="359">
        <f t="shared" ca="1" si="304"/>
        <v>920.5276722194626</v>
      </c>
      <c r="K698" s="360">
        <f t="shared" ca="1" si="305"/>
        <v>232.85118183411663</v>
      </c>
      <c r="L698" s="357">
        <f t="shared" ca="1" si="290"/>
        <v>949.52138901834496</v>
      </c>
      <c r="M698" s="359">
        <f t="shared" ca="1" si="306"/>
        <v>-1.4259841636142396</v>
      </c>
      <c r="N698" s="357">
        <f t="shared" ca="1" si="307"/>
        <v>-81.70287422758858</v>
      </c>
      <c r="O698" s="343"/>
      <c r="P698" s="363">
        <f t="shared" ca="1" si="308"/>
        <v>23</v>
      </c>
      <c r="Q698" s="357">
        <f t="shared" ca="1" si="309"/>
        <v>0</v>
      </c>
      <c r="R698" s="359">
        <f t="shared" ca="1" si="310"/>
        <v>0</v>
      </c>
      <c r="S698" s="360">
        <f t="shared" ca="1" si="311"/>
        <v>8.3819999999999997</v>
      </c>
      <c r="T698" s="357">
        <f t="shared" ca="1" si="291"/>
        <v>82.227419999999995</v>
      </c>
      <c r="U698" s="364">
        <f t="shared" ca="1" si="292"/>
        <v>0</v>
      </c>
      <c r="V698" s="359">
        <f t="shared" ca="1" si="293"/>
        <v>1.1968040037774907</v>
      </c>
      <c r="W698" s="357">
        <f t="shared" ca="1" si="294"/>
        <v>49.407582823854</v>
      </c>
      <c r="X698" s="343"/>
      <c r="Y698" s="367" t="str">
        <f t="shared" ca="1" si="312"/>
        <v/>
      </c>
      <c r="Z698" s="368" t="str">
        <f t="shared" ca="1" si="313"/>
        <v/>
      </c>
      <c r="AA698" s="369" t="str">
        <f t="shared" ca="1" si="314"/>
        <v/>
      </c>
      <c r="AB698" s="344"/>
      <c r="AC698" s="363" t="e">
        <f t="shared" ca="1" si="315"/>
        <v>#N/A</v>
      </c>
      <c r="AD698" s="376" t="e">
        <f t="shared" ca="1" si="316"/>
        <v>#N/A</v>
      </c>
      <c r="AE698" s="377" t="e">
        <f t="shared" ca="1" si="295"/>
        <v>#N/A</v>
      </c>
      <c r="AF698" s="344"/>
      <c r="AG698" s="359">
        <f t="shared" ca="1" si="317"/>
        <v>3.8548215560981021</v>
      </c>
      <c r="AH698" s="357">
        <f t="shared" ca="1" si="318"/>
        <v>-5.8508709770359548</v>
      </c>
    </row>
    <row r="699" spans="1:34" x14ac:dyDescent="0.2">
      <c r="A699" s="402">
        <f t="shared" ca="1" si="296"/>
        <v>0.1</v>
      </c>
      <c r="B699" s="357">
        <f t="shared" ca="1" si="297"/>
        <v>33.500000000000163</v>
      </c>
      <c r="C699" s="342"/>
      <c r="D699" s="359">
        <f t="shared" ca="1" si="298"/>
        <v>-0.85061302676564965</v>
      </c>
      <c r="E699" s="360">
        <f t="shared" ca="1" si="299"/>
        <v>-3.9772112732362954</v>
      </c>
      <c r="F699" s="357">
        <f t="shared" ca="1" si="300"/>
        <v>4.0671552752828717</v>
      </c>
      <c r="G699" s="359">
        <f t="shared" ca="1" si="301"/>
        <v>17.905363976287756</v>
      </c>
      <c r="H699" s="360">
        <f t="shared" ca="1" si="302"/>
        <v>-123.76092678598579</v>
      </c>
      <c r="I699" s="357">
        <f t="shared" ca="1" si="303"/>
        <v>125.04946644448138</v>
      </c>
      <c r="J699" s="359">
        <f t="shared" ca="1" si="304"/>
        <v>922.32246168222525</v>
      </c>
      <c r="K699" s="360">
        <f t="shared" ca="1" si="305"/>
        <v>220.49497521188422</v>
      </c>
      <c r="L699" s="357">
        <f t="shared" ca="1" si="290"/>
        <v>948.31258423435952</v>
      </c>
      <c r="M699" s="359">
        <f t="shared" ca="1" si="306"/>
        <v>-1.4271162337550771</v>
      </c>
      <c r="N699" s="357">
        <f t="shared" ca="1" si="307"/>
        <v>-81.767737068771353</v>
      </c>
      <c r="O699" s="343"/>
      <c r="P699" s="363">
        <f t="shared" ca="1" si="308"/>
        <v>23</v>
      </c>
      <c r="Q699" s="357">
        <f t="shared" ca="1" si="309"/>
        <v>0</v>
      </c>
      <c r="R699" s="359">
        <f t="shared" ca="1" si="310"/>
        <v>0</v>
      </c>
      <c r="S699" s="360">
        <f t="shared" ca="1" si="311"/>
        <v>8.3819999999999997</v>
      </c>
      <c r="T699" s="357">
        <f t="shared" ca="1" si="291"/>
        <v>82.227419999999995</v>
      </c>
      <c r="U699" s="364">
        <f t="shared" ca="1" si="292"/>
        <v>0</v>
      </c>
      <c r="V699" s="359">
        <f t="shared" ca="1" si="293"/>
        <v>1.1982839037851765</v>
      </c>
      <c r="W699" s="357">
        <f t="shared" ca="1" si="294"/>
        <v>49.771792650042862</v>
      </c>
      <c r="X699" s="343"/>
      <c r="Y699" s="367" t="str">
        <f t="shared" ca="1" si="312"/>
        <v/>
      </c>
      <c r="Z699" s="368" t="str">
        <f t="shared" ca="1" si="313"/>
        <v/>
      </c>
      <c r="AA699" s="369" t="str">
        <f t="shared" ca="1" si="314"/>
        <v/>
      </c>
      <c r="AB699" s="344"/>
      <c r="AC699" s="363" t="e">
        <f t="shared" ca="1" si="315"/>
        <v>#N/A</v>
      </c>
      <c r="AD699" s="376" t="e">
        <f t="shared" ca="1" si="316"/>
        <v>#N/A</v>
      </c>
      <c r="AE699" s="377" t="e">
        <f t="shared" ca="1" si="295"/>
        <v>#N/A</v>
      </c>
      <c r="AF699" s="344"/>
      <c r="AG699" s="359">
        <f t="shared" ca="1" si="317"/>
        <v>3.812832878749699</v>
      </c>
      <c r="AH699" s="357">
        <f t="shared" ca="1" si="318"/>
        <v>-5.8944861398060127</v>
      </c>
    </row>
    <row r="700" spans="1:34" x14ac:dyDescent="0.2">
      <c r="A700" s="402">
        <f t="shared" ca="1" si="296"/>
        <v>0.1</v>
      </c>
      <c r="B700" s="357">
        <f t="shared" ca="1" si="297"/>
        <v>33.600000000000165</v>
      </c>
      <c r="C700" s="342"/>
      <c r="D700" s="359">
        <f t="shared" ca="1" si="298"/>
        <v>-0.85023100338242352</v>
      </c>
      <c r="E700" s="360">
        <f t="shared" ca="1" si="299"/>
        <v>-3.933248368470009</v>
      </c>
      <c r="F700" s="357">
        <f t="shared" ca="1" si="300"/>
        <v>4.0240943685734649</v>
      </c>
      <c r="G700" s="359">
        <f t="shared" ca="1" si="301"/>
        <v>17.820340875949512</v>
      </c>
      <c r="H700" s="360">
        <f t="shared" ca="1" si="302"/>
        <v>-124.15425162283279</v>
      </c>
      <c r="I700" s="357">
        <f t="shared" ca="1" si="303"/>
        <v>125.42664288324357</v>
      </c>
      <c r="J700" s="359">
        <f t="shared" ca="1" si="304"/>
        <v>924.10874692483708</v>
      </c>
      <c r="K700" s="360">
        <f t="shared" ca="1" si="305"/>
        <v>208.0992162914433</v>
      </c>
      <c r="L700" s="357">
        <f t="shared" ca="1" si="290"/>
        <v>947.24984030830296</v>
      </c>
      <c r="M700" s="359">
        <f t="shared" ca="1" si="306"/>
        <v>-1.4282361372772054</v>
      </c>
      <c r="N700" s="357">
        <f t="shared" ca="1" si="307"/>
        <v>-81.831902814051134</v>
      </c>
      <c r="O700" s="343"/>
      <c r="P700" s="363">
        <f t="shared" ca="1" si="308"/>
        <v>23</v>
      </c>
      <c r="Q700" s="357">
        <f t="shared" ca="1" si="309"/>
        <v>0</v>
      </c>
      <c r="R700" s="359">
        <f t="shared" ca="1" si="310"/>
        <v>0</v>
      </c>
      <c r="S700" s="360">
        <f t="shared" ca="1" si="311"/>
        <v>8.3819999999999997</v>
      </c>
      <c r="T700" s="357">
        <f t="shared" ca="1" si="291"/>
        <v>82.227419999999995</v>
      </c>
      <c r="U700" s="364">
        <f t="shared" ca="1" si="292"/>
        <v>0</v>
      </c>
      <c r="V700" s="359">
        <f t="shared" ca="1" si="293"/>
        <v>1.199770359425838</v>
      </c>
      <c r="W700" s="357">
        <f t="shared" ca="1" si="294"/>
        <v>50.13460487112777</v>
      </c>
      <c r="X700" s="343"/>
      <c r="Y700" s="367" t="str">
        <f t="shared" ca="1" si="312"/>
        <v/>
      </c>
      <c r="Z700" s="368" t="str">
        <f t="shared" ca="1" si="313"/>
        <v/>
      </c>
      <c r="AA700" s="369" t="str">
        <f t="shared" ca="1" si="314"/>
        <v/>
      </c>
      <c r="AB700" s="344"/>
      <c r="AC700" s="363" t="e">
        <f t="shared" ca="1" si="315"/>
        <v>#N/A</v>
      </c>
      <c r="AD700" s="376" t="e">
        <f t="shared" ca="1" si="316"/>
        <v>#N/A</v>
      </c>
      <c r="AE700" s="377" t="e">
        <f t="shared" ca="1" si="295"/>
        <v>#N/A</v>
      </c>
      <c r="AF700" s="344"/>
      <c r="AG700" s="359">
        <f t="shared" ca="1" si="317"/>
        <v>3.7709778473240236</v>
      </c>
      <c r="AH700" s="357">
        <f t="shared" ca="1" si="318"/>
        <v>-5.9379375626393296</v>
      </c>
    </row>
    <row r="701" spans="1:34" x14ac:dyDescent="0.2">
      <c r="A701" s="402">
        <f t="shared" ca="1" si="296"/>
        <v>0.1</v>
      </c>
      <c r="B701" s="357">
        <f t="shared" ca="1" si="297"/>
        <v>33.700000000000166</v>
      </c>
      <c r="C701" s="342"/>
      <c r="D701" s="359">
        <f t="shared" ca="1" si="298"/>
        <v>-0.84979886919809444</v>
      </c>
      <c r="E701" s="360">
        <f t="shared" ca="1" si="299"/>
        <v>-3.8894542949730537</v>
      </c>
      <c r="F701" s="357">
        <f t="shared" ca="1" si="300"/>
        <v>3.981207458896697</v>
      </c>
      <c r="G701" s="359">
        <f t="shared" ca="1" si="301"/>
        <v>17.735360989029701</v>
      </c>
      <c r="H701" s="360">
        <f t="shared" ca="1" si="302"/>
        <v>-124.5431970523301</v>
      </c>
      <c r="I701" s="357">
        <f t="shared" ca="1" si="303"/>
        <v>125.79964611010128</v>
      </c>
      <c r="J701" s="359">
        <f t="shared" ca="1" si="304"/>
        <v>925.88653201808609</v>
      </c>
      <c r="K701" s="360">
        <f t="shared" ca="1" si="305"/>
        <v>195.66434385768514</v>
      </c>
      <c r="L701" s="357">
        <f t="shared" ca="1" si="290"/>
        <v>946.33525012531197</v>
      </c>
      <c r="M701" s="359">
        <f t="shared" ca="1" si="306"/>
        <v>-1.4293440763683156</v>
      </c>
      <c r="N701" s="357">
        <f t="shared" ca="1" si="307"/>
        <v>-81.895383047929315</v>
      </c>
      <c r="O701" s="343"/>
      <c r="P701" s="363">
        <f t="shared" ca="1" si="308"/>
        <v>23</v>
      </c>
      <c r="Q701" s="357">
        <f t="shared" ca="1" si="309"/>
        <v>0</v>
      </c>
      <c r="R701" s="359">
        <f t="shared" ca="1" si="310"/>
        <v>0</v>
      </c>
      <c r="S701" s="360">
        <f t="shared" ca="1" si="311"/>
        <v>8.3819999999999997</v>
      </c>
      <c r="T701" s="357">
        <f t="shared" ca="1" si="291"/>
        <v>82.227419999999995</v>
      </c>
      <c r="U701" s="364">
        <f t="shared" ca="1" si="292"/>
        <v>0</v>
      </c>
      <c r="V701" s="359">
        <f t="shared" ca="1" si="293"/>
        <v>1.2012633387894898</v>
      </c>
      <c r="W701" s="357">
        <f t="shared" ca="1" si="294"/>
        <v>50.495994904088597</v>
      </c>
      <c r="X701" s="343"/>
      <c r="Y701" s="367" t="str">
        <f t="shared" ca="1" si="312"/>
        <v/>
      </c>
      <c r="Z701" s="368" t="str">
        <f t="shared" ca="1" si="313"/>
        <v/>
      </c>
      <c r="AA701" s="369" t="str">
        <f t="shared" ca="1" si="314"/>
        <v/>
      </c>
      <c r="AB701" s="344"/>
      <c r="AC701" s="363" t="e">
        <f t="shared" ca="1" si="315"/>
        <v>#N/A</v>
      </c>
      <c r="AD701" s="376" t="e">
        <f t="shared" ca="1" si="316"/>
        <v>#N/A</v>
      </c>
      <c r="AE701" s="377" t="e">
        <f t="shared" ca="1" si="295"/>
        <v>#N/A</v>
      </c>
      <c r="AF701" s="344"/>
      <c r="AG701" s="359">
        <f t="shared" ca="1" si="317"/>
        <v>3.729260155068495</v>
      </c>
      <c r="AH701" s="357">
        <f t="shared" ca="1" si="318"/>
        <v>-5.9812222466151006</v>
      </c>
    </row>
    <row r="702" spans="1:34" x14ac:dyDescent="0.2">
      <c r="A702" s="402">
        <f t="shared" ca="1" si="296"/>
        <v>0.1</v>
      </c>
      <c r="B702" s="357">
        <f t="shared" ca="1" si="297"/>
        <v>33.800000000000168</v>
      </c>
      <c r="C702" s="342"/>
      <c r="D702" s="359">
        <f t="shared" ca="1" si="298"/>
        <v>-0.84931714285363336</v>
      </c>
      <c r="E702" s="360">
        <f t="shared" ca="1" si="299"/>
        <v>-3.8458320111008275</v>
      </c>
      <c r="F702" s="357">
        <f t="shared" ca="1" si="300"/>
        <v>3.9384976154306472</v>
      </c>
      <c r="G702" s="359">
        <f t="shared" ca="1" si="301"/>
        <v>17.650429274744337</v>
      </c>
      <c r="H702" s="360">
        <f t="shared" ca="1" si="302"/>
        <v>-124.92778025344019</v>
      </c>
      <c r="I702" s="357">
        <f t="shared" ca="1" si="303"/>
        <v>126.16849025265616</v>
      </c>
      <c r="J702" s="359">
        <f t="shared" ca="1" si="304"/>
        <v>927.6558215312748</v>
      </c>
      <c r="K702" s="360">
        <f t="shared" ca="1" si="305"/>
        <v>183.19079499239663</v>
      </c>
      <c r="L702" s="357">
        <f t="shared" ca="1" si="290"/>
        <v>945.57082790810057</v>
      </c>
      <c r="M702" s="359">
        <f t="shared" ca="1" si="306"/>
        <v>-1.4304402486126557</v>
      </c>
      <c r="N702" s="357">
        <f t="shared" ca="1" si="307"/>
        <v>-81.958189091149379</v>
      </c>
      <c r="O702" s="343"/>
      <c r="P702" s="363">
        <f t="shared" ca="1" si="308"/>
        <v>23</v>
      </c>
      <c r="Q702" s="357">
        <f t="shared" ca="1" si="309"/>
        <v>0</v>
      </c>
      <c r="R702" s="359">
        <f t="shared" ca="1" si="310"/>
        <v>0</v>
      </c>
      <c r="S702" s="360">
        <f t="shared" ca="1" si="311"/>
        <v>8.3819999999999997</v>
      </c>
      <c r="T702" s="357">
        <f t="shared" ca="1" si="291"/>
        <v>82.227419999999995</v>
      </c>
      <c r="U702" s="364">
        <f t="shared" ca="1" si="292"/>
        <v>0</v>
      </c>
      <c r="V702" s="359">
        <f t="shared" ca="1" si="293"/>
        <v>1.202762810038801</v>
      </c>
      <c r="W702" s="357">
        <f t="shared" ca="1" si="294"/>
        <v>50.855938718206474</v>
      </c>
      <c r="X702" s="343"/>
      <c r="Y702" s="367" t="str">
        <f t="shared" ca="1" si="312"/>
        <v/>
      </c>
      <c r="Z702" s="368" t="str">
        <f t="shared" ca="1" si="313"/>
        <v/>
      </c>
      <c r="AA702" s="369" t="str">
        <f t="shared" ca="1" si="314"/>
        <v/>
      </c>
      <c r="AB702" s="344"/>
      <c r="AC702" s="363" t="e">
        <f t="shared" ca="1" si="315"/>
        <v>#N/A</v>
      </c>
      <c r="AD702" s="376" t="e">
        <f t="shared" ca="1" si="316"/>
        <v>#N/A</v>
      </c>
      <c r="AE702" s="377" t="e">
        <f t="shared" ca="1" si="295"/>
        <v>#N/A</v>
      </c>
      <c r="AF702" s="344"/>
      <c r="AG702" s="359">
        <f t="shared" ca="1" si="317"/>
        <v>3.6876834093793072</v>
      </c>
      <c r="AH702" s="357">
        <f t="shared" ca="1" si="318"/>
        <v>-6.0243372588986634</v>
      </c>
    </row>
    <row r="703" spans="1:34" x14ac:dyDescent="0.2">
      <c r="A703" s="402">
        <f t="shared" ca="1" si="296"/>
        <v>0.1</v>
      </c>
      <c r="B703" s="357">
        <f t="shared" ca="1" si="297"/>
        <v>33.900000000000169</v>
      </c>
      <c r="C703" s="342"/>
      <c r="D703" s="359">
        <f t="shared" ca="1" si="298"/>
        <v>-0.8487863459010585</v>
      </c>
      <c r="E703" s="360">
        <f t="shared" ca="1" si="299"/>
        <v>-3.8023844087704868</v>
      </c>
      <c r="F703" s="357">
        <f t="shared" ca="1" si="300"/>
        <v>3.8959678454844768</v>
      </c>
      <c r="G703" s="359">
        <f t="shared" ca="1" si="301"/>
        <v>17.565550640154232</v>
      </c>
      <c r="H703" s="360">
        <f t="shared" ca="1" si="302"/>
        <v>-125.30801869431724</v>
      </c>
      <c r="I703" s="357">
        <f t="shared" ca="1" si="303"/>
        <v>126.53318978982227</v>
      </c>
      <c r="J703" s="359">
        <f t="shared" ca="1" si="304"/>
        <v>929.41662052701975</v>
      </c>
      <c r="K703" s="360">
        <f t="shared" ca="1" si="305"/>
        <v>170.67900504500875</v>
      </c>
      <c r="L703" s="357">
        <f t="shared" ca="1" si="290"/>
        <v>944.9585055837216</v>
      </c>
      <c r="M703" s="359">
        <f t="shared" ca="1" si="306"/>
        <v>-1.4315248471194586</v>
      </c>
      <c r="N703" s="357">
        <f t="shared" ca="1" si="307"/>
        <v>-82.020332008055377</v>
      </c>
      <c r="O703" s="343"/>
      <c r="P703" s="363">
        <f t="shared" ca="1" si="308"/>
        <v>23</v>
      </c>
      <c r="Q703" s="357">
        <f t="shared" ca="1" si="309"/>
        <v>0</v>
      </c>
      <c r="R703" s="359">
        <f t="shared" ca="1" si="310"/>
        <v>0</v>
      </c>
      <c r="S703" s="360">
        <f t="shared" ca="1" si="311"/>
        <v>8.3819999999999997</v>
      </c>
      <c r="T703" s="357">
        <f t="shared" ca="1" si="291"/>
        <v>82.227419999999995</v>
      </c>
      <c r="U703" s="364">
        <f t="shared" ca="1" si="292"/>
        <v>0</v>
      </c>
      <c r="V703" s="359">
        <f t="shared" ca="1" si="293"/>
        <v>1.2042687414114479</v>
      </c>
      <c r="W703" s="357">
        <f t="shared" ca="1" si="294"/>
        <v>51.214412833270593</v>
      </c>
      <c r="X703" s="343"/>
      <c r="Y703" s="367" t="str">
        <f t="shared" ca="1" si="312"/>
        <v/>
      </c>
      <c r="Z703" s="368" t="str">
        <f t="shared" ca="1" si="313"/>
        <v/>
      </c>
      <c r="AA703" s="369" t="str">
        <f t="shared" ca="1" si="314"/>
        <v/>
      </c>
      <c r="AB703" s="344"/>
      <c r="AC703" s="363" t="e">
        <f t="shared" ca="1" si="315"/>
        <v>#N/A</v>
      </c>
      <c r="AD703" s="376" t="e">
        <f t="shared" ca="1" si="316"/>
        <v>#N/A</v>
      </c>
      <c r="AE703" s="377" t="e">
        <f t="shared" ca="1" si="295"/>
        <v>#N/A</v>
      </c>
      <c r="AF703" s="344"/>
      <c r="AG703" s="359">
        <f t="shared" ca="1" si="317"/>
        <v>3.6462511326642923</v>
      </c>
      <c r="AH703" s="357">
        <f t="shared" ca="1" si="318"/>
        <v>-6.0672797325467043</v>
      </c>
    </row>
    <row r="704" spans="1:34" x14ac:dyDescent="0.2">
      <c r="A704" s="402">
        <f t="shared" ca="1" si="296"/>
        <v>0.1</v>
      </c>
      <c r="B704" s="357">
        <f t="shared" ca="1" si="297"/>
        <v>34.000000000000171</v>
      </c>
      <c r="C704" s="342"/>
      <c r="D704" s="359">
        <f t="shared" ca="1" si="298"/>
        <v>-0.84820700262014337</v>
      </c>
      <c r="E704" s="360">
        <f t="shared" ca="1" si="299"/>
        <v>-3.7591143136721756</v>
      </c>
      <c r="F704" s="357">
        <f t="shared" ca="1" si="300"/>
        <v>3.8536210948339069</v>
      </c>
      <c r="G704" s="359">
        <f t="shared" ca="1" si="301"/>
        <v>17.480729939892218</v>
      </c>
      <c r="H704" s="360">
        <f t="shared" ca="1" si="302"/>
        <v>-125.68393012568445</v>
      </c>
      <c r="I704" s="357">
        <f t="shared" ca="1" si="303"/>
        <v>126.89375954344396</v>
      </c>
      <c r="J704" s="359">
        <f t="shared" ca="1" si="304"/>
        <v>931.16893455602212</v>
      </c>
      <c r="K704" s="360">
        <f t="shared" ca="1" si="305"/>
        <v>158.12940760400866</v>
      </c>
      <c r="L704" s="357">
        <f t="shared" ca="1" si="290"/>
        <v>944.50012929135812</v>
      </c>
      <c r="M704" s="359">
        <f t="shared" ca="1" si="306"/>
        <v>-1.432598060647154</v>
      </c>
      <c r="N704" s="357">
        <f t="shared" ca="1" si="307"/>
        <v>-82.081822613708667</v>
      </c>
      <c r="O704" s="343"/>
      <c r="P704" s="363">
        <f t="shared" ca="1" si="308"/>
        <v>23</v>
      </c>
      <c r="Q704" s="357">
        <f t="shared" ca="1" si="309"/>
        <v>0</v>
      </c>
      <c r="R704" s="359">
        <f t="shared" ca="1" si="310"/>
        <v>0</v>
      </c>
      <c r="S704" s="360">
        <f t="shared" ca="1" si="311"/>
        <v>8.3819999999999997</v>
      </c>
      <c r="T704" s="357">
        <f t="shared" ca="1" si="291"/>
        <v>82.227419999999995</v>
      </c>
      <c r="U704" s="364">
        <f t="shared" ca="1" si="292"/>
        <v>0</v>
      </c>
      <c r="V704" s="359">
        <f t="shared" ca="1" si="293"/>
        <v>1.2057811012224338</v>
      </c>
      <c r="W704" s="357">
        <f t="shared" ca="1" si="294"/>
        <v>51.571394317628538</v>
      </c>
      <c r="X704" s="343"/>
      <c r="Y704" s="367" t="str">
        <f t="shared" ca="1" si="312"/>
        <v/>
      </c>
      <c r="Z704" s="368" t="str">
        <f t="shared" ca="1" si="313"/>
        <v/>
      </c>
      <c r="AA704" s="369" t="str">
        <f t="shared" ca="1" si="314"/>
        <v/>
      </c>
      <c r="AB704" s="344"/>
      <c r="AC704" s="363">
        <f t="shared" ca="1" si="315"/>
        <v>34.000000000000171</v>
      </c>
      <c r="AD704" s="376">
        <f t="shared" ca="1" si="316"/>
        <v>931.16893455602212</v>
      </c>
      <c r="AE704" s="377" t="e">
        <f t="shared" ca="1" si="295"/>
        <v>#N/A</v>
      </c>
      <c r="AF704" s="344"/>
      <c r="AG704" s="359">
        <f t="shared" ca="1" si="317"/>
        <v>3.6049667631989237</v>
      </c>
      <c r="AH704" s="357">
        <f t="shared" ca="1" si="318"/>
        <v>-6.1100468662933185</v>
      </c>
    </row>
    <row r="705" spans="1:34" x14ac:dyDescent="0.2">
      <c r="A705" s="402">
        <f t="shared" ca="1" si="296"/>
        <v>0.1</v>
      </c>
      <c r="B705" s="357">
        <f t="shared" ca="1" si="297"/>
        <v>34.100000000000172</v>
      </c>
      <c r="C705" s="342"/>
      <c r="D705" s="359">
        <f t="shared" ca="1" si="298"/>
        <v>-0.84757963983760432</v>
      </c>
      <c r="E705" s="360">
        <f t="shared" ca="1" si="299"/>
        <v>-3.7160244854993127</v>
      </c>
      <c r="F705" s="357">
        <f t="shared" ca="1" si="300"/>
        <v>3.8114602480804751</v>
      </c>
      <c r="G705" s="359">
        <f t="shared" ca="1" si="301"/>
        <v>17.395971975908456</v>
      </c>
      <c r="H705" s="360">
        <f t="shared" ca="1" si="302"/>
        <v>-126.05553257423439</v>
      </c>
      <c r="I705" s="357">
        <f t="shared" ca="1" si="303"/>
        <v>127.25021466999755</v>
      </c>
      <c r="J705" s="359">
        <f t="shared" ca="1" si="304"/>
        <v>932.91276965181214</v>
      </c>
      <c r="K705" s="360">
        <f t="shared" ca="1" si="305"/>
        <v>145.54243446901273</v>
      </c>
      <c r="L705" s="357">
        <f t="shared" ca="1" si="290"/>
        <v>944.19745604962418</v>
      </c>
      <c r="M705" s="359">
        <f t="shared" ca="1" si="306"/>
        <v>-1.433660073723529</v>
      </c>
      <c r="N705" s="357">
        <f t="shared" ca="1" si="307"/>
        <v>-82.142671480772663</v>
      </c>
      <c r="O705" s="343"/>
      <c r="P705" s="363">
        <f t="shared" ca="1" si="308"/>
        <v>23</v>
      </c>
      <c r="Q705" s="357">
        <f t="shared" ca="1" si="309"/>
        <v>0</v>
      </c>
      <c r="R705" s="359">
        <f t="shared" ca="1" si="310"/>
        <v>0</v>
      </c>
      <c r="S705" s="360">
        <f t="shared" ca="1" si="311"/>
        <v>8.3819999999999997</v>
      </c>
      <c r="T705" s="357">
        <f t="shared" ca="1" si="291"/>
        <v>82.227419999999995</v>
      </c>
      <c r="U705" s="364">
        <f t="shared" ca="1" si="292"/>
        <v>0</v>
      </c>
      <c r="V705" s="359">
        <f t="shared" ca="1" si="293"/>
        <v>1.2072998578663749</v>
      </c>
      <c r="W705" s="357">
        <f t="shared" ca="1" si="294"/>
        <v>51.926860786083779</v>
      </c>
      <c r="X705" s="343"/>
      <c r="Y705" s="367" t="str">
        <f t="shared" ca="1" si="312"/>
        <v/>
      </c>
      <c r="Z705" s="368" t="str">
        <f t="shared" ca="1" si="313"/>
        <v/>
      </c>
      <c r="AA705" s="369" t="str">
        <f t="shared" ca="1" si="314"/>
        <v/>
      </c>
      <c r="AB705" s="344"/>
      <c r="AC705" s="363" t="e">
        <f t="shared" ca="1" si="315"/>
        <v>#N/A</v>
      </c>
      <c r="AD705" s="376" t="e">
        <f t="shared" ca="1" si="316"/>
        <v>#N/A</v>
      </c>
      <c r="AE705" s="377" t="e">
        <f t="shared" ca="1" si="295"/>
        <v>#N/A</v>
      </c>
      <c r="AF705" s="344"/>
      <c r="AG705" s="359">
        <f t="shared" ca="1" si="317"/>
        <v>3.5638336559761923</v>
      </c>
      <c r="AH705" s="357">
        <f t="shared" ca="1" si="318"/>
        <v>-6.1526359243174111</v>
      </c>
    </row>
    <row r="706" spans="1:34" x14ac:dyDescent="0.2">
      <c r="A706" s="402">
        <f t="shared" ca="1" si="296"/>
        <v>0.1</v>
      </c>
      <c r="B706" s="357">
        <f t="shared" ca="1" si="297"/>
        <v>34.200000000000173</v>
      </c>
      <c r="C706" s="342"/>
      <c r="D706" s="359">
        <f t="shared" ca="1" si="298"/>
        <v>-0.84690478674875547</v>
      </c>
      <c r="E706" s="360">
        <f t="shared" ca="1" si="299"/>
        <v>-3.6731176181974918</v>
      </c>
      <c r="F706" s="357">
        <f t="shared" ca="1" si="300"/>
        <v>3.7694881290343347</v>
      </c>
      <c r="G706" s="359">
        <f t="shared" ca="1" si="301"/>
        <v>17.31128149723358</v>
      </c>
      <c r="H706" s="360">
        <f t="shared" ca="1" si="302"/>
        <v>-126.42284433605414</v>
      </c>
      <c r="I706" s="357">
        <f t="shared" ca="1" si="303"/>
        <v>127.60257065237612</v>
      </c>
      <c r="J706" s="359">
        <f t="shared" ca="1" si="304"/>
        <v>934.64813232546919</v>
      </c>
      <c r="K706" s="360">
        <f t="shared" ca="1" si="305"/>
        <v>132.91851562349831</v>
      </c>
      <c r="L706" s="357">
        <f t="shared" ca="1" si="290"/>
        <v>944.05215060135424</v>
      </c>
      <c r="M706" s="359">
        <f t="shared" ca="1" si="306"/>
        <v>-1.4347110667619829</v>
      </c>
      <c r="N706" s="357">
        <f t="shared" ca="1" si="307"/>
        <v>-82.202888946173701</v>
      </c>
      <c r="O706" s="343"/>
      <c r="P706" s="363">
        <f t="shared" ca="1" si="308"/>
        <v>23</v>
      </c>
      <c r="Q706" s="357">
        <f t="shared" ca="1" si="309"/>
        <v>0</v>
      </c>
      <c r="R706" s="359">
        <f t="shared" ca="1" si="310"/>
        <v>0</v>
      </c>
      <c r="S706" s="360">
        <f t="shared" ca="1" si="311"/>
        <v>8.3819999999999997</v>
      </c>
      <c r="T706" s="357">
        <f t="shared" ca="1" si="291"/>
        <v>82.227419999999995</v>
      </c>
      <c r="U706" s="364">
        <f t="shared" ca="1" si="292"/>
        <v>0</v>
      </c>
      <c r="V706" s="359">
        <f t="shared" ca="1" si="293"/>
        <v>1.2088249798197483</v>
      </c>
      <c r="W706" s="357">
        <f t="shared" ca="1" si="294"/>
        <v>52.280790397643202</v>
      </c>
      <c r="X706" s="343"/>
      <c r="Y706" s="367" t="str">
        <f t="shared" ca="1" si="312"/>
        <v/>
      </c>
      <c r="Z706" s="368" t="str">
        <f t="shared" ca="1" si="313"/>
        <v/>
      </c>
      <c r="AA706" s="369" t="str">
        <f t="shared" ca="1" si="314"/>
        <v/>
      </c>
      <c r="AB706" s="344"/>
      <c r="AC706" s="363" t="e">
        <f t="shared" ca="1" si="315"/>
        <v>#N/A</v>
      </c>
      <c r="AD706" s="376" t="e">
        <f t="shared" ca="1" si="316"/>
        <v>#N/A</v>
      </c>
      <c r="AE706" s="377" t="e">
        <f t="shared" ca="1" si="295"/>
        <v>#N/A</v>
      </c>
      <c r="AF706" s="344"/>
      <c r="AG706" s="359">
        <f t="shared" ca="1" si="317"/>
        <v>3.5228550835509003</v>
      </c>
      <c r="AH706" s="357">
        <f t="shared" ca="1" si="318"/>
        <v>-6.1950442359918609</v>
      </c>
    </row>
    <row r="707" spans="1:34" x14ac:dyDescent="0.2">
      <c r="A707" s="402">
        <f t="shared" ca="1" si="296"/>
        <v>0.1</v>
      </c>
      <c r="B707" s="357">
        <f t="shared" ca="1" si="297"/>
        <v>34.300000000000175</v>
      </c>
      <c r="C707" s="342"/>
      <c r="D707" s="359">
        <f t="shared" ca="1" si="298"/>
        <v>-0.84618297474166726</v>
      </c>
      <c r="E707" s="360">
        <f t="shared" ca="1" si="299"/>
        <v>-3.6303963402316359</v>
      </c>
      <c r="F707" s="357">
        <f t="shared" ca="1" si="300"/>
        <v>3.727707501120483</v>
      </c>
      <c r="G707" s="359">
        <f t="shared" ca="1" si="301"/>
        <v>17.226663199759415</v>
      </c>
      <c r="H707" s="360">
        <f t="shared" ca="1" si="302"/>
        <v>-126.78588397007731</v>
      </c>
      <c r="I707" s="357">
        <f t="shared" ca="1" si="303"/>
        <v>127.95084329175737</v>
      </c>
      <c r="J707" s="359">
        <f t="shared" ca="1" si="304"/>
        <v>936.37502956031881</v>
      </c>
      <c r="K707" s="360">
        <f t="shared" ca="1" si="305"/>
        <v>120.25807920819173</v>
      </c>
      <c r="L707" s="357">
        <f t="shared" ca="1" si="290"/>
        <v>944.06578245317814</v>
      </c>
      <c r="M707" s="359">
        <f t="shared" ca="1" si="306"/>
        <v>-1.4357512161740271</v>
      </c>
      <c r="N707" s="357">
        <f t="shared" ca="1" si="307"/>
        <v>-82.262485117546859</v>
      </c>
      <c r="O707" s="343"/>
      <c r="P707" s="363">
        <f t="shared" ca="1" si="308"/>
        <v>23</v>
      </c>
      <c r="Q707" s="357">
        <f t="shared" ca="1" si="309"/>
        <v>0</v>
      </c>
      <c r="R707" s="359">
        <f t="shared" ca="1" si="310"/>
        <v>0</v>
      </c>
      <c r="S707" s="360">
        <f t="shared" ca="1" si="311"/>
        <v>8.3819999999999997</v>
      </c>
      <c r="T707" s="357">
        <f t="shared" ca="1" si="291"/>
        <v>82.227419999999995</v>
      </c>
      <c r="U707" s="364">
        <f t="shared" ca="1" si="292"/>
        <v>0</v>
      </c>
      <c r="V707" s="359">
        <f t="shared" ca="1" si="293"/>
        <v>1.2103564356431125</v>
      </c>
      <c r="W707" s="357">
        <f t="shared" ca="1" si="294"/>
        <v>52.633161853119333</v>
      </c>
      <c r="X707" s="343"/>
      <c r="Y707" s="367" t="str">
        <f t="shared" ca="1" si="312"/>
        <v/>
      </c>
      <c r="Z707" s="368" t="str">
        <f t="shared" ca="1" si="313"/>
        <v/>
      </c>
      <c r="AA707" s="369" t="str">
        <f t="shared" ca="1" si="314"/>
        <v/>
      </c>
      <c r="AB707" s="344"/>
      <c r="AC707" s="363" t="e">
        <f t="shared" ca="1" si="315"/>
        <v>#N/A</v>
      </c>
      <c r="AD707" s="376" t="e">
        <f t="shared" ca="1" si="316"/>
        <v>#N/A</v>
      </c>
      <c r="AE707" s="377" t="e">
        <f t="shared" ca="1" si="295"/>
        <v>#N/A</v>
      </c>
      <c r="AF707" s="344"/>
      <c r="AG707" s="359">
        <f t="shared" ca="1" si="317"/>
        <v>3.4820342368791577</v>
      </c>
      <c r="AH707" s="357">
        <f t="shared" ca="1" si="318"/>
        <v>-6.2372691956147941</v>
      </c>
    </row>
    <row r="708" spans="1:34" x14ac:dyDescent="0.2">
      <c r="A708" s="402">
        <f t="shared" ca="1" si="296"/>
        <v>0.1</v>
      </c>
      <c r="B708" s="357">
        <f t="shared" ca="1" si="297"/>
        <v>34.400000000000176</v>
      </c>
      <c r="C708" s="342"/>
      <c r="D708" s="359">
        <f t="shared" ca="1" si="298"/>
        <v>-0.84541473722382909</v>
      </c>
      <c r="E708" s="360">
        <f t="shared" ca="1" si="299"/>
        <v>-3.5878632148708398</v>
      </c>
      <c r="F708" s="357">
        <f t="shared" ca="1" si="300"/>
        <v>3.6861210678080765</v>
      </c>
      <c r="G708" s="359">
        <f t="shared" ca="1" si="301"/>
        <v>17.142121726037033</v>
      </c>
      <c r="H708" s="360">
        <f t="shared" ca="1" si="302"/>
        <v>-127.1446702915644</v>
      </c>
      <c r="I708" s="357">
        <f t="shared" ca="1" si="303"/>
        <v>128.29504869955383</v>
      </c>
      <c r="J708" s="359">
        <f t="shared" ca="1" si="304"/>
        <v>938.0934688066086</v>
      </c>
      <c r="K708" s="360">
        <f t="shared" ca="1" si="305"/>
        <v>107.56155149510964</v>
      </c>
      <c r="L708" s="357">
        <f t="shared" ref="L708:L771" ca="1" si="319">SQRT(pos_x^2+pos_z^2)</f>
        <v>944.23982312633404</v>
      </c>
      <c r="M708" s="359">
        <f t="shared" ca="1" si="306"/>
        <v>-1.4367806944781654</v>
      </c>
      <c r="N708" s="357">
        <f t="shared" ca="1" si="307"/>
        <v>-82.321469879474265</v>
      </c>
      <c r="O708" s="343"/>
      <c r="P708" s="363">
        <f t="shared" ca="1" si="308"/>
        <v>23</v>
      </c>
      <c r="Q708" s="357">
        <f t="shared" ca="1" si="309"/>
        <v>0</v>
      </c>
      <c r="R708" s="359">
        <f t="shared" ca="1" si="310"/>
        <v>0</v>
      </c>
      <c r="S708" s="360">
        <f t="shared" ca="1" si="311"/>
        <v>8.3819999999999997</v>
      </c>
      <c r="T708" s="357">
        <f t="shared" ref="T708:T771" ca="1" si="320">m*g</f>
        <v>82.227419999999995</v>
      </c>
      <c r="U708" s="364">
        <f t="shared" ref="U708:U771" ca="1" si="321">IF(pos_xz&lt;L_rampe,Poids*COS(Beta),0)</f>
        <v>0</v>
      </c>
      <c r="V708" s="359">
        <f t="shared" ref="V708:V771" ca="1" si="322">Rho_moyen*(20000-Alt_rampe-pos_z)/(20000+Alt_rampe+pos_z)</f>
        <v>1.2118941939832868</v>
      </c>
      <c r="W708" s="357">
        <f t="shared" ref="W708:W771" ca="1" si="323">1/2*Rho*Sref*Cx*vit_xz^2</f>
        <v>52.983954392590022</v>
      </c>
      <c r="X708" s="343"/>
      <c r="Y708" s="367" t="str">
        <f t="shared" ca="1" si="312"/>
        <v/>
      </c>
      <c r="Z708" s="368" t="str">
        <f t="shared" ca="1" si="313"/>
        <v/>
      </c>
      <c r="AA708" s="369" t="str">
        <f t="shared" ca="1" si="314"/>
        <v/>
      </c>
      <c r="AB708" s="344"/>
      <c r="AC708" s="363" t="e">
        <f t="shared" ca="1" si="315"/>
        <v>#N/A</v>
      </c>
      <c r="AD708" s="376" t="e">
        <f t="shared" ca="1" si="316"/>
        <v>#N/A</v>
      </c>
      <c r="AE708" s="377" t="e">
        <f t="shared" ref="AE708:AE771" ca="1" si="324">IF(t&lt;T_para, pos_z, NA())</f>
        <v>#N/A</v>
      </c>
      <c r="AF708" s="344"/>
      <c r="AG708" s="359">
        <f t="shared" ca="1" si="317"/>
        <v>3.4413742261534646</v>
      </c>
      <c r="AH708" s="357">
        <f t="shared" ca="1" si="318"/>
        <v>-6.2793082621235188</v>
      </c>
    </row>
    <row r="709" spans="1:34" x14ac:dyDescent="0.2">
      <c r="A709" s="402">
        <f t="shared" ref="A709:A772" ca="1" si="325">IF(B708+0.01&lt;=T_ini+ROUNDUP(Temps_fin_propu,0), 0.01, IF(K708&gt;0, 0.1, 0.0001))</f>
        <v>0.1</v>
      </c>
      <c r="B709" s="357">
        <f t="shared" ref="B709:B772" ca="1" si="326">B708+pas</f>
        <v>34.500000000000178</v>
      </c>
      <c r="C709" s="342"/>
      <c r="D709" s="359">
        <f t="shared" ref="D709:D772" ca="1" si="327">IF(AND(L708&lt;L_rampe,Poussee&lt;Poids*SIN(M708)),0,(-W708+Poussee)/m*COS(M708)-U708/m*SIN(M708))</f>
        <v>-0.84460060945134219</v>
      </c>
      <c r="E709" s="360">
        <f t="shared" ref="E709:E772" ca="1" si="328">IF(AND(L708&lt;L_rampe,Poussee&lt;Poids*SIN(M708)),0,(-W708+Poussee)/m*SIN(M708)+U708/m*COS(M708)-Poids/m)</f>
        <v>-3.5455207404905584</v>
      </c>
      <c r="F709" s="357">
        <f t="shared" ref="F709:F772" ca="1" si="329">SQRT(acc_x^2+acc_z^2)</f>
        <v>3.6447314730627682</v>
      </c>
      <c r="G709" s="359">
        <f t="shared" ref="G709:G772" ca="1" si="330">G708+acc_x*pas</f>
        <v>17.057661665091899</v>
      </c>
      <c r="H709" s="360">
        <f t="shared" ref="H709:H772" ca="1" si="331">H708+acc_z*pas</f>
        <v>-127.49922236561345</v>
      </c>
      <c r="I709" s="357">
        <f t="shared" ref="I709:I772" ca="1" si="332">SQRT(vit_x^2+vit_z^2)</f>
        <v>128.6352032894452</v>
      </c>
      <c r="J709" s="359">
        <f t="shared" ref="J709:J772" ca="1" si="333">J708+0.5*(vit_x+G708)*pas*(K708&gt;=0)</f>
        <v>939.80345797616508</v>
      </c>
      <c r="K709" s="360">
        <f t="shared" ref="K709:K772" ca="1" si="334">K708+0.5*(vit_z+H708)*pas</f>
        <v>94.829356862250748</v>
      </c>
      <c r="L709" s="357">
        <f t="shared" ca="1" si="319"/>
        <v>944.57564363414838</v>
      </c>
      <c r="M709" s="359">
        <f t="shared" ref="M709:M772" ca="1" si="335">IF(AND(L708&gt;L_rampe,G709&gt;0),ATAN2(G709,H709),$M$4)</f>
        <v>-1.4377996704052922</v>
      </c>
      <c r="N709" s="357">
        <f t="shared" ref="N709:N772" ca="1" si="336">DEGREES(Beta)</f>
        <v>-82.379852899524053</v>
      </c>
      <c r="O709" s="343"/>
      <c r="P709" s="363">
        <f t="shared" ref="P709:P772" ca="1" si="337">MATCH(t-pas/2-T_ini,CdP_t)</f>
        <v>23</v>
      </c>
      <c r="Q709" s="357">
        <f t="shared" ref="Q709:Q772" ca="1" si="338">(INDEX(CdP,2,i_P+1)-INDEX(CdP,2,i_P+0))/(INDEX(CdP,1,i_P+1)-INDEX(CdP,1,i_P+0))*(t-pas/2-T_ini-INDEX(CdP,1,i_P+0))+INDEX(CdP,2,i_P+0)</f>
        <v>0</v>
      </c>
      <c r="R709" s="359">
        <f t="shared" ref="R709:R772" ca="1" si="339">Poussee/(g*ISP)</f>
        <v>0</v>
      </c>
      <c r="S709" s="360">
        <f t="shared" ref="S709:S772" ca="1" si="340">S708-Débit*pas</f>
        <v>8.3819999999999997</v>
      </c>
      <c r="T709" s="357">
        <f t="shared" ca="1" si="320"/>
        <v>82.227419999999995</v>
      </c>
      <c r="U709" s="364">
        <f t="shared" ca="1" si="321"/>
        <v>0</v>
      </c>
      <c r="V709" s="359">
        <f t="shared" ca="1" si="322"/>
        <v>1.2134382235755006</v>
      </c>
      <c r="W709" s="357">
        <f t="shared" ca="1" si="323"/>
        <v>53.333147792719465</v>
      </c>
      <c r="X709" s="343"/>
      <c r="Y709" s="367" t="str">
        <f t="shared" ref="Y709:Y772" ca="1" si="341">IF(AND(pos_z&lt;=0,K708&gt;0),"Impact balistique","") &amp; IF(AND(H710&lt;0,vit_z&gt;=0),"Apogée","") &amp; IF(AND(Poussee=0,Q708&gt;0),"Fin de propulsion","") &amp; IF(AND(L710&gt;L_rampe,pos_xz&lt;=L_rampe),"Sortie de rampe","")</f>
        <v/>
      </c>
      <c r="Z709" s="368" t="str">
        <f t="shared" ref="Z709:Z772" ca="1" si="342">IF(ABS(t-T_para)&lt;pas/2,"Para","")</f>
        <v/>
      </c>
      <c r="AA709" s="369" t="str">
        <f t="shared" ref="AA709:AA772" ca="1" si="343">IF(ABS(t-T_satellite)&lt;pas/2,"Satellite","")</f>
        <v/>
      </c>
      <c r="AB709" s="344"/>
      <c r="AC709" s="363" t="e">
        <f t="shared" ref="AC709:AC772" ca="1" si="344">IF(ABS(t-ROUND(t,0))&lt;0.001,t,NA())</f>
        <v>#N/A</v>
      </c>
      <c r="AD709" s="376" t="e">
        <f t="shared" ref="AD709:AD772" ca="1" si="345">IF(ABS(t-ROUND(t,0))&lt;0.001,pos_x,NA())</f>
        <v>#N/A</v>
      </c>
      <c r="AE709" s="377" t="e">
        <f t="shared" ca="1" si="324"/>
        <v>#N/A</v>
      </c>
      <c r="AF709" s="344"/>
      <c r="AG709" s="359">
        <f t="shared" ref="AG709:AG772" ca="1" si="346">IF(AND(L708&lt;L_rampe,Poussee&lt;Poids*SIN(M708)),0,(-W708+Poussee)/m-Poids*SIN(M708)/m)</f>
        <v>3.4008780816339677</v>
      </c>
      <c r="AH709" s="357">
        <f t="shared" ref="AH709:AH772" ca="1" si="347">IF(AND(L708&lt;L_rampe,Poussee&lt;Poids*SIN(M708)), g*SIN(M708), (-W708+Poussee)/m)</f>
        <v>-6.3211589587914609</v>
      </c>
    </row>
    <row r="710" spans="1:34" x14ac:dyDescent="0.2">
      <c r="A710" s="402">
        <f t="shared" ca="1" si="325"/>
        <v>0.1</v>
      </c>
      <c r="B710" s="357">
        <f t="shared" ca="1" si="326"/>
        <v>34.600000000000179</v>
      </c>
      <c r="C710" s="342"/>
      <c r="D710" s="359">
        <f t="shared" ca="1" si="327"/>
        <v>-0.84374112836062909</v>
      </c>
      <c r="E710" s="360">
        <f t="shared" ca="1" si="328"/>
        <v>-3.50337135089167</v>
      </c>
      <c r="F710" s="357">
        <f t="shared" ca="1" si="329"/>
        <v>3.6035413018218332</v>
      </c>
      <c r="G710" s="359">
        <f t="shared" ca="1" si="330"/>
        <v>16.973287552255837</v>
      </c>
      <c r="H710" s="360">
        <f t="shared" ca="1" si="331"/>
        <v>-127.84955950070261</v>
      </c>
      <c r="I710" s="357">
        <f t="shared" ca="1" si="332"/>
        <v>128.9713237694925</v>
      </c>
      <c r="J710" s="359">
        <f t="shared" ca="1" si="333"/>
        <v>941.50500543703242</v>
      </c>
      <c r="K710" s="360">
        <f t="shared" ca="1" si="334"/>
        <v>82.061917768934947</v>
      </c>
      <c r="L710" s="357">
        <f t="shared" ca="1" si="319"/>
        <v>945.07451220044118</v>
      </c>
      <c r="M710" s="359">
        <f t="shared" ca="1" si="335"/>
        <v>-1.4388083090007322</v>
      </c>
      <c r="N710" s="357">
        <f t="shared" ca="1" si="336"/>
        <v>-82.437643634096773</v>
      </c>
      <c r="O710" s="343"/>
      <c r="P710" s="363">
        <f t="shared" ca="1" si="337"/>
        <v>23</v>
      </c>
      <c r="Q710" s="357">
        <f t="shared" ca="1" si="338"/>
        <v>0</v>
      </c>
      <c r="R710" s="359">
        <f t="shared" ca="1" si="339"/>
        <v>0</v>
      </c>
      <c r="S710" s="360">
        <f t="shared" ca="1" si="340"/>
        <v>8.3819999999999997</v>
      </c>
      <c r="T710" s="357">
        <f t="shared" ca="1" si="320"/>
        <v>82.227419999999995</v>
      </c>
      <c r="U710" s="364">
        <f t="shared" ca="1" si="321"/>
        <v>0</v>
      </c>
      <c r="V710" s="359">
        <f t="shared" ca="1" si="322"/>
        <v>1.2149884932455073</v>
      </c>
      <c r="W710" s="357">
        <f t="shared" ca="1" si="323"/>
        <v>53.680722363944383</v>
      </c>
      <c r="X710" s="343"/>
      <c r="Y710" s="367" t="str">
        <f t="shared" ca="1" si="341"/>
        <v/>
      </c>
      <c r="Z710" s="368" t="str">
        <f t="shared" ca="1" si="342"/>
        <v/>
      </c>
      <c r="AA710" s="369" t="str">
        <f t="shared" ca="1" si="343"/>
        <v/>
      </c>
      <c r="AB710" s="344"/>
      <c r="AC710" s="363" t="e">
        <f t="shared" ca="1" si="344"/>
        <v>#N/A</v>
      </c>
      <c r="AD710" s="376" t="e">
        <f t="shared" ca="1" si="345"/>
        <v>#N/A</v>
      </c>
      <c r="AE710" s="377" t="e">
        <f t="shared" ca="1" si="324"/>
        <v>#N/A</v>
      </c>
      <c r="AF710" s="344"/>
      <c r="AG710" s="359">
        <f t="shared" ca="1" si="346"/>
        <v>3.3605487544763584</v>
      </c>
      <c r="AH710" s="357">
        <f t="shared" ca="1" si="347"/>
        <v>-6.3628188729085497</v>
      </c>
    </row>
    <row r="711" spans="1:34" x14ac:dyDescent="0.2">
      <c r="A711" s="402">
        <f t="shared" ca="1" si="325"/>
        <v>0.1</v>
      </c>
      <c r="B711" s="357">
        <f t="shared" ca="1" si="326"/>
        <v>34.70000000000018</v>
      </c>
      <c r="C711" s="342"/>
      <c r="D711" s="359">
        <f t="shared" ca="1" si="327"/>
        <v>-0.84283683240271634</v>
      </c>
      <c r="E711" s="360">
        <f t="shared" ca="1" si="328"/>
        <v>-3.461417415635939</v>
      </c>
      <c r="F711" s="357">
        <f t="shared" ca="1" si="329"/>
        <v>3.5625530804919143</v>
      </c>
      <c r="G711" s="359">
        <f t="shared" ca="1" si="330"/>
        <v>16.889003869015564</v>
      </c>
      <c r="H711" s="360">
        <f t="shared" ca="1" si="331"/>
        <v>-128.19570124226621</v>
      </c>
      <c r="I711" s="357">
        <f t="shared" ca="1" si="332"/>
        <v>129.3034271343339</v>
      </c>
      <c r="J711" s="359">
        <f t="shared" ca="1" si="333"/>
        <v>943.198120008096</v>
      </c>
      <c r="K711" s="360">
        <f t="shared" ca="1" si="334"/>
        <v>69.259654731786497</v>
      </c>
      <c r="L711" s="357">
        <f t="shared" ca="1" si="319"/>
        <v>945.73759223178445</v>
      </c>
      <c r="M711" s="359">
        <f t="shared" ca="1" si="335"/>
        <v>-1.4398067717230492</v>
      </c>
      <c r="N711" s="357">
        <f t="shared" ca="1" si="336"/>
        <v>-82.494851334086675</v>
      </c>
      <c r="O711" s="343"/>
      <c r="P711" s="363">
        <f t="shared" ca="1" si="337"/>
        <v>23</v>
      </c>
      <c r="Q711" s="357">
        <f t="shared" ca="1" si="338"/>
        <v>0</v>
      </c>
      <c r="R711" s="359">
        <f t="shared" ca="1" si="339"/>
        <v>0</v>
      </c>
      <c r="S711" s="360">
        <f t="shared" ca="1" si="340"/>
        <v>8.3819999999999997</v>
      </c>
      <c r="T711" s="357">
        <f t="shared" ca="1" si="320"/>
        <v>82.227419999999995</v>
      </c>
      <c r="U711" s="364">
        <f t="shared" ca="1" si="321"/>
        <v>0</v>
      </c>
      <c r="V711" s="359">
        <f t="shared" ca="1" si="322"/>
        <v>1.2165449719116632</v>
      </c>
      <c r="W711" s="357">
        <f t="shared" ca="1" si="323"/>
        <v>54.026658947528702</v>
      </c>
      <c r="X711" s="343"/>
      <c r="Y711" s="367" t="str">
        <f t="shared" ca="1" si="341"/>
        <v/>
      </c>
      <c r="Z711" s="368" t="str">
        <f t="shared" ca="1" si="342"/>
        <v/>
      </c>
      <c r="AA711" s="369" t="str">
        <f t="shared" ca="1" si="343"/>
        <v/>
      </c>
      <c r="AB711" s="344"/>
      <c r="AC711" s="363" t="e">
        <f t="shared" ca="1" si="344"/>
        <v>#N/A</v>
      </c>
      <c r="AD711" s="376" t="e">
        <f t="shared" ca="1" si="345"/>
        <v>#N/A</v>
      </c>
      <c r="AE711" s="377" t="e">
        <f t="shared" ca="1" si="324"/>
        <v>#N/A</v>
      </c>
      <c r="AF711" s="344"/>
      <c r="AG711" s="359">
        <f t="shared" ca="1" si="346"/>
        <v>3.3203891175567515</v>
      </c>
      <c r="AH711" s="357">
        <f t="shared" ca="1" si="347"/>
        <v>-6.4042856554455243</v>
      </c>
    </row>
    <row r="712" spans="1:34" x14ac:dyDescent="0.2">
      <c r="A712" s="402">
        <f t="shared" ca="1" si="325"/>
        <v>0.1</v>
      </c>
      <c r="B712" s="357">
        <f t="shared" ca="1" si="326"/>
        <v>34.800000000000182</v>
      </c>
      <c r="C712" s="342"/>
      <c r="D712" s="359">
        <f t="shared" ca="1" si="327"/>
        <v>-0.84188826138004458</v>
      </c>
      <c r="E712" s="360">
        <f t="shared" ca="1" si="328"/>
        <v>-3.4196612403974775</v>
      </c>
      <c r="F712" s="357">
        <f t="shared" ca="1" si="329"/>
        <v>3.5217692774692564</v>
      </c>
      <c r="G712" s="359">
        <f t="shared" ca="1" si="330"/>
        <v>16.804815042877561</v>
      </c>
      <c r="H712" s="360">
        <f t="shared" ca="1" si="331"/>
        <v>-128.53766736630595</v>
      </c>
      <c r="I712" s="357">
        <f t="shared" ca="1" si="332"/>
        <v>129.63153065746172</v>
      </c>
      <c r="J712" s="359">
        <f t="shared" ca="1" si="333"/>
        <v>944.88281095369064</v>
      </c>
      <c r="K712" s="360">
        <f t="shared" ca="1" si="334"/>
        <v>56.422986301357888</v>
      </c>
      <c r="L712" s="357">
        <f t="shared" ca="1" si="319"/>
        <v>946.56594055507355</v>
      </c>
      <c r="M712" s="359">
        <f t="shared" ca="1" si="335"/>
        <v>-1.4407952165397364</v>
      </c>
      <c r="N712" s="357">
        <f t="shared" ca="1" si="336"/>
        <v>-82.551485050364434</v>
      </c>
      <c r="O712" s="343"/>
      <c r="P712" s="363">
        <f t="shared" ca="1" si="337"/>
        <v>23</v>
      </c>
      <c r="Q712" s="357">
        <f t="shared" ca="1" si="338"/>
        <v>0</v>
      </c>
      <c r="R712" s="359">
        <f t="shared" ca="1" si="339"/>
        <v>0</v>
      </c>
      <c r="S712" s="360">
        <f t="shared" ca="1" si="340"/>
        <v>8.3819999999999997</v>
      </c>
      <c r="T712" s="357">
        <f t="shared" ca="1" si="320"/>
        <v>82.227419999999995</v>
      </c>
      <c r="U712" s="364">
        <f t="shared" ca="1" si="321"/>
        <v>0</v>
      </c>
      <c r="V712" s="359">
        <f t="shared" ca="1" si="322"/>
        <v>1.218107628586975</v>
      </c>
      <c r="W712" s="357">
        <f t="shared" ca="1" si="323"/>
        <v>54.370938912490502</v>
      </c>
      <c r="X712" s="343"/>
      <c r="Y712" s="367" t="str">
        <f t="shared" ca="1" si="341"/>
        <v/>
      </c>
      <c r="Z712" s="368" t="str">
        <f t="shared" ca="1" si="342"/>
        <v/>
      </c>
      <c r="AA712" s="369" t="str">
        <f t="shared" ca="1" si="343"/>
        <v/>
      </c>
      <c r="AB712" s="344"/>
      <c r="AC712" s="363" t="e">
        <f t="shared" ca="1" si="344"/>
        <v>#N/A</v>
      </c>
      <c r="AD712" s="376" t="e">
        <f t="shared" ca="1" si="345"/>
        <v>#N/A</v>
      </c>
      <c r="AE712" s="377" t="e">
        <f t="shared" ca="1" si="324"/>
        <v>#N/A</v>
      </c>
      <c r="AF712" s="344"/>
      <c r="AG712" s="359">
        <f t="shared" ca="1" si="346"/>
        <v>3.2804019662940318</v>
      </c>
      <c r="AH712" s="357">
        <f t="shared" ca="1" si="347"/>
        <v>-6.4455570207025419</v>
      </c>
    </row>
    <row r="713" spans="1:34" x14ac:dyDescent="0.2">
      <c r="A713" s="402">
        <f t="shared" ca="1" si="325"/>
        <v>0.1</v>
      </c>
      <c r="B713" s="357">
        <f t="shared" ca="1" si="326"/>
        <v>34.900000000000183</v>
      </c>
      <c r="C713" s="342"/>
      <c r="D713" s="359">
        <f t="shared" ca="1" si="327"/>
        <v>-0.8408959562858721</v>
      </c>
      <c r="E713" s="360">
        <f t="shared" ca="1" si="328"/>
        <v>-3.3781050673297424</v>
      </c>
      <c r="F713" s="357">
        <f t="shared" ca="1" si="329"/>
        <v>3.4811923036822905</v>
      </c>
      <c r="G713" s="359">
        <f t="shared" ca="1" si="330"/>
        <v>16.720725447248974</v>
      </c>
      <c r="H713" s="360">
        <f t="shared" ca="1" si="331"/>
        <v>-128.87547787303893</v>
      </c>
      <c r="I713" s="357">
        <f t="shared" ca="1" si="332"/>
        <v>129.95565188358074</v>
      </c>
      <c r="J713" s="359">
        <f t="shared" ca="1" si="333"/>
        <v>946.559087978197</v>
      </c>
      <c r="K713" s="360">
        <f t="shared" ca="1" si="334"/>
        <v>43.552329039390642</v>
      </c>
      <c r="L713" s="357">
        <f t="shared" ca="1" si="319"/>
        <v>947.56050593029227</v>
      </c>
      <c r="M713" s="359">
        <f t="shared" ca="1" si="335"/>
        <v>-1.4417737980199077</v>
      </c>
      <c r="N713" s="357">
        <f t="shared" ca="1" si="336"/>
        <v>-82.607553639087911</v>
      </c>
      <c r="O713" s="343"/>
      <c r="P713" s="363">
        <f t="shared" ca="1" si="337"/>
        <v>23</v>
      </c>
      <c r="Q713" s="357">
        <f t="shared" ca="1" si="338"/>
        <v>0</v>
      </c>
      <c r="R713" s="359">
        <f t="shared" ca="1" si="339"/>
        <v>0</v>
      </c>
      <c r="S713" s="360">
        <f t="shared" ca="1" si="340"/>
        <v>8.3819999999999997</v>
      </c>
      <c r="T713" s="357">
        <f t="shared" ca="1" si="320"/>
        <v>82.227419999999995</v>
      </c>
      <c r="U713" s="364">
        <f t="shared" ca="1" si="321"/>
        <v>0</v>
      </c>
      <c r="V713" s="359">
        <f t="shared" ca="1" si="322"/>
        <v>1.2196764323811049</v>
      </c>
      <c r="W713" s="357">
        <f t="shared" ca="1" si="323"/>
        <v>54.71354415240463</v>
      </c>
      <c r="X713" s="343"/>
      <c r="Y713" s="367" t="str">
        <f t="shared" ca="1" si="341"/>
        <v/>
      </c>
      <c r="Z713" s="368" t="str">
        <f t="shared" ca="1" si="342"/>
        <v/>
      </c>
      <c r="AA713" s="369" t="str">
        <f t="shared" ca="1" si="343"/>
        <v/>
      </c>
      <c r="AB713" s="344"/>
      <c r="AC713" s="363" t="e">
        <f t="shared" ca="1" si="344"/>
        <v>#N/A</v>
      </c>
      <c r="AD713" s="376" t="e">
        <f t="shared" ca="1" si="345"/>
        <v>#N/A</v>
      </c>
      <c r="AE713" s="377" t="e">
        <f t="shared" ca="1" si="324"/>
        <v>#N/A</v>
      </c>
      <c r="AF713" s="344"/>
      <c r="AG713" s="359">
        <f t="shared" ca="1" si="346"/>
        <v>3.240590019469888</v>
      </c>
      <c r="AH713" s="357">
        <f t="shared" ca="1" si="347"/>
        <v>-6.4866307459425556</v>
      </c>
    </row>
    <row r="714" spans="1:34" x14ac:dyDescent="0.2">
      <c r="A714" s="402">
        <f t="shared" ca="1" si="325"/>
        <v>0.1</v>
      </c>
      <c r="B714" s="357">
        <f t="shared" ca="1" si="326"/>
        <v>35.000000000000185</v>
      </c>
      <c r="C714" s="342"/>
      <c r="D714" s="359">
        <f t="shared" ca="1" si="327"/>
        <v>-0.83986045914622465</v>
      </c>
      <c r="E714" s="360">
        <f t="shared" ca="1" si="328"/>
        <v>-3.3367510754476468</v>
      </c>
      <c r="F714" s="357">
        <f t="shared" ca="1" si="329"/>
        <v>3.4408245131564521</v>
      </c>
      <c r="G714" s="359">
        <f t="shared" ca="1" si="330"/>
        <v>16.636739401334353</v>
      </c>
      <c r="H714" s="360">
        <f t="shared" ca="1" si="331"/>
        <v>-129.2091529805837</v>
      </c>
      <c r="I714" s="357">
        <f t="shared" ca="1" si="332"/>
        <v>130.2758086210475</v>
      </c>
      <c r="J714" s="359">
        <f t="shared" ca="1" si="333"/>
        <v>948.22696122062621</v>
      </c>
      <c r="K714" s="360">
        <f t="shared" ca="1" si="334"/>
        <v>30.648097496709511</v>
      </c>
      <c r="L714" s="357">
        <f t="shared" ca="1" si="319"/>
        <v>948.7221278466476</v>
      </c>
      <c r="M714" s="359">
        <f t="shared" ca="1" si="335"/>
        <v>-1.4427426674240902</v>
      </c>
      <c r="N714" s="357">
        <f t="shared" ca="1" si="336"/>
        <v>-82.663065766846927</v>
      </c>
      <c r="O714" s="343"/>
      <c r="P714" s="363">
        <f t="shared" ca="1" si="337"/>
        <v>23</v>
      </c>
      <c r="Q714" s="357">
        <f t="shared" ca="1" si="338"/>
        <v>0</v>
      </c>
      <c r="R714" s="359">
        <f t="shared" ca="1" si="339"/>
        <v>0</v>
      </c>
      <c r="S714" s="360">
        <f t="shared" ca="1" si="340"/>
        <v>8.3819999999999997</v>
      </c>
      <c r="T714" s="357">
        <f t="shared" ca="1" si="320"/>
        <v>82.227419999999995</v>
      </c>
      <c r="U714" s="364">
        <f t="shared" ca="1" si="321"/>
        <v>0</v>
      </c>
      <c r="V714" s="359">
        <f t="shared" ca="1" si="322"/>
        <v>1.2212513525023527</v>
      </c>
      <c r="W714" s="357">
        <f t="shared" ca="1" si="323"/>
        <v>55.054457082085207</v>
      </c>
      <c r="X714" s="343"/>
      <c r="Y714" s="367" t="str">
        <f t="shared" ca="1" si="341"/>
        <v/>
      </c>
      <c r="Z714" s="368" t="str">
        <f t="shared" ca="1" si="342"/>
        <v/>
      </c>
      <c r="AA714" s="369" t="str">
        <f t="shared" ca="1" si="343"/>
        <v/>
      </c>
      <c r="AB714" s="344"/>
      <c r="AC714" s="363">
        <f t="shared" ca="1" si="344"/>
        <v>35.000000000000185</v>
      </c>
      <c r="AD714" s="376">
        <f t="shared" ca="1" si="345"/>
        <v>948.22696122062621</v>
      </c>
      <c r="AE714" s="377" t="e">
        <f t="shared" ca="1" si="324"/>
        <v>#N/A</v>
      </c>
      <c r="AF714" s="344"/>
      <c r="AG714" s="359">
        <f t="shared" ca="1" si="346"/>
        <v>3.200955920046944</v>
      </c>
      <c r="AH714" s="357">
        <f t="shared" ca="1" si="347"/>
        <v>-6.5275046710098579</v>
      </c>
    </row>
    <row r="715" spans="1:34" x14ac:dyDescent="0.2">
      <c r="A715" s="402">
        <f t="shared" ca="1" si="325"/>
        <v>0.1</v>
      </c>
      <c r="B715" s="357">
        <f t="shared" ca="1" si="326"/>
        <v>35.100000000000186</v>
      </c>
      <c r="C715" s="342"/>
      <c r="D715" s="359">
        <f t="shared" ca="1" si="327"/>
        <v>-0.83878231286445737</v>
      </c>
      <c r="E715" s="360">
        <f t="shared" ca="1" si="328"/>
        <v>-3.2956013810242837</v>
      </c>
      <c r="F715" s="357">
        <f t="shared" ca="1" si="329"/>
        <v>3.4006682036010827</v>
      </c>
      <c r="G715" s="359">
        <f t="shared" ca="1" si="330"/>
        <v>16.552861170047908</v>
      </c>
      <c r="H715" s="360">
        <f t="shared" ca="1" si="331"/>
        <v>-129.53871311868613</v>
      </c>
      <c r="I715" s="357">
        <f t="shared" ca="1" si="332"/>
        <v>130.59201893439027</v>
      </c>
      <c r="J715" s="359">
        <f t="shared" ca="1" si="333"/>
        <v>949.88644124919529</v>
      </c>
      <c r="K715" s="360">
        <f t="shared" ca="1" si="334"/>
        <v>17.710704191746018</v>
      </c>
      <c r="L715" s="357">
        <f t="shared" ca="1" si="319"/>
        <v>950.05153560847862</v>
      </c>
      <c r="M715" s="359">
        <f t="shared" ca="1" si="335"/>
        <v>-1.4437019727912304</v>
      </c>
      <c r="N715" s="357">
        <f t="shared" ca="1" si="336"/>
        <v>-82.718029915648316</v>
      </c>
      <c r="O715" s="343"/>
      <c r="P715" s="363">
        <f t="shared" ca="1" si="337"/>
        <v>23</v>
      </c>
      <c r="Q715" s="357">
        <f t="shared" ca="1" si="338"/>
        <v>0</v>
      </c>
      <c r="R715" s="359">
        <f t="shared" ca="1" si="339"/>
        <v>0</v>
      </c>
      <c r="S715" s="360">
        <f t="shared" ca="1" si="340"/>
        <v>8.3819999999999997</v>
      </c>
      <c r="T715" s="357">
        <f t="shared" ca="1" si="320"/>
        <v>82.227419999999995</v>
      </c>
      <c r="U715" s="364">
        <f t="shared" ca="1" si="321"/>
        <v>0</v>
      </c>
      <c r="V715" s="359">
        <f t="shared" ca="1" si="322"/>
        <v>1.2228323582595944</v>
      </c>
      <c r="W715" s="357">
        <f t="shared" ca="1" si="323"/>
        <v>55.393660634150592</v>
      </c>
      <c r="X715" s="343"/>
      <c r="Y715" s="367" t="str">
        <f t="shared" ca="1" si="341"/>
        <v/>
      </c>
      <c r="Z715" s="368" t="str">
        <f t="shared" ca="1" si="342"/>
        <v/>
      </c>
      <c r="AA715" s="369" t="str">
        <f t="shared" ca="1" si="343"/>
        <v/>
      </c>
      <c r="AB715" s="344"/>
      <c r="AC715" s="363" t="e">
        <f t="shared" ca="1" si="344"/>
        <v>#N/A</v>
      </c>
      <c r="AD715" s="376" t="e">
        <f t="shared" ca="1" si="345"/>
        <v>#N/A</v>
      </c>
      <c r="AE715" s="377" t="e">
        <f t="shared" ca="1" si="324"/>
        <v>#N/A</v>
      </c>
      <c r="AF715" s="344"/>
      <c r="AG715" s="359">
        <f t="shared" ca="1" si="346"/>
        <v>3.1615022359851483</v>
      </c>
      <c r="AH715" s="357">
        <f t="shared" ca="1" si="347"/>
        <v>-6.5681766979342893</v>
      </c>
    </row>
    <row r="716" spans="1:34" x14ac:dyDescent="0.2">
      <c r="A716" s="402">
        <f t="shared" ca="1" si="325"/>
        <v>0.1</v>
      </c>
      <c r="B716" s="357">
        <f t="shared" ca="1" si="326"/>
        <v>35.200000000000188</v>
      </c>
      <c r="C716" s="342"/>
      <c r="D716" s="359">
        <f t="shared" ca="1" si="327"/>
        <v>-0.83766206106837449</v>
      </c>
      <c r="E716" s="360">
        <f t="shared" ca="1" si="328"/>
        <v>-3.2546580380019341</v>
      </c>
      <c r="F716" s="357">
        <f t="shared" ca="1" si="329"/>
        <v>3.3607256170184314</v>
      </c>
      <c r="G716" s="359">
        <f t="shared" ca="1" si="330"/>
        <v>16.469094963941071</v>
      </c>
      <c r="H716" s="360">
        <f t="shared" ca="1" si="331"/>
        <v>-129.86417892248633</v>
      </c>
      <c r="I716" s="357">
        <f t="shared" ca="1" si="332"/>
        <v>130.90430113691014</v>
      </c>
      <c r="J716" s="359">
        <f t="shared" ca="1" si="333"/>
        <v>951.53753905589474</v>
      </c>
      <c r="K716" s="360">
        <f t="shared" ca="1" si="334"/>
        <v>4.7405595896873951</v>
      </c>
      <c r="L716" s="357">
        <f t="shared" ca="1" si="319"/>
        <v>951.54934771548858</v>
      </c>
      <c r="M716" s="359">
        <f t="shared" ca="1" si="335"/>
        <v>-1.444651859023006</v>
      </c>
      <c r="N716" s="357">
        <f t="shared" ca="1" si="336"/>
        <v>-82.772454387746635</v>
      </c>
      <c r="O716" s="343"/>
      <c r="P716" s="363">
        <f t="shared" ca="1" si="337"/>
        <v>23</v>
      </c>
      <c r="Q716" s="357">
        <f t="shared" ca="1" si="338"/>
        <v>0</v>
      </c>
      <c r="R716" s="359">
        <f t="shared" ca="1" si="339"/>
        <v>0</v>
      </c>
      <c r="S716" s="360">
        <f t="shared" ca="1" si="340"/>
        <v>8.3819999999999997</v>
      </c>
      <c r="T716" s="357">
        <f t="shared" ca="1" si="320"/>
        <v>82.227419999999995</v>
      </c>
      <c r="U716" s="364">
        <f t="shared" ca="1" si="321"/>
        <v>0</v>
      </c>
      <c r="V716" s="359">
        <f t="shared" ca="1" si="322"/>
        <v>1.2244194190641893</v>
      </c>
      <c r="W716" s="357">
        <f t="shared" ca="1" si="323"/>
        <v>55.731138255475614</v>
      </c>
      <c r="X716" s="343"/>
      <c r="Y716" s="367" t="str">
        <f t="shared" ca="1" si="341"/>
        <v/>
      </c>
      <c r="Z716" s="368" t="str">
        <f t="shared" ca="1" si="342"/>
        <v/>
      </c>
      <c r="AA716" s="369" t="str">
        <f t="shared" ca="1" si="343"/>
        <v/>
      </c>
      <c r="AB716" s="344"/>
      <c r="AC716" s="363" t="e">
        <f t="shared" ca="1" si="344"/>
        <v>#N/A</v>
      </c>
      <c r="AD716" s="376" t="e">
        <f t="shared" ca="1" si="345"/>
        <v>#N/A</v>
      </c>
      <c r="AE716" s="377" t="e">
        <f t="shared" ca="1" si="324"/>
        <v>#N/A</v>
      </c>
      <c r="AF716" s="344"/>
      <c r="AG716" s="359">
        <f t="shared" ca="1" si="346"/>
        <v>3.1222314610567885</v>
      </c>
      <c r="AH716" s="357">
        <f t="shared" ca="1" si="347"/>
        <v>-6.6086447905214261</v>
      </c>
    </row>
    <row r="717" spans="1:34" x14ac:dyDescent="0.2">
      <c r="A717" s="402">
        <f t="shared" ca="1" si="325"/>
        <v>0.1</v>
      </c>
      <c r="B717" s="357">
        <f t="shared" ca="1" si="326"/>
        <v>35.300000000000189</v>
      </c>
      <c r="C717" s="342"/>
      <c r="D717" s="359">
        <f t="shared" ca="1" si="327"/>
        <v>-0.83650024795997124</v>
      </c>
      <c r="E717" s="360">
        <f t="shared" ca="1" si="328"/>
        <v>-3.2139230384167785</v>
      </c>
      <c r="F717" s="357">
        <f t="shared" ca="1" si="329"/>
        <v>3.3209989403345541</v>
      </c>
      <c r="G717" s="359">
        <f t="shared" ca="1" si="330"/>
        <v>16.385444939145074</v>
      </c>
      <c r="H717" s="360">
        <f t="shared" ca="1" si="331"/>
        <v>-130.18557122632802</v>
      </c>
      <c r="I717" s="357">
        <f t="shared" ca="1" si="332"/>
        <v>131.21267378336242</v>
      </c>
      <c r="J717" s="359">
        <f t="shared" ca="1" si="333"/>
        <v>953.1802660510491</v>
      </c>
      <c r="K717" s="360">
        <f t="shared" ca="1" si="334"/>
        <v>-8.261927917753324</v>
      </c>
      <c r="L717" s="357">
        <f t="shared" ca="1" si="319"/>
        <v>953.21607153995626</v>
      </c>
      <c r="M717" s="359">
        <f t="shared" ca="1" si="335"/>
        <v>-1.4455924679655447</v>
      </c>
      <c r="N717" s="357">
        <f t="shared" ca="1" si="336"/>
        <v>-82.826347310326369</v>
      </c>
      <c r="O717" s="343"/>
      <c r="P717" s="363">
        <f t="shared" ca="1" si="337"/>
        <v>23</v>
      </c>
      <c r="Q717" s="357">
        <f t="shared" ca="1" si="338"/>
        <v>0</v>
      </c>
      <c r="R717" s="359">
        <f t="shared" ca="1" si="339"/>
        <v>0</v>
      </c>
      <c r="S717" s="360">
        <f t="shared" ca="1" si="340"/>
        <v>8.3819999999999997</v>
      </c>
      <c r="T717" s="357">
        <f t="shared" ca="1" si="320"/>
        <v>82.227419999999995</v>
      </c>
      <c r="U717" s="364">
        <f t="shared" ca="1" si="321"/>
        <v>0</v>
      </c>
      <c r="V717" s="359">
        <f t="shared" ca="1" si="322"/>
        <v>1.2260125044318564</v>
      </c>
      <c r="W717" s="357">
        <f t="shared" ca="1" si="323"/>
        <v>56.066873903533782</v>
      </c>
      <c r="X717" s="343"/>
      <c r="Y717" s="367" t="str">
        <f t="shared" ca="1" si="341"/>
        <v>Impact balistique</v>
      </c>
      <c r="Z717" s="368" t="str">
        <f t="shared" ca="1" si="342"/>
        <v/>
      </c>
      <c r="AA717" s="369" t="str">
        <f t="shared" ca="1" si="343"/>
        <v/>
      </c>
      <c r="AB717" s="344"/>
      <c r="AC717" s="363" t="e">
        <f t="shared" ca="1" si="344"/>
        <v>#N/A</v>
      </c>
      <c r="AD717" s="376" t="e">
        <f t="shared" ca="1" si="345"/>
        <v>#N/A</v>
      </c>
      <c r="AE717" s="377" t="e">
        <f t="shared" ca="1" si="324"/>
        <v>#N/A</v>
      </c>
      <c r="AF717" s="344"/>
      <c r="AG717" s="359">
        <f t="shared" ca="1" si="346"/>
        <v>3.0831460156601764</v>
      </c>
      <c r="AH717" s="357">
        <f t="shared" ca="1" si="347"/>
        <v>-6.6489069739293267</v>
      </c>
    </row>
    <row r="718" spans="1:34" x14ac:dyDescent="0.2">
      <c r="A718" s="402">
        <f t="shared" ca="1" si="325"/>
        <v>1E-4</v>
      </c>
      <c r="B718" s="357">
        <f t="shared" ca="1" si="326"/>
        <v>35.300100000000192</v>
      </c>
      <c r="C718" s="342"/>
      <c r="D718" s="359">
        <f t="shared" ca="1" si="327"/>
        <v>-0.83529741816775893</v>
      </c>
      <c r="E718" s="360">
        <f t="shared" ca="1" si="328"/>
        <v>-3.1733983128369934</v>
      </c>
      <c r="F718" s="357">
        <f t="shared" ca="1" si="329"/>
        <v>3.2814903060521754</v>
      </c>
      <c r="G718" s="359">
        <f t="shared" ca="1" si="330"/>
        <v>16.385361409403256</v>
      </c>
      <c r="H718" s="360">
        <f t="shared" ca="1" si="331"/>
        <v>-130.18588856615929</v>
      </c>
      <c r="I718" s="357">
        <f t="shared" ca="1" si="332"/>
        <v>131.21297820824435</v>
      </c>
      <c r="J718" s="359">
        <f t="shared" ca="1" si="333"/>
        <v>953.1802660510491</v>
      </c>
      <c r="K718" s="360">
        <f t="shared" ca="1" si="334"/>
        <v>-8.2749464907429484</v>
      </c>
      <c r="L718" s="357">
        <f t="shared" ca="1" si="319"/>
        <v>953.21618446634307</v>
      </c>
      <c r="M718" s="359">
        <f t="shared" ca="1" si="335"/>
        <v>-1.4455934015952643</v>
      </c>
      <c r="N718" s="357">
        <f t="shared" ca="1" si="336"/>
        <v>-82.826400803368927</v>
      </c>
      <c r="O718" s="343"/>
      <c r="P718" s="363">
        <f t="shared" ca="1" si="337"/>
        <v>23</v>
      </c>
      <c r="Q718" s="357">
        <f t="shared" ca="1" si="338"/>
        <v>0</v>
      </c>
      <c r="R718" s="359">
        <f t="shared" ca="1" si="339"/>
        <v>0</v>
      </c>
      <c r="S718" s="360">
        <f t="shared" ca="1" si="340"/>
        <v>8.3819999999999997</v>
      </c>
      <c r="T718" s="357">
        <f t="shared" ca="1" si="320"/>
        <v>82.227419999999995</v>
      </c>
      <c r="U718" s="364">
        <f t="shared" ca="1" si="321"/>
        <v>0</v>
      </c>
      <c r="V718" s="359">
        <f t="shared" ca="1" si="322"/>
        <v>1.2260141005264957</v>
      </c>
      <c r="W718" s="357">
        <f t="shared" ca="1" si="323"/>
        <v>56.067207055407891</v>
      </c>
      <c r="X718" s="343"/>
      <c r="Y718" s="367" t="str">
        <f t="shared" ca="1" si="341"/>
        <v/>
      </c>
      <c r="Z718" s="368" t="str">
        <f t="shared" ca="1" si="342"/>
        <v/>
      </c>
      <c r="AA718" s="369" t="str">
        <f t="shared" ca="1" si="343"/>
        <v/>
      </c>
      <c r="AB718" s="344"/>
      <c r="AC718" s="363" t="e">
        <f t="shared" ca="1" si="344"/>
        <v>#N/A</v>
      </c>
      <c r="AD718" s="376" t="e">
        <f t="shared" ca="1" si="345"/>
        <v>#N/A</v>
      </c>
      <c r="AE718" s="377" t="e">
        <f t="shared" ca="1" si="324"/>
        <v>#N/A</v>
      </c>
      <c r="AF718" s="344"/>
      <c r="AG718" s="359">
        <f t="shared" ca="1" si="346"/>
        <v>3.0442482476323169</v>
      </c>
      <c r="AH718" s="357">
        <f t="shared" ca="1" si="347"/>
        <v>-6.6889613342321388</v>
      </c>
    </row>
    <row r="719" spans="1:34" x14ac:dyDescent="0.2">
      <c r="A719" s="402">
        <f t="shared" ca="1" si="325"/>
        <v>1E-4</v>
      </c>
      <c r="B719" s="357">
        <f t="shared" ca="1" si="326"/>
        <v>35.300200000000196</v>
      </c>
      <c r="C719" s="342"/>
      <c r="D719" s="359">
        <f t="shared" ca="1" si="327"/>
        <v>-0.83529618537664929</v>
      </c>
      <c r="E719" s="360">
        <f t="shared" ca="1" si="328"/>
        <v>-3.1733580979925007</v>
      </c>
      <c r="F719" s="357">
        <f t="shared" ca="1" si="329"/>
        <v>3.2814511020887336</v>
      </c>
      <c r="G719" s="359">
        <f t="shared" ca="1" si="330"/>
        <v>16.385277879784717</v>
      </c>
      <c r="H719" s="360">
        <f t="shared" ca="1" si="331"/>
        <v>-130.18620590196909</v>
      </c>
      <c r="I719" s="357">
        <f t="shared" ca="1" si="332"/>
        <v>131.21328262926605</v>
      </c>
      <c r="J719" s="359">
        <f t="shared" ca="1" si="333"/>
        <v>953.1802660510491</v>
      </c>
      <c r="K719" s="360">
        <f t="shared" ca="1" si="334"/>
        <v>-8.2879650954663546</v>
      </c>
      <c r="L719" s="357">
        <f t="shared" ca="1" si="319"/>
        <v>953.21629757079404</v>
      </c>
      <c r="M719" s="359">
        <f t="shared" ca="1" si="335"/>
        <v>-1.4455943352158924</v>
      </c>
      <c r="N719" s="357">
        <f t="shared" ca="1" si="336"/>
        <v>-82.826454295890585</v>
      </c>
      <c r="O719" s="343"/>
      <c r="P719" s="363">
        <f t="shared" ca="1" si="337"/>
        <v>23</v>
      </c>
      <c r="Q719" s="357">
        <f t="shared" ca="1" si="338"/>
        <v>0</v>
      </c>
      <c r="R719" s="359">
        <f t="shared" ca="1" si="339"/>
        <v>0</v>
      </c>
      <c r="S719" s="360">
        <f t="shared" ca="1" si="340"/>
        <v>8.3819999999999997</v>
      </c>
      <c r="T719" s="357">
        <f t="shared" ca="1" si="320"/>
        <v>82.227419999999995</v>
      </c>
      <c r="U719" s="364">
        <f t="shared" ca="1" si="321"/>
        <v>0</v>
      </c>
      <c r="V719" s="359">
        <f t="shared" ca="1" si="322"/>
        <v>1.2260156966271045</v>
      </c>
      <c r="W719" s="357">
        <f t="shared" ca="1" si="323"/>
        <v>56.067540205537014</v>
      </c>
      <c r="X719" s="343"/>
      <c r="Y719" s="367" t="str">
        <f t="shared" ca="1" si="341"/>
        <v/>
      </c>
      <c r="Z719" s="368" t="str">
        <f t="shared" ca="1" si="342"/>
        <v/>
      </c>
      <c r="AA719" s="369" t="str">
        <f t="shared" ca="1" si="343"/>
        <v/>
      </c>
      <c r="AB719" s="344"/>
      <c r="AC719" s="363" t="e">
        <f t="shared" ca="1" si="344"/>
        <v>#N/A</v>
      </c>
      <c r="AD719" s="376" t="e">
        <f t="shared" ca="1" si="345"/>
        <v>#N/A</v>
      </c>
      <c r="AE719" s="377" t="e">
        <f t="shared" ca="1" si="324"/>
        <v>#N/A</v>
      </c>
      <c r="AF719" s="344"/>
      <c r="AG719" s="359">
        <f t="shared" ca="1" si="346"/>
        <v>3.0442096452573377</v>
      </c>
      <c r="AH719" s="357">
        <f t="shared" ca="1" si="347"/>
        <v>-6.6890010803397626</v>
      </c>
    </row>
    <row r="720" spans="1:34" x14ac:dyDescent="0.2">
      <c r="A720" s="402">
        <f t="shared" ca="1" si="325"/>
        <v>1E-4</v>
      </c>
      <c r="B720" s="357">
        <f t="shared" ca="1" si="326"/>
        <v>35.300300000000199</v>
      </c>
      <c r="C720" s="342"/>
      <c r="D720" s="359">
        <f t="shared" ca="1" si="327"/>
        <v>-0.83529495254551622</v>
      </c>
      <c r="E720" s="360">
        <f t="shared" ca="1" si="328"/>
        <v>-3.1733178833586697</v>
      </c>
      <c r="F720" s="357">
        <f t="shared" ca="1" si="329"/>
        <v>3.2814118983437548</v>
      </c>
      <c r="G720" s="359">
        <f t="shared" ca="1" si="330"/>
        <v>16.385194350289463</v>
      </c>
      <c r="H720" s="360">
        <f t="shared" ca="1" si="331"/>
        <v>-130.18652323375741</v>
      </c>
      <c r="I720" s="357">
        <f t="shared" ca="1" si="332"/>
        <v>131.21358704642753</v>
      </c>
      <c r="J720" s="359">
        <f t="shared" ca="1" si="333"/>
        <v>953.1802660510491</v>
      </c>
      <c r="K720" s="360">
        <f t="shared" ca="1" si="334"/>
        <v>-8.3009837319231412</v>
      </c>
      <c r="L720" s="357">
        <f t="shared" ca="1" si="319"/>
        <v>953.21641085331009</v>
      </c>
      <c r="M720" s="359">
        <f t="shared" ca="1" si="335"/>
        <v>-1.4455952688274292</v>
      </c>
      <c r="N720" s="357">
        <f t="shared" ca="1" si="336"/>
        <v>-82.826507787891344</v>
      </c>
      <c r="O720" s="343"/>
      <c r="P720" s="363">
        <f t="shared" ca="1" si="337"/>
        <v>23</v>
      </c>
      <c r="Q720" s="357">
        <f t="shared" ca="1" si="338"/>
        <v>0</v>
      </c>
      <c r="R720" s="359">
        <f t="shared" ca="1" si="339"/>
        <v>0</v>
      </c>
      <c r="S720" s="360">
        <f t="shared" ca="1" si="340"/>
        <v>8.3819999999999997</v>
      </c>
      <c r="T720" s="357">
        <f t="shared" ca="1" si="320"/>
        <v>82.227419999999995</v>
      </c>
      <c r="U720" s="364">
        <f t="shared" ca="1" si="321"/>
        <v>0</v>
      </c>
      <c r="V720" s="359">
        <f t="shared" ca="1" si="322"/>
        <v>1.2260172927336821</v>
      </c>
      <c r="W720" s="357">
        <f t="shared" ca="1" si="323"/>
        <v>56.067873353921087</v>
      </c>
      <c r="X720" s="343"/>
      <c r="Y720" s="367" t="str">
        <f t="shared" ca="1" si="341"/>
        <v/>
      </c>
      <c r="Z720" s="368" t="str">
        <f t="shared" ca="1" si="342"/>
        <v/>
      </c>
      <c r="AA720" s="369" t="str">
        <f t="shared" ca="1" si="343"/>
        <v/>
      </c>
      <c r="AB720" s="344"/>
      <c r="AC720" s="363" t="e">
        <f t="shared" ca="1" si="344"/>
        <v>#N/A</v>
      </c>
      <c r="AD720" s="376" t="e">
        <f t="shared" ca="1" si="345"/>
        <v>#N/A</v>
      </c>
      <c r="AE720" s="377" t="e">
        <f t="shared" ca="1" si="324"/>
        <v>#N/A</v>
      </c>
      <c r="AF720" s="344"/>
      <c r="AG720" s="359">
        <f t="shared" ca="1" si="346"/>
        <v>3.0441710430709215</v>
      </c>
      <c r="AH720" s="357">
        <f t="shared" ca="1" si="347"/>
        <v>-6.6890408262392054</v>
      </c>
    </row>
    <row r="721" spans="1:34" x14ac:dyDescent="0.2">
      <c r="A721" s="402">
        <f t="shared" ca="1" si="325"/>
        <v>1E-4</v>
      </c>
      <c r="B721" s="357">
        <f t="shared" ca="1" si="326"/>
        <v>35.300400000000202</v>
      </c>
      <c r="C721" s="342"/>
      <c r="D721" s="359">
        <f t="shared" ca="1" si="327"/>
        <v>-0.83529371967436006</v>
      </c>
      <c r="E721" s="360">
        <f t="shared" ca="1" si="328"/>
        <v>-3.173277668935512</v>
      </c>
      <c r="F721" s="357">
        <f t="shared" ca="1" si="329"/>
        <v>3.2813726948172506</v>
      </c>
      <c r="G721" s="359">
        <f t="shared" ca="1" si="330"/>
        <v>16.385110820917497</v>
      </c>
      <c r="H721" s="360">
        <f t="shared" ca="1" si="331"/>
        <v>-130.18684056152432</v>
      </c>
      <c r="I721" s="357">
        <f t="shared" ca="1" si="332"/>
        <v>131.21389145972884</v>
      </c>
      <c r="J721" s="359">
        <f t="shared" ca="1" si="333"/>
        <v>953.1802660510491</v>
      </c>
      <c r="K721" s="360">
        <f t="shared" ca="1" si="334"/>
        <v>-8.3140024001129049</v>
      </c>
      <c r="L721" s="357">
        <f t="shared" ca="1" si="319"/>
        <v>953.21652431389271</v>
      </c>
      <c r="M721" s="359">
        <f t="shared" ca="1" si="335"/>
        <v>-1.4455962024298745</v>
      </c>
      <c r="N721" s="357">
        <f t="shared" ca="1" si="336"/>
        <v>-82.826561279371205</v>
      </c>
      <c r="O721" s="343"/>
      <c r="P721" s="363">
        <f t="shared" ca="1" si="337"/>
        <v>23</v>
      </c>
      <c r="Q721" s="357">
        <f t="shared" ca="1" si="338"/>
        <v>0</v>
      </c>
      <c r="R721" s="359">
        <f t="shared" ca="1" si="339"/>
        <v>0</v>
      </c>
      <c r="S721" s="360">
        <f t="shared" ca="1" si="340"/>
        <v>8.3819999999999997</v>
      </c>
      <c r="T721" s="357">
        <f t="shared" ca="1" si="320"/>
        <v>82.227419999999995</v>
      </c>
      <c r="U721" s="364">
        <f t="shared" ca="1" si="321"/>
        <v>0</v>
      </c>
      <c r="V721" s="359">
        <f t="shared" ca="1" si="322"/>
        <v>1.2260188888462293</v>
      </c>
      <c r="W721" s="357">
        <f t="shared" ca="1" si="323"/>
        <v>56.068206500560173</v>
      </c>
      <c r="X721" s="343"/>
      <c r="Y721" s="367" t="str">
        <f t="shared" ca="1" si="341"/>
        <v/>
      </c>
      <c r="Z721" s="368" t="str">
        <f t="shared" ca="1" si="342"/>
        <v/>
      </c>
      <c r="AA721" s="369" t="str">
        <f t="shared" ca="1" si="343"/>
        <v/>
      </c>
      <c r="AB721" s="344"/>
      <c r="AC721" s="363" t="e">
        <f t="shared" ca="1" si="344"/>
        <v>#N/A</v>
      </c>
      <c r="AD721" s="376" t="e">
        <f t="shared" ca="1" si="345"/>
        <v>#N/A</v>
      </c>
      <c r="AE721" s="377" t="e">
        <f t="shared" ca="1" si="324"/>
        <v>#N/A</v>
      </c>
      <c r="AF721" s="344"/>
      <c r="AG721" s="359">
        <f t="shared" ca="1" si="346"/>
        <v>3.044132441073077</v>
      </c>
      <c r="AH721" s="357">
        <f t="shared" ca="1" si="347"/>
        <v>-6.6890805719304565</v>
      </c>
    </row>
    <row r="722" spans="1:34" x14ac:dyDescent="0.2">
      <c r="A722" s="402">
        <f t="shared" ca="1" si="325"/>
        <v>1E-4</v>
      </c>
      <c r="B722" s="357">
        <f t="shared" ca="1" si="326"/>
        <v>35.300500000000206</v>
      </c>
      <c r="C722" s="342"/>
      <c r="D722" s="359">
        <f t="shared" ca="1" si="327"/>
        <v>-0.83529248676318379</v>
      </c>
      <c r="E722" s="360">
        <f t="shared" ca="1" si="328"/>
        <v>-3.1732374547230187</v>
      </c>
      <c r="F722" s="357">
        <f t="shared" ca="1" si="329"/>
        <v>3.2813334915092134</v>
      </c>
      <c r="G722" s="359">
        <f t="shared" ca="1" si="330"/>
        <v>16.38502729166882</v>
      </c>
      <c r="H722" s="360">
        <f t="shared" ca="1" si="331"/>
        <v>-130.18715788526978</v>
      </c>
      <c r="I722" s="357">
        <f t="shared" ca="1" si="332"/>
        <v>131.21419586916994</v>
      </c>
      <c r="J722" s="359">
        <f t="shared" ca="1" si="333"/>
        <v>953.1802660510491</v>
      </c>
      <c r="K722" s="360">
        <f t="shared" ca="1" si="334"/>
        <v>-8.3270211000352443</v>
      </c>
      <c r="L722" s="357">
        <f t="shared" ca="1" si="319"/>
        <v>953.2166379525429</v>
      </c>
      <c r="M722" s="359">
        <f t="shared" ca="1" si="335"/>
        <v>-1.4455971360232287</v>
      </c>
      <c r="N722" s="357">
        <f t="shared" ca="1" si="336"/>
        <v>-82.826614770330181</v>
      </c>
      <c r="O722" s="343"/>
      <c r="P722" s="363">
        <f t="shared" ca="1" si="337"/>
        <v>23</v>
      </c>
      <c r="Q722" s="357">
        <f t="shared" ca="1" si="338"/>
        <v>0</v>
      </c>
      <c r="R722" s="359">
        <f t="shared" ca="1" si="339"/>
        <v>0</v>
      </c>
      <c r="S722" s="360">
        <f t="shared" ca="1" si="340"/>
        <v>8.3819999999999997</v>
      </c>
      <c r="T722" s="357">
        <f t="shared" ca="1" si="320"/>
        <v>82.227419999999995</v>
      </c>
      <c r="U722" s="364">
        <f t="shared" ca="1" si="321"/>
        <v>0</v>
      </c>
      <c r="V722" s="359">
        <f t="shared" ca="1" si="322"/>
        <v>1.226020484964746</v>
      </c>
      <c r="W722" s="357">
        <f t="shared" ca="1" si="323"/>
        <v>56.068539645454209</v>
      </c>
      <c r="X722" s="343"/>
      <c r="Y722" s="367" t="str">
        <f t="shared" ca="1" si="341"/>
        <v/>
      </c>
      <c r="Z722" s="368" t="str">
        <f t="shared" ca="1" si="342"/>
        <v/>
      </c>
      <c r="AA722" s="369" t="str">
        <f t="shared" ca="1" si="343"/>
        <v/>
      </c>
      <c r="AB722" s="344"/>
      <c r="AC722" s="363" t="e">
        <f t="shared" ca="1" si="344"/>
        <v>#N/A</v>
      </c>
      <c r="AD722" s="376" t="e">
        <f t="shared" ca="1" si="345"/>
        <v>#N/A</v>
      </c>
      <c r="AE722" s="377" t="e">
        <f t="shared" ca="1" si="324"/>
        <v>#N/A</v>
      </c>
      <c r="AF722" s="344"/>
      <c r="AG722" s="359">
        <f t="shared" ca="1" si="346"/>
        <v>3.0440938392637893</v>
      </c>
      <c r="AH722" s="357">
        <f t="shared" ca="1" si="347"/>
        <v>-6.6891203174135256</v>
      </c>
    </row>
    <row r="723" spans="1:34" x14ac:dyDescent="0.2">
      <c r="A723" s="402">
        <f t="shared" ca="1" si="325"/>
        <v>1E-4</v>
      </c>
      <c r="B723" s="357">
        <f t="shared" ca="1" si="326"/>
        <v>35.300600000000209</v>
      </c>
      <c r="C723" s="342"/>
      <c r="D723" s="359">
        <f t="shared" ca="1" si="327"/>
        <v>-0.83529125381198643</v>
      </c>
      <c r="E723" s="360">
        <f t="shared" ca="1" si="328"/>
        <v>-3.1731972407211968</v>
      </c>
      <c r="F723" s="357">
        <f t="shared" ca="1" si="329"/>
        <v>3.2812942884196503</v>
      </c>
      <c r="G723" s="359">
        <f t="shared" ca="1" si="330"/>
        <v>16.38494376254344</v>
      </c>
      <c r="H723" s="360">
        <f t="shared" ca="1" si="331"/>
        <v>-130.18747520499386</v>
      </c>
      <c r="I723" s="357">
        <f t="shared" ca="1" si="332"/>
        <v>131.21450027475092</v>
      </c>
      <c r="J723" s="359">
        <f t="shared" ca="1" si="333"/>
        <v>953.1802660510491</v>
      </c>
      <c r="K723" s="360">
        <f t="shared" ca="1" si="334"/>
        <v>-8.3400398316897579</v>
      </c>
      <c r="L723" s="357">
        <f t="shared" ca="1" si="319"/>
        <v>953.21675176926203</v>
      </c>
      <c r="M723" s="359">
        <f t="shared" ca="1" si="335"/>
        <v>-1.4455980696074917</v>
      </c>
      <c r="N723" s="357">
        <f t="shared" ca="1" si="336"/>
        <v>-82.826668260768272</v>
      </c>
      <c r="O723" s="343"/>
      <c r="P723" s="363">
        <f t="shared" ca="1" si="337"/>
        <v>23</v>
      </c>
      <c r="Q723" s="357">
        <f t="shared" ca="1" si="338"/>
        <v>0</v>
      </c>
      <c r="R723" s="359">
        <f t="shared" ca="1" si="339"/>
        <v>0</v>
      </c>
      <c r="S723" s="360">
        <f t="shared" ca="1" si="340"/>
        <v>8.3819999999999997</v>
      </c>
      <c r="T723" s="357">
        <f t="shared" ca="1" si="320"/>
        <v>82.227419999999995</v>
      </c>
      <c r="U723" s="364">
        <f t="shared" ca="1" si="321"/>
        <v>0</v>
      </c>
      <c r="V723" s="359">
        <f t="shared" ca="1" si="322"/>
        <v>1.2260220810892315</v>
      </c>
      <c r="W723" s="357">
        <f t="shared" ca="1" si="323"/>
        <v>56.068872788603201</v>
      </c>
      <c r="X723" s="343"/>
      <c r="Y723" s="367" t="str">
        <f t="shared" ca="1" si="341"/>
        <v/>
      </c>
      <c r="Z723" s="368" t="str">
        <f t="shared" ca="1" si="342"/>
        <v/>
      </c>
      <c r="AA723" s="369" t="str">
        <f t="shared" ca="1" si="343"/>
        <v/>
      </c>
      <c r="AB723" s="344"/>
      <c r="AC723" s="363" t="e">
        <f t="shared" ca="1" si="344"/>
        <v>#N/A</v>
      </c>
      <c r="AD723" s="376" t="e">
        <f t="shared" ca="1" si="345"/>
        <v>#N/A</v>
      </c>
      <c r="AE723" s="377" t="e">
        <f t="shared" ca="1" si="324"/>
        <v>#N/A</v>
      </c>
      <c r="AF723" s="344"/>
      <c r="AG723" s="359">
        <f t="shared" ca="1" si="346"/>
        <v>3.0440552376430752</v>
      </c>
      <c r="AH723" s="357">
        <f t="shared" ca="1" si="347"/>
        <v>-6.6891600626884049</v>
      </c>
    </row>
    <row r="724" spans="1:34" x14ac:dyDescent="0.2">
      <c r="A724" s="402">
        <f t="shared" ca="1" si="325"/>
        <v>1E-4</v>
      </c>
      <c r="B724" s="357">
        <f t="shared" ca="1" si="326"/>
        <v>35.300700000000212</v>
      </c>
      <c r="C724" s="342"/>
      <c r="D724" s="359">
        <f t="shared" ca="1" si="327"/>
        <v>-0.83529002082076986</v>
      </c>
      <c r="E724" s="360">
        <f t="shared" ca="1" si="328"/>
        <v>-3.1731570269300464</v>
      </c>
      <c r="F724" s="357">
        <f t="shared" ca="1" si="329"/>
        <v>3.2812550855485609</v>
      </c>
      <c r="G724" s="359">
        <f t="shared" ca="1" si="330"/>
        <v>16.384860233541357</v>
      </c>
      <c r="H724" s="360">
        <f t="shared" ca="1" si="331"/>
        <v>-130.18779252069655</v>
      </c>
      <c r="I724" s="357">
        <f t="shared" ca="1" si="332"/>
        <v>131.21480467647169</v>
      </c>
      <c r="J724" s="359">
        <f t="shared" ca="1" si="333"/>
        <v>953.1802660510491</v>
      </c>
      <c r="K724" s="360">
        <f t="shared" ca="1" si="334"/>
        <v>-8.3530585950760425</v>
      </c>
      <c r="L724" s="357">
        <f t="shared" ca="1" si="319"/>
        <v>953.21686576405136</v>
      </c>
      <c r="M724" s="359">
        <f t="shared" ca="1" si="335"/>
        <v>-1.4455990031826638</v>
      </c>
      <c r="N724" s="357">
        <f t="shared" ca="1" si="336"/>
        <v>-82.826721750685493</v>
      </c>
      <c r="O724" s="343"/>
      <c r="P724" s="363">
        <f t="shared" ca="1" si="337"/>
        <v>23</v>
      </c>
      <c r="Q724" s="357">
        <f t="shared" ca="1" si="338"/>
        <v>0</v>
      </c>
      <c r="R724" s="359">
        <f t="shared" ca="1" si="339"/>
        <v>0</v>
      </c>
      <c r="S724" s="360">
        <f t="shared" ca="1" si="340"/>
        <v>8.3819999999999997</v>
      </c>
      <c r="T724" s="357">
        <f t="shared" ca="1" si="320"/>
        <v>82.227419999999995</v>
      </c>
      <c r="U724" s="364">
        <f t="shared" ca="1" si="321"/>
        <v>0</v>
      </c>
      <c r="V724" s="359">
        <f t="shared" ca="1" si="322"/>
        <v>1.2260236772196866</v>
      </c>
      <c r="W724" s="357">
        <f t="shared" ca="1" si="323"/>
        <v>56.069205930007087</v>
      </c>
      <c r="X724" s="343"/>
      <c r="Y724" s="367" t="str">
        <f t="shared" ca="1" si="341"/>
        <v/>
      </c>
      <c r="Z724" s="368" t="str">
        <f t="shared" ca="1" si="342"/>
        <v/>
      </c>
      <c r="AA724" s="369" t="str">
        <f t="shared" ca="1" si="343"/>
        <v/>
      </c>
      <c r="AB724" s="344"/>
      <c r="AC724" s="363" t="e">
        <f t="shared" ca="1" si="344"/>
        <v>#N/A</v>
      </c>
      <c r="AD724" s="376" t="e">
        <f t="shared" ca="1" si="345"/>
        <v>#N/A</v>
      </c>
      <c r="AE724" s="377" t="e">
        <f t="shared" ca="1" si="324"/>
        <v>#N/A</v>
      </c>
      <c r="AF724" s="344"/>
      <c r="AG724" s="359">
        <f t="shared" ca="1" si="346"/>
        <v>3.0440166362109293</v>
      </c>
      <c r="AH724" s="357">
        <f t="shared" ca="1" si="347"/>
        <v>-6.6891998077550943</v>
      </c>
    </row>
    <row r="725" spans="1:34" x14ac:dyDescent="0.2">
      <c r="A725" s="402">
        <f t="shared" ca="1" si="325"/>
        <v>1E-4</v>
      </c>
      <c r="B725" s="357">
        <f t="shared" ca="1" si="326"/>
        <v>35.300800000000216</v>
      </c>
      <c r="C725" s="342"/>
      <c r="D725" s="359">
        <f t="shared" ca="1" si="327"/>
        <v>-0.83528878778953342</v>
      </c>
      <c r="E725" s="360">
        <f t="shared" ca="1" si="328"/>
        <v>-3.1731168133495737</v>
      </c>
      <c r="F725" s="357">
        <f t="shared" ca="1" si="329"/>
        <v>3.2812158828959519</v>
      </c>
      <c r="G725" s="359">
        <f t="shared" ca="1" si="330"/>
        <v>16.384776704662578</v>
      </c>
      <c r="H725" s="360">
        <f t="shared" ca="1" si="331"/>
        <v>-130.18810983237788</v>
      </c>
      <c r="I725" s="357">
        <f t="shared" ca="1" si="332"/>
        <v>131.21510907433236</v>
      </c>
      <c r="J725" s="359">
        <f t="shared" ca="1" si="333"/>
        <v>953.1802660510491</v>
      </c>
      <c r="K725" s="360">
        <f t="shared" ca="1" si="334"/>
        <v>-8.3660773901936967</v>
      </c>
      <c r="L725" s="357">
        <f t="shared" ca="1" si="319"/>
        <v>953.21697993691214</v>
      </c>
      <c r="M725" s="359">
        <f t="shared" ca="1" si="335"/>
        <v>-1.4455999367487453</v>
      </c>
      <c r="N725" s="357">
        <f t="shared" ca="1" si="336"/>
        <v>-82.826775240081858</v>
      </c>
      <c r="O725" s="343"/>
      <c r="P725" s="363">
        <f t="shared" ca="1" si="337"/>
        <v>23</v>
      </c>
      <c r="Q725" s="357">
        <f t="shared" ca="1" si="338"/>
        <v>0</v>
      </c>
      <c r="R725" s="359">
        <f t="shared" ca="1" si="339"/>
        <v>0</v>
      </c>
      <c r="S725" s="360">
        <f t="shared" ca="1" si="340"/>
        <v>8.3819999999999997</v>
      </c>
      <c r="T725" s="357">
        <f t="shared" ca="1" si="320"/>
        <v>82.227419999999995</v>
      </c>
      <c r="U725" s="364">
        <f t="shared" ca="1" si="321"/>
        <v>0</v>
      </c>
      <c r="V725" s="359">
        <f t="shared" ca="1" si="322"/>
        <v>1.226025273356111</v>
      </c>
      <c r="W725" s="357">
        <f t="shared" ca="1" si="323"/>
        <v>56.069539069665908</v>
      </c>
      <c r="X725" s="343"/>
      <c r="Y725" s="367" t="str">
        <f t="shared" ca="1" si="341"/>
        <v/>
      </c>
      <c r="Z725" s="368" t="str">
        <f t="shared" ca="1" si="342"/>
        <v/>
      </c>
      <c r="AA725" s="369" t="str">
        <f t="shared" ca="1" si="343"/>
        <v/>
      </c>
      <c r="AB725" s="344"/>
      <c r="AC725" s="363" t="e">
        <f t="shared" ca="1" si="344"/>
        <v>#N/A</v>
      </c>
      <c r="AD725" s="376" t="e">
        <f t="shared" ca="1" si="345"/>
        <v>#N/A</v>
      </c>
      <c r="AE725" s="377" t="e">
        <f t="shared" ca="1" si="324"/>
        <v>#N/A</v>
      </c>
      <c r="AF725" s="344"/>
      <c r="AG725" s="359">
        <f t="shared" ca="1" si="346"/>
        <v>3.0439780349673597</v>
      </c>
      <c r="AH725" s="357">
        <f t="shared" ca="1" si="347"/>
        <v>-6.6892395526135875</v>
      </c>
    </row>
    <row r="726" spans="1:34" x14ac:dyDescent="0.2">
      <c r="A726" s="402">
        <f t="shared" ca="1" si="325"/>
        <v>1E-4</v>
      </c>
      <c r="B726" s="357">
        <f t="shared" ca="1" si="326"/>
        <v>35.300900000000219</v>
      </c>
      <c r="C726" s="342"/>
      <c r="D726" s="359">
        <f t="shared" ca="1" si="327"/>
        <v>-0.8352875547182762</v>
      </c>
      <c r="E726" s="360">
        <f t="shared" ca="1" si="328"/>
        <v>-3.1730765999797761</v>
      </c>
      <c r="F726" s="357">
        <f t="shared" ca="1" si="329"/>
        <v>3.281176680461821</v>
      </c>
      <c r="G726" s="359">
        <f t="shared" ca="1" si="330"/>
        <v>16.384693175907106</v>
      </c>
      <c r="H726" s="360">
        <f t="shared" ca="1" si="331"/>
        <v>-130.18842714003787</v>
      </c>
      <c r="I726" s="357">
        <f t="shared" ca="1" si="332"/>
        <v>131.21541346833294</v>
      </c>
      <c r="J726" s="359">
        <f t="shared" ca="1" si="333"/>
        <v>953.1802660510491</v>
      </c>
      <c r="K726" s="360">
        <f t="shared" ca="1" si="334"/>
        <v>-8.3790962170423171</v>
      </c>
      <c r="L726" s="357">
        <f t="shared" ca="1" si="319"/>
        <v>953.21709428784538</v>
      </c>
      <c r="M726" s="359">
        <f t="shared" ca="1" si="335"/>
        <v>-1.4456008703057361</v>
      </c>
      <c r="N726" s="357">
        <f t="shared" ca="1" si="336"/>
        <v>-82.826828728957366</v>
      </c>
      <c r="O726" s="343"/>
      <c r="P726" s="363">
        <f t="shared" ca="1" si="337"/>
        <v>23</v>
      </c>
      <c r="Q726" s="357">
        <f t="shared" ca="1" si="338"/>
        <v>0</v>
      </c>
      <c r="R726" s="359">
        <f t="shared" ca="1" si="339"/>
        <v>0</v>
      </c>
      <c r="S726" s="360">
        <f t="shared" ca="1" si="340"/>
        <v>8.3819999999999997</v>
      </c>
      <c r="T726" s="357">
        <f t="shared" ca="1" si="320"/>
        <v>82.227419999999995</v>
      </c>
      <c r="U726" s="364">
        <f t="shared" ca="1" si="321"/>
        <v>0</v>
      </c>
      <c r="V726" s="359">
        <f t="shared" ca="1" si="322"/>
        <v>1.2260268694985044</v>
      </c>
      <c r="W726" s="357">
        <f t="shared" ca="1" si="323"/>
        <v>56.069872207579628</v>
      </c>
      <c r="X726" s="343"/>
      <c r="Y726" s="367" t="str">
        <f t="shared" ca="1" si="341"/>
        <v/>
      </c>
      <c r="Z726" s="368" t="str">
        <f t="shared" ca="1" si="342"/>
        <v/>
      </c>
      <c r="AA726" s="369" t="str">
        <f t="shared" ca="1" si="343"/>
        <v/>
      </c>
      <c r="AB726" s="344"/>
      <c r="AC726" s="363" t="e">
        <f t="shared" ca="1" si="344"/>
        <v>#N/A</v>
      </c>
      <c r="AD726" s="376" t="e">
        <f t="shared" ca="1" si="345"/>
        <v>#N/A</v>
      </c>
      <c r="AE726" s="377" t="e">
        <f t="shared" ca="1" si="324"/>
        <v>#N/A</v>
      </c>
      <c r="AF726" s="344"/>
      <c r="AG726" s="359">
        <f t="shared" ca="1" si="346"/>
        <v>3.0439394339123664</v>
      </c>
      <c r="AH726" s="357">
        <f t="shared" ca="1" si="347"/>
        <v>-6.6892792972638881</v>
      </c>
    </row>
    <row r="727" spans="1:34" x14ac:dyDescent="0.2">
      <c r="A727" s="402">
        <f t="shared" ca="1" si="325"/>
        <v>1E-4</v>
      </c>
      <c r="B727" s="357">
        <f t="shared" ca="1" si="326"/>
        <v>35.301000000000222</v>
      </c>
      <c r="C727" s="342"/>
      <c r="D727" s="359">
        <f t="shared" ca="1" si="327"/>
        <v>-0.835286321607001</v>
      </c>
      <c r="E727" s="360">
        <f t="shared" ca="1" si="328"/>
        <v>-3.1730363868206553</v>
      </c>
      <c r="F727" s="357">
        <f t="shared" ca="1" si="329"/>
        <v>3.2811374782461695</v>
      </c>
      <c r="G727" s="359">
        <f t="shared" ca="1" si="330"/>
        <v>16.384609647274946</v>
      </c>
      <c r="H727" s="360">
        <f t="shared" ca="1" si="331"/>
        <v>-130.18874444367657</v>
      </c>
      <c r="I727" s="357">
        <f t="shared" ca="1" si="332"/>
        <v>131.21571785847343</v>
      </c>
      <c r="J727" s="359">
        <f t="shared" ca="1" si="333"/>
        <v>953.1802660510491</v>
      </c>
      <c r="K727" s="360">
        <f t="shared" ca="1" si="334"/>
        <v>-8.3921150756215024</v>
      </c>
      <c r="L727" s="357">
        <f t="shared" ca="1" si="319"/>
        <v>953.21720881685269</v>
      </c>
      <c r="M727" s="359">
        <f t="shared" ca="1" si="335"/>
        <v>-1.4456018038536362</v>
      </c>
      <c r="N727" s="357">
        <f t="shared" ca="1" si="336"/>
        <v>-82.826882217312018</v>
      </c>
      <c r="O727" s="343"/>
      <c r="P727" s="363">
        <f t="shared" ca="1" si="337"/>
        <v>23</v>
      </c>
      <c r="Q727" s="357">
        <f t="shared" ca="1" si="338"/>
        <v>0</v>
      </c>
      <c r="R727" s="359">
        <f t="shared" ca="1" si="339"/>
        <v>0</v>
      </c>
      <c r="S727" s="360">
        <f t="shared" ca="1" si="340"/>
        <v>8.3819999999999997</v>
      </c>
      <c r="T727" s="357">
        <f t="shared" ca="1" si="320"/>
        <v>82.227419999999995</v>
      </c>
      <c r="U727" s="364">
        <f t="shared" ca="1" si="321"/>
        <v>0</v>
      </c>
      <c r="V727" s="359">
        <f t="shared" ca="1" si="322"/>
        <v>1.2260284656468667</v>
      </c>
      <c r="W727" s="357">
        <f t="shared" ca="1" si="323"/>
        <v>56.070205343748214</v>
      </c>
      <c r="X727" s="343"/>
      <c r="Y727" s="367" t="str">
        <f t="shared" ca="1" si="341"/>
        <v/>
      </c>
      <c r="Z727" s="368" t="str">
        <f t="shared" ca="1" si="342"/>
        <v/>
      </c>
      <c r="AA727" s="369" t="str">
        <f t="shared" ca="1" si="343"/>
        <v/>
      </c>
      <c r="AB727" s="344"/>
      <c r="AC727" s="363" t="e">
        <f t="shared" ca="1" si="344"/>
        <v>#N/A</v>
      </c>
      <c r="AD727" s="376" t="e">
        <f t="shared" ca="1" si="345"/>
        <v>#N/A</v>
      </c>
      <c r="AE727" s="377" t="e">
        <f t="shared" ca="1" si="324"/>
        <v>#N/A</v>
      </c>
      <c r="AF727" s="344"/>
      <c r="AG727" s="359">
        <f t="shared" ca="1" si="346"/>
        <v>3.0439008330459476</v>
      </c>
      <c r="AH727" s="357">
        <f t="shared" ca="1" si="347"/>
        <v>-6.6893190417059927</v>
      </c>
    </row>
    <row r="728" spans="1:34" x14ac:dyDescent="0.2">
      <c r="A728" s="402">
        <f t="shared" ca="1" si="325"/>
        <v>1E-4</v>
      </c>
      <c r="B728" s="357">
        <f t="shared" ca="1" si="326"/>
        <v>35.301100000000226</v>
      </c>
      <c r="C728" s="342"/>
      <c r="D728" s="359">
        <f t="shared" ca="1" si="327"/>
        <v>-0.83528508845570881</v>
      </c>
      <c r="E728" s="360">
        <f t="shared" ca="1" si="328"/>
        <v>-3.1729961738722183</v>
      </c>
      <c r="F728" s="357">
        <f t="shared" ca="1" si="329"/>
        <v>3.281098276249006</v>
      </c>
      <c r="G728" s="359">
        <f t="shared" ca="1" si="330"/>
        <v>16.3845261187661</v>
      </c>
      <c r="H728" s="360">
        <f t="shared" ca="1" si="331"/>
        <v>-130.18906174329396</v>
      </c>
      <c r="I728" s="357">
        <f t="shared" ca="1" si="332"/>
        <v>131.21602224475384</v>
      </c>
      <c r="J728" s="359">
        <f t="shared" ca="1" si="333"/>
        <v>953.1802660510491</v>
      </c>
      <c r="K728" s="360">
        <f t="shared" ca="1" si="334"/>
        <v>-8.405133965930851</v>
      </c>
      <c r="L728" s="357">
        <f t="shared" ca="1" si="319"/>
        <v>953.21732352393497</v>
      </c>
      <c r="M728" s="359">
        <f t="shared" ca="1" si="335"/>
        <v>-1.4456027373924463</v>
      </c>
      <c r="N728" s="357">
        <f t="shared" ca="1" si="336"/>
        <v>-82.826935705145843</v>
      </c>
      <c r="O728" s="343"/>
      <c r="P728" s="363">
        <f t="shared" ca="1" si="337"/>
        <v>23</v>
      </c>
      <c r="Q728" s="357">
        <f t="shared" ca="1" si="338"/>
        <v>0</v>
      </c>
      <c r="R728" s="359">
        <f t="shared" ca="1" si="339"/>
        <v>0</v>
      </c>
      <c r="S728" s="360">
        <f t="shared" ca="1" si="340"/>
        <v>8.3819999999999997</v>
      </c>
      <c r="T728" s="357">
        <f t="shared" ca="1" si="320"/>
        <v>82.227419999999995</v>
      </c>
      <c r="U728" s="364">
        <f t="shared" ca="1" si="321"/>
        <v>0</v>
      </c>
      <c r="V728" s="359">
        <f t="shared" ca="1" si="322"/>
        <v>1.2260300618011983</v>
      </c>
      <c r="W728" s="357">
        <f t="shared" ca="1" si="323"/>
        <v>56.070538478171692</v>
      </c>
      <c r="X728" s="343"/>
      <c r="Y728" s="367" t="str">
        <f t="shared" ca="1" si="341"/>
        <v/>
      </c>
      <c r="Z728" s="368" t="str">
        <f t="shared" ca="1" si="342"/>
        <v/>
      </c>
      <c r="AA728" s="369" t="str">
        <f t="shared" ca="1" si="343"/>
        <v/>
      </c>
      <c r="AB728" s="344"/>
      <c r="AC728" s="363" t="e">
        <f t="shared" ca="1" si="344"/>
        <v>#N/A</v>
      </c>
      <c r="AD728" s="376" t="e">
        <f t="shared" ca="1" si="345"/>
        <v>#N/A</v>
      </c>
      <c r="AE728" s="377" t="e">
        <f t="shared" ca="1" si="324"/>
        <v>#N/A</v>
      </c>
      <c r="AF728" s="344"/>
      <c r="AG728" s="359">
        <f t="shared" ca="1" si="346"/>
        <v>3.0438622323681113</v>
      </c>
      <c r="AH728" s="357">
        <f t="shared" ca="1" si="347"/>
        <v>-6.6893587859398966</v>
      </c>
    </row>
    <row r="729" spans="1:34" x14ac:dyDescent="0.2">
      <c r="A729" s="402">
        <f t="shared" ca="1" si="325"/>
        <v>1E-4</v>
      </c>
      <c r="B729" s="357">
        <f t="shared" ca="1" si="326"/>
        <v>35.301200000000229</v>
      </c>
      <c r="C729" s="342"/>
      <c r="D729" s="359">
        <f t="shared" ca="1" si="327"/>
        <v>-0.83528385526439763</v>
      </c>
      <c r="E729" s="360">
        <f t="shared" ca="1" si="328"/>
        <v>-3.1729559611344582</v>
      </c>
      <c r="F729" s="357">
        <f t="shared" ca="1" si="329"/>
        <v>3.2810590744703223</v>
      </c>
      <c r="G729" s="359">
        <f t="shared" ca="1" si="330"/>
        <v>16.384442590380573</v>
      </c>
      <c r="H729" s="360">
        <f t="shared" ca="1" si="331"/>
        <v>-130.18937903889008</v>
      </c>
      <c r="I729" s="357">
        <f t="shared" ca="1" si="332"/>
        <v>131.21632662717423</v>
      </c>
      <c r="J729" s="359">
        <f t="shared" ca="1" si="333"/>
        <v>953.1802660510491</v>
      </c>
      <c r="K729" s="360">
        <f t="shared" ca="1" si="334"/>
        <v>-8.4181528879699599</v>
      </c>
      <c r="L729" s="357">
        <f t="shared" ca="1" si="319"/>
        <v>953.21743840909357</v>
      </c>
      <c r="M729" s="359">
        <f t="shared" ca="1" si="335"/>
        <v>-1.4456036709221658</v>
      </c>
      <c r="N729" s="357">
        <f t="shared" ca="1" si="336"/>
        <v>-82.826989192458825</v>
      </c>
      <c r="O729" s="343"/>
      <c r="P729" s="363">
        <f t="shared" ca="1" si="337"/>
        <v>23</v>
      </c>
      <c r="Q729" s="357">
        <f t="shared" ca="1" si="338"/>
        <v>0</v>
      </c>
      <c r="R729" s="359">
        <f t="shared" ca="1" si="339"/>
        <v>0</v>
      </c>
      <c r="S729" s="360">
        <f t="shared" ca="1" si="340"/>
        <v>8.3819999999999997</v>
      </c>
      <c r="T729" s="357">
        <f t="shared" ca="1" si="320"/>
        <v>82.227419999999995</v>
      </c>
      <c r="U729" s="364">
        <f t="shared" ca="1" si="321"/>
        <v>0</v>
      </c>
      <c r="V729" s="359">
        <f t="shared" ca="1" si="322"/>
        <v>1.2260316579614989</v>
      </c>
      <c r="W729" s="357">
        <f t="shared" ca="1" si="323"/>
        <v>56.07087161085002</v>
      </c>
      <c r="X729" s="343"/>
      <c r="Y729" s="367" t="str">
        <f t="shared" ca="1" si="341"/>
        <v/>
      </c>
      <c r="Z729" s="368" t="str">
        <f t="shared" ca="1" si="342"/>
        <v/>
      </c>
      <c r="AA729" s="369" t="str">
        <f t="shared" ca="1" si="343"/>
        <v/>
      </c>
      <c r="AB729" s="344"/>
      <c r="AC729" s="363" t="e">
        <f t="shared" ca="1" si="344"/>
        <v>#N/A</v>
      </c>
      <c r="AD729" s="376" t="e">
        <f t="shared" ca="1" si="345"/>
        <v>#N/A</v>
      </c>
      <c r="AE729" s="377" t="e">
        <f t="shared" ca="1" si="324"/>
        <v>#N/A</v>
      </c>
      <c r="AF729" s="344"/>
      <c r="AG729" s="359">
        <f t="shared" ca="1" si="346"/>
        <v>3.0438236318788547</v>
      </c>
      <c r="AH729" s="357">
        <f t="shared" ca="1" si="347"/>
        <v>-6.6893985299656045</v>
      </c>
    </row>
    <row r="730" spans="1:34" x14ac:dyDescent="0.2">
      <c r="A730" s="402">
        <f t="shared" ca="1" si="325"/>
        <v>1E-4</v>
      </c>
      <c r="B730" s="357">
        <f t="shared" ca="1" si="326"/>
        <v>35.301300000000232</v>
      </c>
      <c r="C730" s="342"/>
      <c r="D730" s="359">
        <f t="shared" ca="1" si="327"/>
        <v>-0.83528262203307102</v>
      </c>
      <c r="E730" s="360">
        <f t="shared" ca="1" si="328"/>
        <v>-3.1729157486073829</v>
      </c>
      <c r="F730" s="357">
        <f t="shared" ca="1" si="329"/>
        <v>3.2810198729101279</v>
      </c>
      <c r="G730" s="359">
        <f t="shared" ca="1" si="330"/>
        <v>16.384359062118371</v>
      </c>
      <c r="H730" s="360">
        <f t="shared" ca="1" si="331"/>
        <v>-130.18969633046495</v>
      </c>
      <c r="I730" s="357">
        <f t="shared" ca="1" si="332"/>
        <v>131.21663100573457</v>
      </c>
      <c r="J730" s="359">
        <f t="shared" ca="1" si="333"/>
        <v>953.1802660510491</v>
      </c>
      <c r="K730" s="360">
        <f t="shared" ca="1" si="334"/>
        <v>-8.4311718417384274</v>
      </c>
      <c r="L730" s="357">
        <f t="shared" ca="1" si="319"/>
        <v>953.21755347232966</v>
      </c>
      <c r="M730" s="359">
        <f t="shared" ca="1" si="335"/>
        <v>-1.4456046044427955</v>
      </c>
      <c r="N730" s="357">
        <f t="shared" ca="1" si="336"/>
        <v>-82.827042679250994</v>
      </c>
      <c r="O730" s="343"/>
      <c r="P730" s="363">
        <f t="shared" ca="1" si="337"/>
        <v>23</v>
      </c>
      <c r="Q730" s="357">
        <f t="shared" ca="1" si="338"/>
        <v>0</v>
      </c>
      <c r="R730" s="359">
        <f t="shared" ca="1" si="339"/>
        <v>0</v>
      </c>
      <c r="S730" s="360">
        <f t="shared" ca="1" si="340"/>
        <v>8.3819999999999997</v>
      </c>
      <c r="T730" s="357">
        <f t="shared" ca="1" si="320"/>
        <v>82.227419999999995</v>
      </c>
      <c r="U730" s="364">
        <f t="shared" ca="1" si="321"/>
        <v>0</v>
      </c>
      <c r="V730" s="359">
        <f t="shared" ca="1" si="322"/>
        <v>1.2260332541277683</v>
      </c>
      <c r="W730" s="357">
        <f t="shared" ca="1" si="323"/>
        <v>56.071204741783163</v>
      </c>
      <c r="X730" s="343"/>
      <c r="Y730" s="367" t="str">
        <f t="shared" ca="1" si="341"/>
        <v/>
      </c>
      <c r="Z730" s="368" t="str">
        <f t="shared" ca="1" si="342"/>
        <v/>
      </c>
      <c r="AA730" s="369" t="str">
        <f t="shared" ca="1" si="343"/>
        <v/>
      </c>
      <c r="AB730" s="344"/>
      <c r="AC730" s="363" t="e">
        <f t="shared" ca="1" si="344"/>
        <v>#N/A</v>
      </c>
      <c r="AD730" s="376" t="e">
        <f t="shared" ca="1" si="345"/>
        <v>#N/A</v>
      </c>
      <c r="AE730" s="377" t="e">
        <f t="shared" ca="1" si="324"/>
        <v>#N/A</v>
      </c>
      <c r="AF730" s="344"/>
      <c r="AG730" s="359">
        <f t="shared" ca="1" si="346"/>
        <v>3.0437850315781851</v>
      </c>
      <c r="AH730" s="357">
        <f t="shared" ca="1" si="347"/>
        <v>-6.6894382737831091</v>
      </c>
    </row>
    <row r="731" spans="1:34" x14ac:dyDescent="0.2">
      <c r="A731" s="402">
        <f t="shared" ca="1" si="325"/>
        <v>1E-4</v>
      </c>
      <c r="B731" s="357">
        <f t="shared" ca="1" si="326"/>
        <v>35.301400000000235</v>
      </c>
      <c r="C731" s="342"/>
      <c r="D731" s="359">
        <f t="shared" ca="1" si="327"/>
        <v>-0.83528138876172586</v>
      </c>
      <c r="E731" s="360">
        <f t="shared" ca="1" si="328"/>
        <v>-3.1728755362909959</v>
      </c>
      <c r="F731" s="357">
        <f t="shared" ca="1" si="329"/>
        <v>3.2809806715684253</v>
      </c>
      <c r="G731" s="359">
        <f t="shared" ca="1" si="330"/>
        <v>16.384275533979494</v>
      </c>
      <c r="H731" s="360">
        <f t="shared" ca="1" si="331"/>
        <v>-130.19001361801858</v>
      </c>
      <c r="I731" s="357">
        <f t="shared" ca="1" si="332"/>
        <v>131.21693538043488</v>
      </c>
      <c r="J731" s="359">
        <f t="shared" ca="1" si="333"/>
        <v>953.1802660510491</v>
      </c>
      <c r="K731" s="360">
        <f t="shared" ca="1" si="334"/>
        <v>-8.4441908272358521</v>
      </c>
      <c r="L731" s="357">
        <f t="shared" ca="1" si="319"/>
        <v>953.21766871364457</v>
      </c>
      <c r="M731" s="359">
        <f t="shared" ca="1" si="335"/>
        <v>-1.4456055379543351</v>
      </c>
      <c r="N731" s="357">
        <f t="shared" ca="1" si="336"/>
        <v>-82.827096165522349</v>
      </c>
      <c r="O731" s="343"/>
      <c r="P731" s="363">
        <f t="shared" ca="1" si="337"/>
        <v>23</v>
      </c>
      <c r="Q731" s="357">
        <f t="shared" ca="1" si="338"/>
        <v>0</v>
      </c>
      <c r="R731" s="359">
        <f t="shared" ca="1" si="339"/>
        <v>0</v>
      </c>
      <c r="S731" s="360">
        <f t="shared" ca="1" si="340"/>
        <v>8.3819999999999997</v>
      </c>
      <c r="T731" s="357">
        <f t="shared" ca="1" si="320"/>
        <v>82.227419999999995</v>
      </c>
      <c r="U731" s="364">
        <f t="shared" ca="1" si="321"/>
        <v>0</v>
      </c>
      <c r="V731" s="359">
        <f t="shared" ca="1" si="322"/>
        <v>1.2260348503000069</v>
      </c>
      <c r="W731" s="357">
        <f t="shared" ca="1" si="323"/>
        <v>56.07153787097112</v>
      </c>
      <c r="X731" s="343"/>
      <c r="Y731" s="367" t="str">
        <f t="shared" ca="1" si="341"/>
        <v/>
      </c>
      <c r="Z731" s="368" t="str">
        <f t="shared" ca="1" si="342"/>
        <v/>
      </c>
      <c r="AA731" s="369" t="str">
        <f t="shared" ca="1" si="343"/>
        <v/>
      </c>
      <c r="AB731" s="344"/>
      <c r="AC731" s="363" t="e">
        <f t="shared" ca="1" si="344"/>
        <v>#N/A</v>
      </c>
      <c r="AD731" s="376" t="e">
        <f t="shared" ca="1" si="345"/>
        <v>#N/A</v>
      </c>
      <c r="AE731" s="377" t="e">
        <f t="shared" ca="1" si="324"/>
        <v>#N/A</v>
      </c>
      <c r="AF731" s="344"/>
      <c r="AG731" s="359">
        <f t="shared" ca="1" si="346"/>
        <v>3.0437464314661016</v>
      </c>
      <c r="AH731" s="357">
        <f t="shared" ca="1" si="347"/>
        <v>-6.6894780173924078</v>
      </c>
    </row>
    <row r="732" spans="1:34" x14ac:dyDescent="0.2">
      <c r="A732" s="402">
        <f t="shared" ca="1" si="325"/>
        <v>1E-4</v>
      </c>
      <c r="B732" s="357">
        <f t="shared" ca="1" si="326"/>
        <v>35.301500000000239</v>
      </c>
      <c r="C732" s="342"/>
      <c r="D732" s="359">
        <f t="shared" ca="1" si="327"/>
        <v>-0.83528015545036538</v>
      </c>
      <c r="E732" s="360">
        <f t="shared" ca="1" si="328"/>
        <v>-3.1728353241852965</v>
      </c>
      <c r="F732" s="357">
        <f t="shared" ca="1" si="329"/>
        <v>3.2809414704452138</v>
      </c>
      <c r="G732" s="359">
        <f t="shared" ca="1" si="330"/>
        <v>16.38419200596395</v>
      </c>
      <c r="H732" s="360">
        <f t="shared" ca="1" si="331"/>
        <v>-130.19033090155099</v>
      </c>
      <c r="I732" s="357">
        <f t="shared" ca="1" si="332"/>
        <v>131.2172397512752</v>
      </c>
      <c r="J732" s="359">
        <f t="shared" ca="1" si="333"/>
        <v>953.1802660510491</v>
      </c>
      <c r="K732" s="360">
        <f t="shared" ca="1" si="334"/>
        <v>-8.4572098444618309</v>
      </c>
      <c r="L732" s="357">
        <f t="shared" ca="1" si="319"/>
        <v>953.21778413303957</v>
      </c>
      <c r="M732" s="359">
        <f t="shared" ca="1" si="335"/>
        <v>-1.4456064714567849</v>
      </c>
      <c r="N732" s="357">
        <f t="shared" ca="1" si="336"/>
        <v>-82.827149651272876</v>
      </c>
      <c r="O732" s="343"/>
      <c r="P732" s="363">
        <f t="shared" ca="1" si="337"/>
        <v>23</v>
      </c>
      <c r="Q732" s="357">
        <f t="shared" ca="1" si="338"/>
        <v>0</v>
      </c>
      <c r="R732" s="359">
        <f t="shared" ca="1" si="339"/>
        <v>0</v>
      </c>
      <c r="S732" s="360">
        <f t="shared" ca="1" si="340"/>
        <v>8.3819999999999997</v>
      </c>
      <c r="T732" s="357">
        <f t="shared" ca="1" si="320"/>
        <v>82.227419999999995</v>
      </c>
      <c r="U732" s="364">
        <f t="shared" ca="1" si="321"/>
        <v>0</v>
      </c>
      <c r="V732" s="359">
        <f t="shared" ca="1" si="322"/>
        <v>1.2260364464782147</v>
      </c>
      <c r="W732" s="357">
        <f t="shared" ca="1" si="323"/>
        <v>56.071870998413907</v>
      </c>
      <c r="X732" s="343"/>
      <c r="Y732" s="367" t="str">
        <f t="shared" ca="1" si="341"/>
        <v/>
      </c>
      <c r="Z732" s="368" t="str">
        <f t="shared" ca="1" si="342"/>
        <v/>
      </c>
      <c r="AA732" s="369" t="str">
        <f t="shared" ca="1" si="343"/>
        <v/>
      </c>
      <c r="AB732" s="344"/>
      <c r="AC732" s="363" t="e">
        <f t="shared" ca="1" si="344"/>
        <v>#N/A</v>
      </c>
      <c r="AD732" s="376" t="e">
        <f t="shared" ca="1" si="345"/>
        <v>#N/A</v>
      </c>
      <c r="AE732" s="377" t="e">
        <f t="shared" ca="1" si="324"/>
        <v>#N/A</v>
      </c>
      <c r="AF732" s="344"/>
      <c r="AG732" s="359">
        <f t="shared" ca="1" si="346"/>
        <v>3.0437078315426094</v>
      </c>
      <c r="AH732" s="357">
        <f t="shared" ca="1" si="347"/>
        <v>-6.6895177607935006</v>
      </c>
    </row>
    <row r="733" spans="1:34" x14ac:dyDescent="0.2">
      <c r="A733" s="402">
        <f t="shared" ca="1" si="325"/>
        <v>1E-4</v>
      </c>
      <c r="B733" s="357">
        <f t="shared" ca="1" si="326"/>
        <v>35.301600000000242</v>
      </c>
      <c r="C733" s="342"/>
      <c r="D733" s="359">
        <f t="shared" ca="1" si="327"/>
        <v>-0.83527892209899002</v>
      </c>
      <c r="E733" s="360">
        <f t="shared" ca="1" si="328"/>
        <v>-3.1727951122902844</v>
      </c>
      <c r="F733" s="357">
        <f t="shared" ca="1" si="329"/>
        <v>3.2809022695404946</v>
      </c>
      <c r="G733" s="359">
        <f t="shared" ca="1" si="330"/>
        <v>16.384108478071742</v>
      </c>
      <c r="H733" s="360">
        <f t="shared" ca="1" si="331"/>
        <v>-130.19064818106222</v>
      </c>
      <c r="I733" s="357">
        <f t="shared" ca="1" si="332"/>
        <v>131.21754411825555</v>
      </c>
      <c r="J733" s="359">
        <f t="shared" ca="1" si="333"/>
        <v>953.1802660510491</v>
      </c>
      <c r="K733" s="360">
        <f t="shared" ca="1" si="334"/>
        <v>-8.4702288934159622</v>
      </c>
      <c r="L733" s="357">
        <f t="shared" ca="1" si="319"/>
        <v>953.2178997305158</v>
      </c>
      <c r="M733" s="359">
        <f t="shared" ca="1" si="335"/>
        <v>-1.4456074049501448</v>
      </c>
      <c r="N733" s="357">
        <f t="shared" ca="1" si="336"/>
        <v>-82.827203136502604</v>
      </c>
      <c r="O733" s="343"/>
      <c r="P733" s="363">
        <f t="shared" ca="1" si="337"/>
        <v>23</v>
      </c>
      <c r="Q733" s="357">
        <f t="shared" ca="1" si="338"/>
        <v>0</v>
      </c>
      <c r="R733" s="359">
        <f t="shared" ca="1" si="339"/>
        <v>0</v>
      </c>
      <c r="S733" s="360">
        <f t="shared" ca="1" si="340"/>
        <v>8.3819999999999997</v>
      </c>
      <c r="T733" s="357">
        <f t="shared" ca="1" si="320"/>
        <v>82.227419999999995</v>
      </c>
      <c r="U733" s="364">
        <f t="shared" ca="1" si="321"/>
        <v>0</v>
      </c>
      <c r="V733" s="359">
        <f t="shared" ca="1" si="322"/>
        <v>1.2260380426623911</v>
      </c>
      <c r="W733" s="357">
        <f t="shared" ca="1" si="323"/>
        <v>56.072204124111472</v>
      </c>
      <c r="X733" s="343"/>
      <c r="Y733" s="367" t="str">
        <f t="shared" ca="1" si="341"/>
        <v/>
      </c>
      <c r="Z733" s="368" t="str">
        <f t="shared" ca="1" si="342"/>
        <v/>
      </c>
      <c r="AA733" s="369" t="str">
        <f t="shared" ca="1" si="343"/>
        <v/>
      </c>
      <c r="AB733" s="344"/>
      <c r="AC733" s="363" t="e">
        <f t="shared" ca="1" si="344"/>
        <v>#N/A</v>
      </c>
      <c r="AD733" s="376" t="e">
        <f t="shared" ca="1" si="345"/>
        <v>#N/A</v>
      </c>
      <c r="AE733" s="377" t="e">
        <f t="shared" ca="1" si="324"/>
        <v>#N/A</v>
      </c>
      <c r="AF733" s="344"/>
      <c r="AG733" s="359">
        <f t="shared" ca="1" si="346"/>
        <v>3.0436692318077041</v>
      </c>
      <c r="AH733" s="357">
        <f t="shared" ca="1" si="347"/>
        <v>-6.6895575039863884</v>
      </c>
    </row>
    <row r="734" spans="1:34" x14ac:dyDescent="0.2">
      <c r="A734" s="402">
        <f t="shared" ca="1" si="325"/>
        <v>1E-4</v>
      </c>
      <c r="B734" s="357">
        <f t="shared" ca="1" si="326"/>
        <v>35.301700000000245</v>
      </c>
      <c r="C734" s="342"/>
      <c r="D734" s="359">
        <f t="shared" ca="1" si="327"/>
        <v>-0.83527768870760055</v>
      </c>
      <c r="E734" s="360">
        <f t="shared" ca="1" si="328"/>
        <v>-3.1727549006059643</v>
      </c>
      <c r="F734" s="357">
        <f t="shared" ca="1" si="329"/>
        <v>3.2808630688542726</v>
      </c>
      <c r="G734" s="359">
        <f t="shared" ca="1" si="330"/>
        <v>16.384024950302869</v>
      </c>
      <c r="H734" s="360">
        <f t="shared" ca="1" si="331"/>
        <v>-130.19096545655228</v>
      </c>
      <c r="I734" s="357">
        <f t="shared" ca="1" si="332"/>
        <v>131.21784848137594</v>
      </c>
      <c r="J734" s="359">
        <f t="shared" ca="1" si="333"/>
        <v>953.1802660510491</v>
      </c>
      <c r="K734" s="360">
        <f t="shared" ca="1" si="334"/>
        <v>-8.4832479740978428</v>
      </c>
      <c r="L734" s="357">
        <f t="shared" ca="1" si="319"/>
        <v>953.21801550607449</v>
      </c>
      <c r="M734" s="359">
        <f t="shared" ca="1" si="335"/>
        <v>-1.4456083384344154</v>
      </c>
      <c r="N734" s="357">
        <f t="shared" ca="1" si="336"/>
        <v>-82.827256621211561</v>
      </c>
      <c r="O734" s="343"/>
      <c r="P734" s="363">
        <f t="shared" ca="1" si="337"/>
        <v>23</v>
      </c>
      <c r="Q734" s="357">
        <f t="shared" ca="1" si="338"/>
        <v>0</v>
      </c>
      <c r="R734" s="359">
        <f t="shared" ca="1" si="339"/>
        <v>0</v>
      </c>
      <c r="S734" s="360">
        <f t="shared" ca="1" si="340"/>
        <v>8.3819999999999997</v>
      </c>
      <c r="T734" s="357">
        <f t="shared" ca="1" si="320"/>
        <v>82.227419999999995</v>
      </c>
      <c r="U734" s="364">
        <f t="shared" ca="1" si="321"/>
        <v>0</v>
      </c>
      <c r="V734" s="359">
        <f t="shared" ca="1" si="322"/>
        <v>1.2260396388525365</v>
      </c>
      <c r="W734" s="357">
        <f t="shared" ca="1" si="323"/>
        <v>56.072537248063817</v>
      </c>
      <c r="X734" s="343"/>
      <c r="Y734" s="367" t="str">
        <f t="shared" ca="1" si="341"/>
        <v/>
      </c>
      <c r="Z734" s="368" t="str">
        <f t="shared" ca="1" si="342"/>
        <v/>
      </c>
      <c r="AA734" s="369" t="str">
        <f t="shared" ca="1" si="343"/>
        <v/>
      </c>
      <c r="AB734" s="344"/>
      <c r="AC734" s="363" t="e">
        <f t="shared" ca="1" si="344"/>
        <v>#N/A</v>
      </c>
      <c r="AD734" s="376" t="e">
        <f t="shared" ca="1" si="345"/>
        <v>#N/A</v>
      </c>
      <c r="AE734" s="377" t="e">
        <f t="shared" ca="1" si="324"/>
        <v>#N/A</v>
      </c>
      <c r="AF734" s="344"/>
      <c r="AG734" s="359">
        <f t="shared" ca="1" si="346"/>
        <v>3.0436306322613946</v>
      </c>
      <c r="AH734" s="357">
        <f t="shared" ca="1" si="347"/>
        <v>-6.6895972469710658</v>
      </c>
    </row>
    <row r="735" spans="1:34" x14ac:dyDescent="0.2">
      <c r="A735" s="402">
        <f t="shared" ca="1" si="325"/>
        <v>1E-4</v>
      </c>
      <c r="B735" s="357">
        <f t="shared" ca="1" si="326"/>
        <v>35.301800000000249</v>
      </c>
      <c r="C735" s="342"/>
      <c r="D735" s="359">
        <f t="shared" ca="1" si="327"/>
        <v>-0.83527645527619576</v>
      </c>
      <c r="E735" s="360">
        <f t="shared" ca="1" si="328"/>
        <v>-3.1727146891323361</v>
      </c>
      <c r="F735" s="357">
        <f t="shared" ca="1" si="329"/>
        <v>3.2808238683865465</v>
      </c>
      <c r="G735" s="359">
        <f t="shared" ca="1" si="330"/>
        <v>16.38394142265734</v>
      </c>
      <c r="H735" s="360">
        <f t="shared" ca="1" si="331"/>
        <v>-130.19128272802118</v>
      </c>
      <c r="I735" s="357">
        <f t="shared" ca="1" si="332"/>
        <v>131.21815284063638</v>
      </c>
      <c r="J735" s="359">
        <f t="shared" ca="1" si="333"/>
        <v>953.1802660510491</v>
      </c>
      <c r="K735" s="360">
        <f t="shared" ca="1" si="334"/>
        <v>-8.4962670865070713</v>
      </c>
      <c r="L735" s="357">
        <f t="shared" ca="1" si="319"/>
        <v>953.2181314597168</v>
      </c>
      <c r="M735" s="359">
        <f t="shared" ca="1" si="335"/>
        <v>-1.4456092719095965</v>
      </c>
      <c r="N735" s="357">
        <f t="shared" ca="1" si="336"/>
        <v>-82.827310105399718</v>
      </c>
      <c r="O735" s="343"/>
      <c r="P735" s="363">
        <f t="shared" ca="1" si="337"/>
        <v>23</v>
      </c>
      <c r="Q735" s="357">
        <f t="shared" ca="1" si="338"/>
        <v>0</v>
      </c>
      <c r="R735" s="359">
        <f t="shared" ca="1" si="339"/>
        <v>0</v>
      </c>
      <c r="S735" s="360">
        <f t="shared" ca="1" si="340"/>
        <v>8.3819999999999997</v>
      </c>
      <c r="T735" s="357">
        <f t="shared" ca="1" si="320"/>
        <v>82.227419999999995</v>
      </c>
      <c r="U735" s="364">
        <f t="shared" ca="1" si="321"/>
        <v>0</v>
      </c>
      <c r="V735" s="359">
        <f t="shared" ca="1" si="322"/>
        <v>1.2260412350486507</v>
      </c>
      <c r="W735" s="357">
        <f t="shared" ca="1" si="323"/>
        <v>56.072870370270905</v>
      </c>
      <c r="X735" s="343"/>
      <c r="Y735" s="367" t="str">
        <f t="shared" ca="1" si="341"/>
        <v/>
      </c>
      <c r="Z735" s="368" t="str">
        <f t="shared" ca="1" si="342"/>
        <v/>
      </c>
      <c r="AA735" s="369" t="str">
        <f t="shared" ca="1" si="343"/>
        <v/>
      </c>
      <c r="AB735" s="344"/>
      <c r="AC735" s="363" t="e">
        <f t="shared" ca="1" si="344"/>
        <v>#N/A</v>
      </c>
      <c r="AD735" s="376" t="e">
        <f t="shared" ca="1" si="345"/>
        <v>#N/A</v>
      </c>
      <c r="AE735" s="377" t="e">
        <f t="shared" ca="1" si="324"/>
        <v>#N/A</v>
      </c>
      <c r="AF735" s="344"/>
      <c r="AG735" s="359">
        <f t="shared" ca="1" si="346"/>
        <v>3.043592032903681</v>
      </c>
      <c r="AH735" s="357">
        <f t="shared" ca="1" si="347"/>
        <v>-6.689636989747533</v>
      </c>
    </row>
    <row r="736" spans="1:34" x14ac:dyDescent="0.2">
      <c r="A736" s="402">
        <f t="shared" ca="1" si="325"/>
        <v>1E-4</v>
      </c>
      <c r="B736" s="357">
        <f t="shared" ca="1" si="326"/>
        <v>35.301900000000252</v>
      </c>
      <c r="C736" s="342"/>
      <c r="D736" s="359">
        <f t="shared" ca="1" si="327"/>
        <v>-0.83527522180477665</v>
      </c>
      <c r="E736" s="360">
        <f t="shared" ca="1" si="328"/>
        <v>-3.1726744778694052</v>
      </c>
      <c r="F736" s="357">
        <f t="shared" ca="1" si="329"/>
        <v>3.2807846681373225</v>
      </c>
      <c r="G736" s="359">
        <f t="shared" ca="1" si="330"/>
        <v>16.383857895135161</v>
      </c>
      <c r="H736" s="360">
        <f t="shared" ca="1" si="331"/>
        <v>-130.19159999546898</v>
      </c>
      <c r="I736" s="357">
        <f t="shared" ca="1" si="332"/>
        <v>131.21845719603695</v>
      </c>
      <c r="J736" s="359">
        <f t="shared" ca="1" si="333"/>
        <v>953.1802660510491</v>
      </c>
      <c r="K736" s="360">
        <f t="shared" ca="1" si="334"/>
        <v>-8.5092862306432462</v>
      </c>
      <c r="L736" s="357">
        <f t="shared" ca="1" si="319"/>
        <v>953.2182475914442</v>
      </c>
      <c r="M736" s="359">
        <f t="shared" ca="1" si="335"/>
        <v>-1.4456102053756885</v>
      </c>
      <c r="N736" s="357">
        <f t="shared" ca="1" si="336"/>
        <v>-82.827363589067104</v>
      </c>
      <c r="O736" s="343"/>
      <c r="P736" s="363">
        <f t="shared" ca="1" si="337"/>
        <v>23</v>
      </c>
      <c r="Q736" s="357">
        <f t="shared" ca="1" si="338"/>
        <v>0</v>
      </c>
      <c r="R736" s="359">
        <f t="shared" ca="1" si="339"/>
        <v>0</v>
      </c>
      <c r="S736" s="360">
        <f t="shared" ca="1" si="340"/>
        <v>8.3819999999999997</v>
      </c>
      <c r="T736" s="357">
        <f t="shared" ca="1" si="320"/>
        <v>82.227419999999995</v>
      </c>
      <c r="U736" s="364">
        <f t="shared" ca="1" si="321"/>
        <v>0</v>
      </c>
      <c r="V736" s="359">
        <f t="shared" ca="1" si="322"/>
        <v>1.2260428312507343</v>
      </c>
      <c r="W736" s="357">
        <f t="shared" ca="1" si="323"/>
        <v>56.073203490732816</v>
      </c>
      <c r="X736" s="343"/>
      <c r="Y736" s="367" t="str">
        <f t="shared" ca="1" si="341"/>
        <v/>
      </c>
      <c r="Z736" s="368" t="str">
        <f t="shared" ca="1" si="342"/>
        <v/>
      </c>
      <c r="AA736" s="369" t="str">
        <f t="shared" ca="1" si="343"/>
        <v/>
      </c>
      <c r="AB736" s="344"/>
      <c r="AC736" s="363" t="e">
        <f t="shared" ca="1" si="344"/>
        <v>#N/A</v>
      </c>
      <c r="AD736" s="376" t="e">
        <f t="shared" ca="1" si="345"/>
        <v>#N/A</v>
      </c>
      <c r="AE736" s="377" t="e">
        <f t="shared" ca="1" si="324"/>
        <v>#N/A</v>
      </c>
      <c r="AF736" s="344"/>
      <c r="AG736" s="359">
        <f t="shared" ca="1" si="346"/>
        <v>3.0435534337345684</v>
      </c>
      <c r="AH736" s="357">
        <f t="shared" ca="1" si="347"/>
        <v>-6.6896767323157844</v>
      </c>
    </row>
    <row r="737" spans="1:34" x14ac:dyDescent="0.2">
      <c r="A737" s="402">
        <f t="shared" ca="1" si="325"/>
        <v>1E-4</v>
      </c>
      <c r="B737" s="357">
        <f t="shared" ca="1" si="326"/>
        <v>35.302000000000255</v>
      </c>
      <c r="C737" s="342"/>
      <c r="D737" s="359">
        <f t="shared" ca="1" si="327"/>
        <v>-0.83527398829334465</v>
      </c>
      <c r="E737" s="360">
        <f t="shared" ca="1" si="328"/>
        <v>-3.1726342668171625</v>
      </c>
      <c r="F737" s="357">
        <f t="shared" ca="1" si="329"/>
        <v>3.2807454681065926</v>
      </c>
      <c r="G737" s="359">
        <f t="shared" ca="1" si="330"/>
        <v>16.383774367736333</v>
      </c>
      <c r="H737" s="360">
        <f t="shared" ca="1" si="331"/>
        <v>-130.19191725889567</v>
      </c>
      <c r="I737" s="357">
        <f t="shared" ca="1" si="332"/>
        <v>131.2187615475776</v>
      </c>
      <c r="J737" s="359">
        <f t="shared" ca="1" si="333"/>
        <v>953.1802660510491</v>
      </c>
      <c r="K737" s="360">
        <f t="shared" ca="1" si="334"/>
        <v>-8.5223054065059642</v>
      </c>
      <c r="L737" s="357">
        <f t="shared" ca="1" si="319"/>
        <v>953.2183639012577</v>
      </c>
      <c r="M737" s="359">
        <f t="shared" ca="1" si="335"/>
        <v>-1.4456111388326911</v>
      </c>
      <c r="N737" s="357">
        <f t="shared" ca="1" si="336"/>
        <v>-82.827417072213706</v>
      </c>
      <c r="O737" s="343"/>
      <c r="P737" s="363">
        <f t="shared" ca="1" si="337"/>
        <v>23</v>
      </c>
      <c r="Q737" s="357">
        <f t="shared" ca="1" si="338"/>
        <v>0</v>
      </c>
      <c r="R737" s="359">
        <f t="shared" ca="1" si="339"/>
        <v>0</v>
      </c>
      <c r="S737" s="360">
        <f t="shared" ca="1" si="340"/>
        <v>8.3819999999999997</v>
      </c>
      <c r="T737" s="357">
        <f t="shared" ca="1" si="320"/>
        <v>82.227419999999995</v>
      </c>
      <c r="U737" s="364">
        <f t="shared" ca="1" si="321"/>
        <v>0</v>
      </c>
      <c r="V737" s="359">
        <f t="shared" ca="1" si="322"/>
        <v>1.2260444274587861</v>
      </c>
      <c r="W737" s="357">
        <f t="shared" ca="1" si="323"/>
        <v>56.073536609449405</v>
      </c>
      <c r="X737" s="343"/>
      <c r="Y737" s="367" t="str">
        <f t="shared" ca="1" si="341"/>
        <v/>
      </c>
      <c r="Z737" s="368" t="str">
        <f t="shared" ca="1" si="342"/>
        <v/>
      </c>
      <c r="AA737" s="369" t="str">
        <f t="shared" ca="1" si="343"/>
        <v/>
      </c>
      <c r="AB737" s="344"/>
      <c r="AC737" s="363" t="e">
        <f t="shared" ca="1" si="344"/>
        <v>#N/A</v>
      </c>
      <c r="AD737" s="376" t="e">
        <f t="shared" ca="1" si="345"/>
        <v>#N/A</v>
      </c>
      <c r="AE737" s="377" t="e">
        <f t="shared" ca="1" si="324"/>
        <v>#N/A</v>
      </c>
      <c r="AF737" s="344"/>
      <c r="AG737" s="359">
        <f t="shared" ca="1" si="346"/>
        <v>3.0435148347540428</v>
      </c>
      <c r="AH737" s="357">
        <f t="shared" ca="1" si="347"/>
        <v>-6.6897164746758309</v>
      </c>
    </row>
    <row r="738" spans="1:34" x14ac:dyDescent="0.2">
      <c r="A738" s="402">
        <f t="shared" ca="1" si="325"/>
        <v>1E-4</v>
      </c>
      <c r="B738" s="357">
        <f t="shared" ca="1" si="326"/>
        <v>35.302100000000259</v>
      </c>
      <c r="C738" s="342"/>
      <c r="D738" s="359">
        <f t="shared" ca="1" si="327"/>
        <v>-0.8352727547419011</v>
      </c>
      <c r="E738" s="360">
        <f t="shared" ca="1" si="328"/>
        <v>-3.1725940559756225</v>
      </c>
      <c r="F738" s="357">
        <f t="shared" ca="1" si="329"/>
        <v>3.2807062682943706</v>
      </c>
      <c r="G738" s="359">
        <f t="shared" ca="1" si="330"/>
        <v>16.383690840460858</v>
      </c>
      <c r="H738" s="360">
        <f t="shared" ca="1" si="331"/>
        <v>-130.19223451830126</v>
      </c>
      <c r="I738" s="357">
        <f t="shared" ca="1" si="332"/>
        <v>131.21906589525835</v>
      </c>
      <c r="J738" s="359">
        <f t="shared" ca="1" si="333"/>
        <v>953.1802660510491</v>
      </c>
      <c r="K738" s="360">
        <f t="shared" ca="1" si="334"/>
        <v>-8.535324614094824</v>
      </c>
      <c r="L738" s="357">
        <f t="shared" ca="1" si="319"/>
        <v>953.21848038915869</v>
      </c>
      <c r="M738" s="359">
        <f t="shared" ca="1" si="335"/>
        <v>-1.445612072280605</v>
      </c>
      <c r="N738" s="357">
        <f t="shared" ca="1" si="336"/>
        <v>-82.827470554839564</v>
      </c>
      <c r="O738" s="343"/>
      <c r="P738" s="363">
        <f t="shared" ca="1" si="337"/>
        <v>23</v>
      </c>
      <c r="Q738" s="357">
        <f t="shared" ca="1" si="338"/>
        <v>0</v>
      </c>
      <c r="R738" s="359">
        <f t="shared" ca="1" si="339"/>
        <v>0</v>
      </c>
      <c r="S738" s="360">
        <f t="shared" ca="1" si="340"/>
        <v>8.3819999999999997</v>
      </c>
      <c r="T738" s="357">
        <f t="shared" ca="1" si="320"/>
        <v>82.227419999999995</v>
      </c>
      <c r="U738" s="364">
        <f t="shared" ca="1" si="321"/>
        <v>0</v>
      </c>
      <c r="V738" s="359">
        <f t="shared" ca="1" si="322"/>
        <v>1.2260460236728068</v>
      </c>
      <c r="W738" s="357">
        <f t="shared" ca="1" si="323"/>
        <v>56.073869726420703</v>
      </c>
      <c r="X738" s="343"/>
      <c r="Y738" s="367" t="str">
        <f t="shared" ca="1" si="341"/>
        <v/>
      </c>
      <c r="Z738" s="368" t="str">
        <f t="shared" ca="1" si="342"/>
        <v/>
      </c>
      <c r="AA738" s="369" t="str">
        <f t="shared" ca="1" si="343"/>
        <v/>
      </c>
      <c r="AB738" s="344"/>
      <c r="AC738" s="363" t="e">
        <f t="shared" ca="1" si="344"/>
        <v>#N/A</v>
      </c>
      <c r="AD738" s="376" t="e">
        <f t="shared" ca="1" si="345"/>
        <v>#N/A</v>
      </c>
      <c r="AE738" s="377" t="e">
        <f t="shared" ca="1" si="324"/>
        <v>#N/A</v>
      </c>
      <c r="AF738" s="344"/>
      <c r="AG738" s="359">
        <f t="shared" ca="1" si="346"/>
        <v>3.0434762359621281</v>
      </c>
      <c r="AH738" s="357">
        <f t="shared" ca="1" si="347"/>
        <v>-6.6897562168276554</v>
      </c>
    </row>
    <row r="739" spans="1:34" x14ac:dyDescent="0.2">
      <c r="A739" s="402">
        <f t="shared" ca="1" si="325"/>
        <v>1E-4</v>
      </c>
      <c r="B739" s="357">
        <f t="shared" ca="1" si="326"/>
        <v>35.302200000000262</v>
      </c>
      <c r="C739" s="342"/>
      <c r="D739" s="359">
        <f t="shared" ca="1" si="327"/>
        <v>-0.83527152115044334</v>
      </c>
      <c r="E739" s="360">
        <f t="shared" ca="1" si="328"/>
        <v>-3.1725538453447841</v>
      </c>
      <c r="F739" s="357">
        <f t="shared" ca="1" si="329"/>
        <v>3.2806670687006556</v>
      </c>
      <c r="G739" s="359">
        <f t="shared" ca="1" si="330"/>
        <v>16.383607313308744</v>
      </c>
      <c r="H739" s="360">
        <f t="shared" ca="1" si="331"/>
        <v>-130.19255177368581</v>
      </c>
      <c r="I739" s="357">
        <f t="shared" ca="1" si="332"/>
        <v>131.21937023907927</v>
      </c>
      <c r="J739" s="359">
        <f t="shared" ca="1" si="333"/>
        <v>953.1802660510491</v>
      </c>
      <c r="K739" s="360">
        <f t="shared" ca="1" si="334"/>
        <v>-8.548343853409424</v>
      </c>
      <c r="L739" s="357">
        <f t="shared" ca="1" si="319"/>
        <v>953.21859705514817</v>
      </c>
      <c r="M739" s="359">
        <f t="shared" ca="1" si="335"/>
        <v>-1.4456130057194296</v>
      </c>
      <c r="N739" s="357">
        <f t="shared" ca="1" si="336"/>
        <v>-82.827524036944652</v>
      </c>
      <c r="O739" s="343"/>
      <c r="P739" s="363">
        <f t="shared" ca="1" si="337"/>
        <v>23</v>
      </c>
      <c r="Q739" s="357">
        <f t="shared" ca="1" si="338"/>
        <v>0</v>
      </c>
      <c r="R739" s="359">
        <f t="shared" ca="1" si="339"/>
        <v>0</v>
      </c>
      <c r="S739" s="360">
        <f t="shared" ca="1" si="340"/>
        <v>8.3819999999999997</v>
      </c>
      <c r="T739" s="357">
        <f t="shared" ca="1" si="320"/>
        <v>82.227419999999995</v>
      </c>
      <c r="U739" s="364">
        <f t="shared" ca="1" si="321"/>
        <v>0</v>
      </c>
      <c r="V739" s="359">
        <f t="shared" ca="1" si="322"/>
        <v>1.2260476198927965</v>
      </c>
      <c r="W739" s="357">
        <f t="shared" ca="1" si="323"/>
        <v>56.074202841646738</v>
      </c>
      <c r="X739" s="343"/>
      <c r="Y739" s="367" t="str">
        <f t="shared" ca="1" si="341"/>
        <v/>
      </c>
      <c r="Z739" s="368" t="str">
        <f t="shared" ca="1" si="342"/>
        <v/>
      </c>
      <c r="AA739" s="369" t="str">
        <f t="shared" ca="1" si="343"/>
        <v/>
      </c>
      <c r="AB739" s="344"/>
      <c r="AC739" s="363" t="e">
        <f t="shared" ca="1" si="344"/>
        <v>#N/A</v>
      </c>
      <c r="AD739" s="376" t="e">
        <f t="shared" ca="1" si="345"/>
        <v>#N/A</v>
      </c>
      <c r="AE739" s="377" t="e">
        <f t="shared" ca="1" si="324"/>
        <v>#N/A</v>
      </c>
      <c r="AF739" s="344"/>
      <c r="AG739" s="359">
        <f t="shared" ca="1" si="346"/>
        <v>3.0434376373588199</v>
      </c>
      <c r="AH739" s="357">
        <f t="shared" ca="1" si="347"/>
        <v>-6.6897959587712608</v>
      </c>
    </row>
    <row r="740" spans="1:34" x14ac:dyDescent="0.2">
      <c r="A740" s="402">
        <f t="shared" ca="1" si="325"/>
        <v>1E-4</v>
      </c>
      <c r="B740" s="357">
        <f t="shared" ca="1" si="326"/>
        <v>35.302300000000265</v>
      </c>
      <c r="C740" s="342"/>
      <c r="D740" s="359">
        <f t="shared" ca="1" si="327"/>
        <v>-0.83527028751897636</v>
      </c>
      <c r="E740" s="360">
        <f t="shared" ca="1" si="328"/>
        <v>-3.1725136349246448</v>
      </c>
      <c r="F740" s="357">
        <f t="shared" ca="1" si="329"/>
        <v>3.2806278693254458</v>
      </c>
      <c r="G740" s="359">
        <f t="shared" ca="1" si="330"/>
        <v>16.383523786279991</v>
      </c>
      <c r="H740" s="360">
        <f t="shared" ca="1" si="331"/>
        <v>-130.1928690250493</v>
      </c>
      <c r="I740" s="357">
        <f t="shared" ca="1" si="332"/>
        <v>131.21967457904034</v>
      </c>
      <c r="J740" s="359">
        <f t="shared" ca="1" si="333"/>
        <v>953.1802660510491</v>
      </c>
      <c r="K740" s="360">
        <f t="shared" ca="1" si="334"/>
        <v>-8.5613631244493611</v>
      </c>
      <c r="L740" s="357">
        <f t="shared" ca="1" si="319"/>
        <v>953.21871389922762</v>
      </c>
      <c r="M740" s="359">
        <f t="shared" ca="1" si="335"/>
        <v>-1.4456139391491658</v>
      </c>
      <c r="N740" s="357">
        <f t="shared" ca="1" si="336"/>
        <v>-82.827577518529012</v>
      </c>
      <c r="O740" s="343"/>
      <c r="P740" s="363">
        <f t="shared" ca="1" si="337"/>
        <v>23</v>
      </c>
      <c r="Q740" s="357">
        <f t="shared" ca="1" si="338"/>
        <v>0</v>
      </c>
      <c r="R740" s="359">
        <f t="shared" ca="1" si="339"/>
        <v>0</v>
      </c>
      <c r="S740" s="360">
        <f t="shared" ca="1" si="340"/>
        <v>8.3819999999999997</v>
      </c>
      <c r="T740" s="357">
        <f t="shared" ca="1" si="320"/>
        <v>82.227419999999995</v>
      </c>
      <c r="U740" s="364">
        <f t="shared" ca="1" si="321"/>
        <v>0</v>
      </c>
      <c r="V740" s="359">
        <f t="shared" ca="1" si="322"/>
        <v>1.2260492161187546</v>
      </c>
      <c r="W740" s="357">
        <f t="shared" ca="1" si="323"/>
        <v>56.074535955127445</v>
      </c>
      <c r="X740" s="343"/>
      <c r="Y740" s="367" t="str">
        <f t="shared" ca="1" si="341"/>
        <v/>
      </c>
      <c r="Z740" s="368" t="str">
        <f t="shared" ca="1" si="342"/>
        <v/>
      </c>
      <c r="AA740" s="369" t="str">
        <f t="shared" ca="1" si="343"/>
        <v/>
      </c>
      <c r="AB740" s="344"/>
      <c r="AC740" s="363" t="e">
        <f t="shared" ca="1" si="344"/>
        <v>#N/A</v>
      </c>
      <c r="AD740" s="376" t="e">
        <f t="shared" ca="1" si="345"/>
        <v>#N/A</v>
      </c>
      <c r="AE740" s="377" t="e">
        <f t="shared" ca="1" si="324"/>
        <v>#N/A</v>
      </c>
      <c r="AF740" s="344"/>
      <c r="AG740" s="359">
        <f t="shared" ca="1" si="346"/>
        <v>3.0433990389441119</v>
      </c>
      <c r="AH740" s="357">
        <f t="shared" ca="1" si="347"/>
        <v>-6.6898357005066496</v>
      </c>
    </row>
    <row r="741" spans="1:34" x14ac:dyDescent="0.2">
      <c r="A741" s="402">
        <f t="shared" ca="1" si="325"/>
        <v>1E-4</v>
      </c>
      <c r="B741" s="357">
        <f t="shared" ca="1" si="326"/>
        <v>35.302400000000269</v>
      </c>
      <c r="C741" s="342"/>
      <c r="D741" s="359">
        <f t="shared" ca="1" si="327"/>
        <v>-0.83526905384749672</v>
      </c>
      <c r="E741" s="360">
        <f t="shared" ca="1" si="328"/>
        <v>-3.1724734247152089</v>
      </c>
      <c r="F741" s="357">
        <f t="shared" ca="1" si="329"/>
        <v>3.2805886701687457</v>
      </c>
      <c r="G741" s="359">
        <f t="shared" ca="1" si="330"/>
        <v>16.383440259374606</v>
      </c>
      <c r="H741" s="360">
        <f t="shared" ca="1" si="331"/>
        <v>-130.19318627239178</v>
      </c>
      <c r="I741" s="357">
        <f t="shared" ca="1" si="332"/>
        <v>131.21997891514158</v>
      </c>
      <c r="J741" s="359">
        <f t="shared" ca="1" si="333"/>
        <v>953.1802660510491</v>
      </c>
      <c r="K741" s="360">
        <f t="shared" ca="1" si="334"/>
        <v>-8.5743824272142337</v>
      </c>
      <c r="L741" s="357">
        <f t="shared" ca="1" si="319"/>
        <v>953.21883092139808</v>
      </c>
      <c r="M741" s="359">
        <f t="shared" ca="1" si="335"/>
        <v>-1.4456148725698135</v>
      </c>
      <c r="N741" s="357">
        <f t="shared" ca="1" si="336"/>
        <v>-82.827630999592628</v>
      </c>
      <c r="O741" s="343"/>
      <c r="P741" s="363">
        <f t="shared" ca="1" si="337"/>
        <v>23</v>
      </c>
      <c r="Q741" s="357">
        <f t="shared" ca="1" si="338"/>
        <v>0</v>
      </c>
      <c r="R741" s="359">
        <f t="shared" ca="1" si="339"/>
        <v>0</v>
      </c>
      <c r="S741" s="360">
        <f t="shared" ca="1" si="340"/>
        <v>8.3819999999999997</v>
      </c>
      <c r="T741" s="357">
        <f t="shared" ca="1" si="320"/>
        <v>82.227419999999995</v>
      </c>
      <c r="U741" s="364">
        <f t="shared" ca="1" si="321"/>
        <v>0</v>
      </c>
      <c r="V741" s="359">
        <f t="shared" ca="1" si="322"/>
        <v>1.2260508123506815</v>
      </c>
      <c r="W741" s="357">
        <f t="shared" ca="1" si="323"/>
        <v>56.074869066862817</v>
      </c>
      <c r="X741" s="343"/>
      <c r="Y741" s="367" t="str">
        <f t="shared" ca="1" si="341"/>
        <v/>
      </c>
      <c r="Z741" s="368" t="str">
        <f t="shared" ca="1" si="342"/>
        <v/>
      </c>
      <c r="AA741" s="369" t="str">
        <f t="shared" ca="1" si="343"/>
        <v/>
      </c>
      <c r="AB741" s="344"/>
      <c r="AC741" s="363" t="e">
        <f t="shared" ca="1" si="344"/>
        <v>#N/A</v>
      </c>
      <c r="AD741" s="376" t="e">
        <f t="shared" ca="1" si="345"/>
        <v>#N/A</v>
      </c>
      <c r="AE741" s="377" t="e">
        <f t="shared" ca="1" si="324"/>
        <v>#N/A</v>
      </c>
      <c r="AF741" s="344"/>
      <c r="AG741" s="359">
        <f t="shared" ca="1" si="346"/>
        <v>3.0433604407180148</v>
      </c>
      <c r="AH741" s="357">
        <f t="shared" ca="1" si="347"/>
        <v>-6.6898754420338165</v>
      </c>
    </row>
    <row r="742" spans="1:34" x14ac:dyDescent="0.2">
      <c r="A742" s="402">
        <f t="shared" ca="1" si="325"/>
        <v>1E-4</v>
      </c>
      <c r="B742" s="357">
        <f t="shared" ca="1" si="326"/>
        <v>35.302500000000272</v>
      </c>
      <c r="C742" s="342"/>
      <c r="D742" s="359">
        <f t="shared" ca="1" si="327"/>
        <v>-0.83526782013600565</v>
      </c>
      <c r="E742" s="360">
        <f t="shared" ca="1" si="328"/>
        <v>-3.17243321471648</v>
      </c>
      <c r="F742" s="357">
        <f t="shared" ca="1" si="329"/>
        <v>3.2805494712305578</v>
      </c>
      <c r="G742" s="359">
        <f t="shared" ca="1" si="330"/>
        <v>16.383356732592592</v>
      </c>
      <c r="H742" s="360">
        <f t="shared" ca="1" si="331"/>
        <v>-130.19350351571325</v>
      </c>
      <c r="I742" s="357">
        <f t="shared" ca="1" si="332"/>
        <v>131.22028324738301</v>
      </c>
      <c r="J742" s="359">
        <f t="shared" ca="1" si="333"/>
        <v>953.1802660510491</v>
      </c>
      <c r="K742" s="360">
        <f t="shared" ca="1" si="334"/>
        <v>-8.5874017617036387</v>
      </c>
      <c r="L742" s="357">
        <f t="shared" ca="1" si="319"/>
        <v>953.2189481216609</v>
      </c>
      <c r="M742" s="359">
        <f t="shared" ca="1" si="335"/>
        <v>-1.4456158059813724</v>
      </c>
      <c r="N742" s="357">
        <f t="shared" ca="1" si="336"/>
        <v>-82.827684480135503</v>
      </c>
      <c r="O742" s="343"/>
      <c r="P742" s="363">
        <f t="shared" ca="1" si="337"/>
        <v>23</v>
      </c>
      <c r="Q742" s="357">
        <f t="shared" ca="1" si="338"/>
        <v>0</v>
      </c>
      <c r="R742" s="359">
        <f t="shared" ca="1" si="339"/>
        <v>0</v>
      </c>
      <c r="S742" s="360">
        <f t="shared" ca="1" si="340"/>
        <v>8.3819999999999997</v>
      </c>
      <c r="T742" s="357">
        <f t="shared" ca="1" si="320"/>
        <v>82.227419999999995</v>
      </c>
      <c r="U742" s="364">
        <f t="shared" ca="1" si="321"/>
        <v>0</v>
      </c>
      <c r="V742" s="359">
        <f t="shared" ca="1" si="322"/>
        <v>1.2260524085885771</v>
      </c>
      <c r="W742" s="357">
        <f t="shared" ca="1" si="323"/>
        <v>56.075202176852841</v>
      </c>
      <c r="X742" s="343"/>
      <c r="Y742" s="367" t="str">
        <f t="shared" ca="1" si="341"/>
        <v/>
      </c>
      <c r="Z742" s="368" t="str">
        <f t="shared" ca="1" si="342"/>
        <v/>
      </c>
      <c r="AA742" s="369" t="str">
        <f t="shared" ca="1" si="343"/>
        <v/>
      </c>
      <c r="AB742" s="344"/>
      <c r="AC742" s="363" t="e">
        <f t="shared" ca="1" si="344"/>
        <v>#N/A</v>
      </c>
      <c r="AD742" s="376" t="e">
        <f t="shared" ca="1" si="345"/>
        <v>#N/A</v>
      </c>
      <c r="AE742" s="377" t="e">
        <f t="shared" ca="1" si="324"/>
        <v>#N/A</v>
      </c>
      <c r="AF742" s="344"/>
      <c r="AG742" s="359">
        <f t="shared" ca="1" si="346"/>
        <v>3.0433218426805304</v>
      </c>
      <c r="AH742" s="357">
        <f t="shared" ca="1" si="347"/>
        <v>-6.6899151833527579</v>
      </c>
    </row>
    <row r="743" spans="1:34" x14ac:dyDescent="0.2">
      <c r="A743" s="402">
        <f t="shared" ca="1" si="325"/>
        <v>1E-4</v>
      </c>
      <c r="B743" s="357">
        <f t="shared" ca="1" si="326"/>
        <v>35.302600000000275</v>
      </c>
      <c r="C743" s="342"/>
      <c r="D743" s="359">
        <f t="shared" ca="1" si="327"/>
        <v>-0.83526658638450635</v>
      </c>
      <c r="E743" s="360">
        <f t="shared" ca="1" si="328"/>
        <v>-3.1723930049284581</v>
      </c>
      <c r="F743" s="357">
        <f t="shared" ca="1" si="329"/>
        <v>3.280510272510885</v>
      </c>
      <c r="G743" s="359">
        <f t="shared" ca="1" si="330"/>
        <v>16.383273205933953</v>
      </c>
      <c r="H743" s="360">
        <f t="shared" ca="1" si="331"/>
        <v>-130.19382075501375</v>
      </c>
      <c r="I743" s="357">
        <f t="shared" ca="1" si="332"/>
        <v>131.22058757576465</v>
      </c>
      <c r="J743" s="359">
        <f t="shared" ca="1" si="333"/>
        <v>953.1802660510491</v>
      </c>
      <c r="K743" s="360">
        <f t="shared" ca="1" si="334"/>
        <v>-8.6004211279171745</v>
      </c>
      <c r="L743" s="357">
        <f t="shared" ca="1" si="319"/>
        <v>953.21906550001734</v>
      </c>
      <c r="M743" s="359">
        <f t="shared" ca="1" si="335"/>
        <v>-1.4456167393838431</v>
      </c>
      <c r="N743" s="357">
        <f t="shared" ca="1" si="336"/>
        <v>-82.827737960157663</v>
      </c>
      <c r="O743" s="343"/>
      <c r="P743" s="363">
        <f t="shared" ca="1" si="337"/>
        <v>23</v>
      </c>
      <c r="Q743" s="357">
        <f t="shared" ca="1" si="338"/>
        <v>0</v>
      </c>
      <c r="R743" s="359">
        <f t="shared" ca="1" si="339"/>
        <v>0</v>
      </c>
      <c r="S743" s="360">
        <f t="shared" ca="1" si="340"/>
        <v>8.3819999999999997</v>
      </c>
      <c r="T743" s="357">
        <f t="shared" ca="1" si="320"/>
        <v>82.227419999999995</v>
      </c>
      <c r="U743" s="364">
        <f t="shared" ca="1" si="321"/>
        <v>0</v>
      </c>
      <c r="V743" s="359">
        <f t="shared" ca="1" si="322"/>
        <v>1.2260540048324415</v>
      </c>
      <c r="W743" s="357">
        <f t="shared" ca="1" si="323"/>
        <v>56.075535285097523</v>
      </c>
      <c r="X743" s="343"/>
      <c r="Y743" s="367" t="str">
        <f t="shared" ca="1" si="341"/>
        <v/>
      </c>
      <c r="Z743" s="368" t="str">
        <f t="shared" ca="1" si="342"/>
        <v/>
      </c>
      <c r="AA743" s="369" t="str">
        <f t="shared" ca="1" si="343"/>
        <v/>
      </c>
      <c r="AB743" s="344"/>
      <c r="AC743" s="363" t="e">
        <f t="shared" ca="1" si="344"/>
        <v>#N/A</v>
      </c>
      <c r="AD743" s="376" t="e">
        <f t="shared" ca="1" si="345"/>
        <v>#N/A</v>
      </c>
      <c r="AE743" s="377" t="e">
        <f t="shared" ca="1" si="324"/>
        <v>#N/A</v>
      </c>
      <c r="AF743" s="344"/>
      <c r="AG743" s="359">
        <f t="shared" ca="1" si="346"/>
        <v>3.0432832448316578</v>
      </c>
      <c r="AH743" s="357">
        <f t="shared" ca="1" si="347"/>
        <v>-6.6899549244634748</v>
      </c>
    </row>
    <row r="744" spans="1:34" x14ac:dyDescent="0.2">
      <c r="A744" s="402">
        <f t="shared" ca="1" si="325"/>
        <v>1E-4</v>
      </c>
      <c r="B744" s="357">
        <f t="shared" ca="1" si="326"/>
        <v>35.302700000000279</v>
      </c>
      <c r="C744" s="342"/>
      <c r="D744" s="359">
        <f t="shared" ca="1" si="327"/>
        <v>-0.8352653525929975</v>
      </c>
      <c r="E744" s="360">
        <f t="shared" ca="1" si="328"/>
        <v>-3.1723527953511441</v>
      </c>
      <c r="F744" s="357">
        <f t="shared" ca="1" si="329"/>
        <v>3.2804710740097254</v>
      </c>
      <c r="G744" s="359">
        <f t="shared" ca="1" si="330"/>
        <v>16.383189679398694</v>
      </c>
      <c r="H744" s="360">
        <f t="shared" ca="1" si="331"/>
        <v>-130.19413799029329</v>
      </c>
      <c r="I744" s="357">
        <f t="shared" ca="1" si="332"/>
        <v>131.22089190028655</v>
      </c>
      <c r="J744" s="359">
        <f t="shared" ca="1" si="333"/>
        <v>953.1802660510491</v>
      </c>
      <c r="K744" s="360">
        <f t="shared" ca="1" si="334"/>
        <v>-8.6134405258544398</v>
      </c>
      <c r="L744" s="357">
        <f t="shared" ca="1" si="319"/>
        <v>953.21918305646852</v>
      </c>
      <c r="M744" s="359">
        <f t="shared" ca="1" si="335"/>
        <v>-1.4456176727772256</v>
      </c>
      <c r="N744" s="357">
        <f t="shared" ca="1" si="336"/>
        <v>-82.827791439659109</v>
      </c>
      <c r="O744" s="343"/>
      <c r="P744" s="363">
        <f t="shared" ca="1" si="337"/>
        <v>23</v>
      </c>
      <c r="Q744" s="357">
        <f t="shared" ca="1" si="338"/>
        <v>0</v>
      </c>
      <c r="R744" s="359">
        <f t="shared" ca="1" si="339"/>
        <v>0</v>
      </c>
      <c r="S744" s="360">
        <f t="shared" ca="1" si="340"/>
        <v>8.3819999999999997</v>
      </c>
      <c r="T744" s="357">
        <f t="shared" ca="1" si="320"/>
        <v>82.227419999999995</v>
      </c>
      <c r="U744" s="364">
        <f t="shared" ca="1" si="321"/>
        <v>0</v>
      </c>
      <c r="V744" s="359">
        <f t="shared" ca="1" si="322"/>
        <v>1.2260556010822741</v>
      </c>
      <c r="W744" s="357">
        <f t="shared" ca="1" si="323"/>
        <v>56.075868391596821</v>
      </c>
      <c r="X744" s="343"/>
      <c r="Y744" s="367" t="str">
        <f t="shared" ca="1" si="341"/>
        <v/>
      </c>
      <c r="Z744" s="368" t="str">
        <f t="shared" ca="1" si="342"/>
        <v/>
      </c>
      <c r="AA744" s="369" t="str">
        <f t="shared" ca="1" si="343"/>
        <v/>
      </c>
      <c r="AB744" s="344"/>
      <c r="AC744" s="363" t="e">
        <f t="shared" ca="1" si="344"/>
        <v>#N/A</v>
      </c>
      <c r="AD744" s="376" t="e">
        <f t="shared" ca="1" si="345"/>
        <v>#N/A</v>
      </c>
      <c r="AE744" s="377" t="e">
        <f t="shared" ca="1" si="324"/>
        <v>#N/A</v>
      </c>
      <c r="AF744" s="344"/>
      <c r="AG744" s="359">
        <f t="shared" ca="1" si="346"/>
        <v>3.0432446471714005</v>
      </c>
      <c r="AH744" s="357">
        <f t="shared" ca="1" si="347"/>
        <v>-6.6899946653659654</v>
      </c>
    </row>
    <row r="745" spans="1:34" x14ac:dyDescent="0.2">
      <c r="A745" s="402">
        <f t="shared" ca="1" si="325"/>
        <v>1E-4</v>
      </c>
      <c r="B745" s="357">
        <f t="shared" ca="1" si="326"/>
        <v>35.302800000000282</v>
      </c>
      <c r="C745" s="342"/>
      <c r="D745" s="359">
        <f t="shared" ca="1" si="327"/>
        <v>-0.83526411876147888</v>
      </c>
      <c r="E745" s="360">
        <f t="shared" ca="1" si="328"/>
        <v>-3.1723125859845416</v>
      </c>
      <c r="F745" s="357">
        <f t="shared" ca="1" si="329"/>
        <v>3.2804318757270847</v>
      </c>
      <c r="G745" s="359">
        <f t="shared" ca="1" si="330"/>
        <v>16.383106152986816</v>
      </c>
      <c r="H745" s="360">
        <f t="shared" ca="1" si="331"/>
        <v>-130.19445522155189</v>
      </c>
      <c r="I745" s="357">
        <f t="shared" ca="1" si="332"/>
        <v>131.22119622094868</v>
      </c>
      <c r="J745" s="359">
        <f t="shared" ca="1" si="333"/>
        <v>953.1802660510491</v>
      </c>
      <c r="K745" s="360">
        <f t="shared" ca="1" si="334"/>
        <v>-8.6264599555150312</v>
      </c>
      <c r="L745" s="357">
        <f t="shared" ca="1" si="319"/>
        <v>953.21930079101571</v>
      </c>
      <c r="M745" s="359">
        <f t="shared" ca="1" si="335"/>
        <v>-1.4456186061615202</v>
      </c>
      <c r="N745" s="357">
        <f t="shared" ca="1" si="336"/>
        <v>-82.827844918639855</v>
      </c>
      <c r="O745" s="343"/>
      <c r="P745" s="363">
        <f t="shared" ca="1" si="337"/>
        <v>23</v>
      </c>
      <c r="Q745" s="357">
        <f t="shared" ca="1" si="338"/>
        <v>0</v>
      </c>
      <c r="R745" s="359">
        <f t="shared" ca="1" si="339"/>
        <v>0</v>
      </c>
      <c r="S745" s="360">
        <f t="shared" ca="1" si="340"/>
        <v>8.3819999999999997</v>
      </c>
      <c r="T745" s="357">
        <f t="shared" ca="1" si="320"/>
        <v>82.227419999999995</v>
      </c>
      <c r="U745" s="364">
        <f t="shared" ca="1" si="321"/>
        <v>0</v>
      </c>
      <c r="V745" s="359">
        <f t="shared" ca="1" si="322"/>
        <v>1.2260571973380758</v>
      </c>
      <c r="W745" s="357">
        <f t="shared" ca="1" si="323"/>
        <v>56.076201496350762</v>
      </c>
      <c r="X745" s="343"/>
      <c r="Y745" s="367" t="str">
        <f t="shared" ca="1" si="341"/>
        <v/>
      </c>
      <c r="Z745" s="368" t="str">
        <f t="shared" ca="1" si="342"/>
        <v/>
      </c>
      <c r="AA745" s="369" t="str">
        <f t="shared" ca="1" si="343"/>
        <v/>
      </c>
      <c r="AB745" s="344"/>
      <c r="AC745" s="363" t="e">
        <f t="shared" ca="1" si="344"/>
        <v>#N/A</v>
      </c>
      <c r="AD745" s="376" t="e">
        <f t="shared" ca="1" si="345"/>
        <v>#N/A</v>
      </c>
      <c r="AE745" s="377" t="e">
        <f t="shared" ca="1" si="324"/>
        <v>#N/A</v>
      </c>
      <c r="AF745" s="344"/>
      <c r="AG745" s="359">
        <f t="shared" ca="1" si="346"/>
        <v>3.0432060496997613</v>
      </c>
      <c r="AH745" s="357">
        <f t="shared" ca="1" si="347"/>
        <v>-6.690034406060227</v>
      </c>
    </row>
    <row r="746" spans="1:34" x14ac:dyDescent="0.2">
      <c r="A746" s="402">
        <f t="shared" ca="1" si="325"/>
        <v>1E-4</v>
      </c>
      <c r="B746" s="357">
        <f t="shared" ca="1" si="326"/>
        <v>35.302900000000285</v>
      </c>
      <c r="C746" s="342"/>
      <c r="D746" s="359">
        <f t="shared" ca="1" si="327"/>
        <v>-0.83526288488995226</v>
      </c>
      <c r="E746" s="360">
        <f t="shared" ca="1" si="328"/>
        <v>-3.1722723768286487</v>
      </c>
      <c r="F746" s="357">
        <f t="shared" ca="1" si="329"/>
        <v>3.2803926776629604</v>
      </c>
      <c r="G746" s="359">
        <f t="shared" ca="1" si="330"/>
        <v>16.383022626698327</v>
      </c>
      <c r="H746" s="360">
        <f t="shared" ca="1" si="331"/>
        <v>-130.19477244878956</v>
      </c>
      <c r="I746" s="357">
        <f t="shared" ca="1" si="332"/>
        <v>131.22150053775107</v>
      </c>
      <c r="J746" s="359">
        <f t="shared" ca="1" si="333"/>
        <v>953.1802660510491</v>
      </c>
      <c r="K746" s="360">
        <f t="shared" ca="1" si="334"/>
        <v>-8.6394794168985491</v>
      </c>
      <c r="L746" s="357">
        <f t="shared" ca="1" si="319"/>
        <v>953.21941870366015</v>
      </c>
      <c r="M746" s="359">
        <f t="shared" ca="1" si="335"/>
        <v>-1.4456195395367268</v>
      </c>
      <c r="N746" s="357">
        <f t="shared" ca="1" si="336"/>
        <v>-82.827898397099901</v>
      </c>
      <c r="O746" s="343"/>
      <c r="P746" s="363">
        <f t="shared" ca="1" si="337"/>
        <v>23</v>
      </c>
      <c r="Q746" s="357">
        <f t="shared" ca="1" si="338"/>
        <v>0</v>
      </c>
      <c r="R746" s="359">
        <f t="shared" ca="1" si="339"/>
        <v>0</v>
      </c>
      <c r="S746" s="360">
        <f t="shared" ca="1" si="340"/>
        <v>8.3819999999999997</v>
      </c>
      <c r="T746" s="357">
        <f t="shared" ca="1" si="320"/>
        <v>82.227419999999995</v>
      </c>
      <c r="U746" s="364">
        <f t="shared" ca="1" si="321"/>
        <v>0</v>
      </c>
      <c r="V746" s="359">
        <f t="shared" ca="1" si="322"/>
        <v>1.2260587935998459</v>
      </c>
      <c r="W746" s="357">
        <f t="shared" ca="1" si="323"/>
        <v>56.076534599359263</v>
      </c>
      <c r="X746" s="343"/>
      <c r="Y746" s="367" t="str">
        <f t="shared" ca="1" si="341"/>
        <v/>
      </c>
      <c r="Z746" s="368" t="str">
        <f t="shared" ca="1" si="342"/>
        <v/>
      </c>
      <c r="AA746" s="369" t="str">
        <f t="shared" ca="1" si="343"/>
        <v/>
      </c>
      <c r="AB746" s="344"/>
      <c r="AC746" s="363" t="e">
        <f t="shared" ca="1" si="344"/>
        <v>#N/A</v>
      </c>
      <c r="AD746" s="376" t="e">
        <f t="shared" ca="1" si="345"/>
        <v>#N/A</v>
      </c>
      <c r="AE746" s="377" t="e">
        <f t="shared" ca="1" si="324"/>
        <v>#N/A</v>
      </c>
      <c r="AF746" s="344"/>
      <c r="AG746" s="359">
        <f t="shared" ca="1" si="346"/>
        <v>3.0431674524167383</v>
      </c>
      <c r="AH746" s="357">
        <f t="shared" ca="1" si="347"/>
        <v>-6.6900741465462614</v>
      </c>
    </row>
    <row r="747" spans="1:34" x14ac:dyDescent="0.2">
      <c r="A747" s="402">
        <f t="shared" ca="1" si="325"/>
        <v>1E-4</v>
      </c>
      <c r="B747" s="357">
        <f t="shared" ca="1" si="326"/>
        <v>35.303000000000289</v>
      </c>
      <c r="C747" s="342"/>
      <c r="D747" s="359">
        <f t="shared" ca="1" si="327"/>
        <v>-0.83526165097841676</v>
      </c>
      <c r="E747" s="360">
        <f t="shared" ca="1" si="328"/>
        <v>-3.1722321678834735</v>
      </c>
      <c r="F747" s="357">
        <f t="shared" ca="1" si="329"/>
        <v>3.2803534798173613</v>
      </c>
      <c r="G747" s="359">
        <f t="shared" ca="1" si="330"/>
        <v>16.382939100533228</v>
      </c>
      <c r="H747" s="360">
        <f t="shared" ca="1" si="331"/>
        <v>-130.19508967200636</v>
      </c>
      <c r="I747" s="357">
        <f t="shared" ca="1" si="332"/>
        <v>131.22180485069376</v>
      </c>
      <c r="J747" s="359">
        <f t="shared" ca="1" si="333"/>
        <v>953.1802660510491</v>
      </c>
      <c r="K747" s="360">
        <f t="shared" ca="1" si="334"/>
        <v>-8.6524989100045886</v>
      </c>
      <c r="L747" s="357">
        <f t="shared" ca="1" si="319"/>
        <v>953.2195367944031</v>
      </c>
      <c r="M747" s="359">
        <f t="shared" ca="1" si="335"/>
        <v>-1.4456204729028455</v>
      </c>
      <c r="N747" s="357">
        <f t="shared" ca="1" si="336"/>
        <v>-82.827951875039233</v>
      </c>
      <c r="O747" s="343"/>
      <c r="P747" s="363">
        <f t="shared" ca="1" si="337"/>
        <v>23</v>
      </c>
      <c r="Q747" s="357">
        <f t="shared" ca="1" si="338"/>
        <v>0</v>
      </c>
      <c r="R747" s="359">
        <f t="shared" ca="1" si="339"/>
        <v>0</v>
      </c>
      <c r="S747" s="360">
        <f t="shared" ca="1" si="340"/>
        <v>8.3819999999999997</v>
      </c>
      <c r="T747" s="357">
        <f t="shared" ca="1" si="320"/>
        <v>82.227419999999995</v>
      </c>
      <c r="U747" s="364">
        <f t="shared" ca="1" si="321"/>
        <v>0</v>
      </c>
      <c r="V747" s="359">
        <f t="shared" ca="1" si="322"/>
        <v>1.2260603898675841</v>
      </c>
      <c r="W747" s="357">
        <f t="shared" ca="1" si="323"/>
        <v>56.076867700622351</v>
      </c>
      <c r="X747" s="343"/>
      <c r="Y747" s="367" t="str">
        <f t="shared" ca="1" si="341"/>
        <v/>
      </c>
      <c r="Z747" s="368" t="str">
        <f t="shared" ca="1" si="342"/>
        <v/>
      </c>
      <c r="AA747" s="369" t="str">
        <f t="shared" ca="1" si="343"/>
        <v/>
      </c>
      <c r="AB747" s="344"/>
      <c r="AC747" s="363" t="e">
        <f t="shared" ca="1" si="344"/>
        <v>#N/A</v>
      </c>
      <c r="AD747" s="376" t="e">
        <f t="shared" ca="1" si="345"/>
        <v>#N/A</v>
      </c>
      <c r="AE747" s="377" t="e">
        <f t="shared" ca="1" si="324"/>
        <v>#N/A</v>
      </c>
      <c r="AF747" s="344"/>
      <c r="AG747" s="359">
        <f t="shared" ca="1" si="346"/>
        <v>3.0431288553223421</v>
      </c>
      <c r="AH747" s="357">
        <f t="shared" ca="1" si="347"/>
        <v>-6.6901138868240597</v>
      </c>
    </row>
    <row r="748" spans="1:34" x14ac:dyDescent="0.2">
      <c r="A748" s="402">
        <f t="shared" ca="1" si="325"/>
        <v>1E-4</v>
      </c>
      <c r="B748" s="357">
        <f t="shared" ca="1" si="326"/>
        <v>35.303100000000292</v>
      </c>
      <c r="C748" s="342"/>
      <c r="D748" s="359">
        <f t="shared" ca="1" si="327"/>
        <v>-0.83526041702687603</v>
      </c>
      <c r="E748" s="360">
        <f t="shared" ca="1" si="328"/>
        <v>-3.1721919591490151</v>
      </c>
      <c r="F748" s="357">
        <f t="shared" ca="1" si="329"/>
        <v>3.2803142821902869</v>
      </c>
      <c r="G748" s="359">
        <f t="shared" ca="1" si="330"/>
        <v>16.382855574491526</v>
      </c>
      <c r="H748" s="360">
        <f t="shared" ca="1" si="331"/>
        <v>-130.19540689120228</v>
      </c>
      <c r="I748" s="357">
        <f t="shared" ca="1" si="332"/>
        <v>131.22210915977678</v>
      </c>
      <c r="J748" s="359">
        <f t="shared" ca="1" si="333"/>
        <v>953.1802660510491</v>
      </c>
      <c r="K748" s="360">
        <f t="shared" ca="1" si="334"/>
        <v>-8.6655184348327499</v>
      </c>
      <c r="L748" s="357">
        <f t="shared" ca="1" si="319"/>
        <v>953.2196550632458</v>
      </c>
      <c r="M748" s="359">
        <f t="shared" ca="1" si="335"/>
        <v>-1.4456214062598767</v>
      </c>
      <c r="N748" s="357">
        <f t="shared" ca="1" si="336"/>
        <v>-82.828005352457893</v>
      </c>
      <c r="O748" s="343"/>
      <c r="P748" s="363">
        <f t="shared" ca="1" si="337"/>
        <v>23</v>
      </c>
      <c r="Q748" s="357">
        <f t="shared" ca="1" si="338"/>
        <v>0</v>
      </c>
      <c r="R748" s="359">
        <f t="shared" ca="1" si="339"/>
        <v>0</v>
      </c>
      <c r="S748" s="360">
        <f t="shared" ca="1" si="340"/>
        <v>8.3819999999999997</v>
      </c>
      <c r="T748" s="357">
        <f t="shared" ca="1" si="320"/>
        <v>82.227419999999995</v>
      </c>
      <c r="U748" s="364">
        <f t="shared" ca="1" si="321"/>
        <v>0</v>
      </c>
      <c r="V748" s="359">
        <f t="shared" ca="1" si="322"/>
        <v>1.2260619861412911</v>
      </c>
      <c r="W748" s="357">
        <f t="shared" ca="1" si="323"/>
        <v>56.077200800140041</v>
      </c>
      <c r="X748" s="343"/>
      <c r="Y748" s="367" t="str">
        <f t="shared" ca="1" si="341"/>
        <v/>
      </c>
      <c r="Z748" s="368" t="str">
        <f t="shared" ca="1" si="342"/>
        <v/>
      </c>
      <c r="AA748" s="369" t="str">
        <f t="shared" ca="1" si="343"/>
        <v/>
      </c>
      <c r="AB748" s="344"/>
      <c r="AC748" s="363" t="e">
        <f t="shared" ca="1" si="344"/>
        <v>#N/A</v>
      </c>
      <c r="AD748" s="376" t="e">
        <f t="shared" ca="1" si="345"/>
        <v>#N/A</v>
      </c>
      <c r="AE748" s="377" t="e">
        <f t="shared" ca="1" si="324"/>
        <v>#N/A</v>
      </c>
      <c r="AF748" s="344"/>
      <c r="AG748" s="359">
        <f t="shared" ca="1" si="346"/>
        <v>3.0430902584165676</v>
      </c>
      <c r="AH748" s="357">
        <f t="shared" ca="1" si="347"/>
        <v>-6.6901536268936237</v>
      </c>
    </row>
    <row r="749" spans="1:34" x14ac:dyDescent="0.2">
      <c r="A749" s="402">
        <f t="shared" ca="1" si="325"/>
        <v>1E-4</v>
      </c>
      <c r="B749" s="357">
        <f t="shared" ca="1" si="326"/>
        <v>35.303200000000295</v>
      </c>
      <c r="C749" s="342"/>
      <c r="D749" s="359">
        <f t="shared" ca="1" si="327"/>
        <v>-0.8352591830353272</v>
      </c>
      <c r="E749" s="360">
        <f t="shared" ca="1" si="328"/>
        <v>-3.1721517506252699</v>
      </c>
      <c r="F749" s="357">
        <f t="shared" ca="1" si="329"/>
        <v>3.2802750847817332</v>
      </c>
      <c r="G749" s="359">
        <f t="shared" ca="1" si="330"/>
        <v>16.382772048573223</v>
      </c>
      <c r="H749" s="360">
        <f t="shared" ca="1" si="331"/>
        <v>-130.19572410637736</v>
      </c>
      <c r="I749" s="357">
        <f t="shared" ca="1" si="332"/>
        <v>131.2224134650001</v>
      </c>
      <c r="J749" s="359">
        <f t="shared" ca="1" si="333"/>
        <v>953.1802660510491</v>
      </c>
      <c r="K749" s="360">
        <f t="shared" ca="1" si="334"/>
        <v>-8.6785379913826297</v>
      </c>
      <c r="L749" s="357">
        <f t="shared" ca="1" si="319"/>
        <v>953.21977351018927</v>
      </c>
      <c r="M749" s="359">
        <f t="shared" ca="1" si="335"/>
        <v>-1.4456223396078203</v>
      </c>
      <c r="N749" s="357">
        <f t="shared" ca="1" si="336"/>
        <v>-82.828058829355882</v>
      </c>
      <c r="O749" s="343"/>
      <c r="P749" s="363">
        <f t="shared" ca="1" si="337"/>
        <v>23</v>
      </c>
      <c r="Q749" s="357">
        <f t="shared" ca="1" si="338"/>
        <v>0</v>
      </c>
      <c r="R749" s="359">
        <f t="shared" ca="1" si="339"/>
        <v>0</v>
      </c>
      <c r="S749" s="360">
        <f t="shared" ca="1" si="340"/>
        <v>8.3819999999999997</v>
      </c>
      <c r="T749" s="357">
        <f t="shared" ca="1" si="320"/>
        <v>82.227419999999995</v>
      </c>
      <c r="U749" s="364">
        <f t="shared" ca="1" si="321"/>
        <v>0</v>
      </c>
      <c r="V749" s="359">
        <f t="shared" ca="1" si="322"/>
        <v>1.2260635824209667</v>
      </c>
      <c r="W749" s="357">
        <f t="shared" ca="1" si="323"/>
        <v>56.077533897912247</v>
      </c>
      <c r="X749" s="343"/>
      <c r="Y749" s="367" t="str">
        <f t="shared" ca="1" si="341"/>
        <v/>
      </c>
      <c r="Z749" s="368" t="str">
        <f t="shared" ca="1" si="342"/>
        <v/>
      </c>
      <c r="AA749" s="369" t="str">
        <f t="shared" ca="1" si="343"/>
        <v/>
      </c>
      <c r="AB749" s="344"/>
      <c r="AC749" s="363" t="e">
        <f t="shared" ca="1" si="344"/>
        <v>#N/A</v>
      </c>
      <c r="AD749" s="376" t="e">
        <f t="shared" ca="1" si="345"/>
        <v>#N/A</v>
      </c>
      <c r="AE749" s="377" t="e">
        <f t="shared" ca="1" si="324"/>
        <v>#N/A</v>
      </c>
      <c r="AF749" s="344"/>
      <c r="AG749" s="359">
        <f t="shared" ca="1" si="346"/>
        <v>3.0430516616994172</v>
      </c>
      <c r="AH749" s="357">
        <f t="shared" ca="1" si="347"/>
        <v>-6.690193366754956</v>
      </c>
    </row>
    <row r="750" spans="1:34" x14ac:dyDescent="0.2">
      <c r="A750" s="402">
        <f t="shared" ca="1" si="325"/>
        <v>1E-4</v>
      </c>
      <c r="B750" s="357">
        <f t="shared" ca="1" si="326"/>
        <v>35.303300000000299</v>
      </c>
      <c r="C750" s="342"/>
      <c r="D750" s="359">
        <f t="shared" ca="1" si="327"/>
        <v>-0.83525794900377237</v>
      </c>
      <c r="E750" s="360">
        <f t="shared" ca="1" si="328"/>
        <v>-3.1721115423122486</v>
      </c>
      <c r="F750" s="357">
        <f t="shared" ca="1" si="329"/>
        <v>3.280235887591711</v>
      </c>
      <c r="G750" s="359">
        <f t="shared" ca="1" si="330"/>
        <v>16.382688522778324</v>
      </c>
      <c r="H750" s="360">
        <f t="shared" ca="1" si="331"/>
        <v>-130.19604131753158</v>
      </c>
      <c r="I750" s="357">
        <f t="shared" ca="1" si="332"/>
        <v>131.22271776636376</v>
      </c>
      <c r="J750" s="359">
        <f t="shared" ca="1" si="333"/>
        <v>953.1802660510491</v>
      </c>
      <c r="K750" s="360">
        <f t="shared" ca="1" si="334"/>
        <v>-8.6915575796538249</v>
      </c>
      <c r="L750" s="357">
        <f t="shared" ca="1" si="319"/>
        <v>953.21989213523511</v>
      </c>
      <c r="M750" s="359">
        <f t="shared" ca="1" si="335"/>
        <v>-1.4456232729466765</v>
      </c>
      <c r="N750" s="357">
        <f t="shared" ca="1" si="336"/>
        <v>-82.8281123057332</v>
      </c>
      <c r="O750" s="343"/>
      <c r="P750" s="363">
        <f t="shared" ca="1" si="337"/>
        <v>23</v>
      </c>
      <c r="Q750" s="357">
        <f t="shared" ca="1" si="338"/>
        <v>0</v>
      </c>
      <c r="R750" s="359">
        <f t="shared" ca="1" si="339"/>
        <v>0</v>
      </c>
      <c r="S750" s="360">
        <f t="shared" ca="1" si="340"/>
        <v>8.3819999999999997</v>
      </c>
      <c r="T750" s="357">
        <f t="shared" ca="1" si="320"/>
        <v>82.227419999999995</v>
      </c>
      <c r="U750" s="364">
        <f t="shared" ca="1" si="321"/>
        <v>0</v>
      </c>
      <c r="V750" s="359">
        <f t="shared" ca="1" si="322"/>
        <v>1.226065178706611</v>
      </c>
      <c r="W750" s="357">
        <f t="shared" ca="1" si="323"/>
        <v>56.077866993939026</v>
      </c>
      <c r="X750" s="343"/>
      <c r="Y750" s="367" t="str">
        <f t="shared" ca="1" si="341"/>
        <v/>
      </c>
      <c r="Z750" s="368" t="str">
        <f t="shared" ca="1" si="342"/>
        <v/>
      </c>
      <c r="AA750" s="369" t="str">
        <f t="shared" ca="1" si="343"/>
        <v/>
      </c>
      <c r="AB750" s="344"/>
      <c r="AC750" s="363" t="e">
        <f t="shared" ca="1" si="344"/>
        <v>#N/A</v>
      </c>
      <c r="AD750" s="376" t="e">
        <f t="shared" ca="1" si="345"/>
        <v>#N/A</v>
      </c>
      <c r="AE750" s="377" t="e">
        <f t="shared" ca="1" si="324"/>
        <v>#N/A</v>
      </c>
      <c r="AF750" s="344"/>
      <c r="AG750" s="359">
        <f t="shared" ca="1" si="346"/>
        <v>3.0430130651708991</v>
      </c>
      <c r="AH750" s="357">
        <f t="shared" ca="1" si="347"/>
        <v>-6.6902331064080469</v>
      </c>
    </row>
    <row r="751" spans="1:34" x14ac:dyDescent="0.2">
      <c r="A751" s="402">
        <f t="shared" ca="1" si="325"/>
        <v>1E-4</v>
      </c>
      <c r="B751" s="357">
        <f t="shared" ca="1" si="326"/>
        <v>35.303400000000302</v>
      </c>
      <c r="C751" s="342"/>
      <c r="D751" s="359">
        <f t="shared" ca="1" si="327"/>
        <v>-0.83525671493221265</v>
      </c>
      <c r="E751" s="360">
        <f t="shared" ca="1" si="328"/>
        <v>-3.1720713342099449</v>
      </c>
      <c r="F751" s="357">
        <f t="shared" ca="1" si="329"/>
        <v>3.2801966906202149</v>
      </c>
      <c r="G751" s="359">
        <f t="shared" ca="1" si="330"/>
        <v>16.382604997106831</v>
      </c>
      <c r="H751" s="360">
        <f t="shared" ca="1" si="331"/>
        <v>-130.19635852466502</v>
      </c>
      <c r="I751" s="357">
        <f t="shared" ca="1" si="332"/>
        <v>131.22302206386783</v>
      </c>
      <c r="J751" s="359">
        <f t="shared" ca="1" si="333"/>
        <v>953.1802660510491</v>
      </c>
      <c r="K751" s="360">
        <f t="shared" ca="1" si="334"/>
        <v>-8.704577199645934</v>
      </c>
      <c r="L751" s="357">
        <f t="shared" ca="1" si="319"/>
        <v>953.22001093838423</v>
      </c>
      <c r="M751" s="359">
        <f t="shared" ca="1" si="335"/>
        <v>-1.4456242062764457</v>
      </c>
      <c r="N751" s="357">
        <f t="shared" ca="1" si="336"/>
        <v>-82.828165781589874</v>
      </c>
      <c r="O751" s="343"/>
      <c r="P751" s="363">
        <f t="shared" ca="1" si="337"/>
        <v>23</v>
      </c>
      <c r="Q751" s="357">
        <f t="shared" ca="1" si="338"/>
        <v>0</v>
      </c>
      <c r="R751" s="359">
        <f t="shared" ca="1" si="339"/>
        <v>0</v>
      </c>
      <c r="S751" s="360">
        <f t="shared" ca="1" si="340"/>
        <v>8.3819999999999997</v>
      </c>
      <c r="T751" s="357">
        <f t="shared" ca="1" si="320"/>
        <v>82.227419999999995</v>
      </c>
      <c r="U751" s="364">
        <f t="shared" ca="1" si="321"/>
        <v>0</v>
      </c>
      <c r="V751" s="359">
        <f t="shared" ca="1" si="322"/>
        <v>1.2260667749982228</v>
      </c>
      <c r="W751" s="357">
        <f t="shared" ca="1" si="323"/>
        <v>56.078200088220299</v>
      </c>
      <c r="X751" s="343"/>
      <c r="Y751" s="367" t="str">
        <f t="shared" ca="1" si="341"/>
        <v/>
      </c>
      <c r="Z751" s="368" t="str">
        <f t="shared" ca="1" si="342"/>
        <v/>
      </c>
      <c r="AA751" s="369" t="str">
        <f t="shared" ca="1" si="343"/>
        <v/>
      </c>
      <c r="AB751" s="344"/>
      <c r="AC751" s="363" t="e">
        <f t="shared" ca="1" si="344"/>
        <v>#N/A</v>
      </c>
      <c r="AD751" s="376" t="e">
        <f t="shared" ca="1" si="345"/>
        <v>#N/A</v>
      </c>
      <c r="AE751" s="377" t="e">
        <f t="shared" ca="1" si="324"/>
        <v>#N/A</v>
      </c>
      <c r="AF751" s="344"/>
      <c r="AG751" s="359">
        <f t="shared" ca="1" si="346"/>
        <v>3.042974468831007</v>
      </c>
      <c r="AH751" s="357">
        <f t="shared" ca="1" si="347"/>
        <v>-6.6902728458529026</v>
      </c>
    </row>
    <row r="752" spans="1:34" x14ac:dyDescent="0.2">
      <c r="A752" s="402">
        <f t="shared" ca="1" si="325"/>
        <v>1E-4</v>
      </c>
      <c r="B752" s="357">
        <f t="shared" ca="1" si="326"/>
        <v>35.303500000000305</v>
      </c>
      <c r="C752" s="342"/>
      <c r="D752" s="359">
        <f t="shared" ca="1" si="327"/>
        <v>-0.83525548082064538</v>
      </c>
      <c r="E752" s="360">
        <f t="shared" ca="1" si="328"/>
        <v>-3.1720311263183678</v>
      </c>
      <c r="F752" s="357">
        <f t="shared" ca="1" si="329"/>
        <v>3.2801574938672533</v>
      </c>
      <c r="G752" s="359">
        <f t="shared" ca="1" si="330"/>
        <v>16.38252147155875</v>
      </c>
      <c r="H752" s="360">
        <f t="shared" ca="1" si="331"/>
        <v>-130.19667572777766</v>
      </c>
      <c r="I752" s="357">
        <f t="shared" ca="1" si="332"/>
        <v>131.22332635751226</v>
      </c>
      <c r="J752" s="359">
        <f t="shared" ca="1" si="333"/>
        <v>953.1802660510491</v>
      </c>
      <c r="K752" s="360">
        <f t="shared" ca="1" si="334"/>
        <v>-8.7175968513585556</v>
      </c>
      <c r="L752" s="357">
        <f t="shared" ca="1" si="319"/>
        <v>953.220129919638</v>
      </c>
      <c r="M752" s="359">
        <f t="shared" ca="1" si="335"/>
        <v>-1.4456251395971276</v>
      </c>
      <c r="N752" s="357">
        <f t="shared" ca="1" si="336"/>
        <v>-82.828219256925877</v>
      </c>
      <c r="O752" s="343"/>
      <c r="P752" s="363">
        <f t="shared" ca="1" si="337"/>
        <v>23</v>
      </c>
      <c r="Q752" s="357">
        <f t="shared" ca="1" si="338"/>
        <v>0</v>
      </c>
      <c r="R752" s="359">
        <f t="shared" ca="1" si="339"/>
        <v>0</v>
      </c>
      <c r="S752" s="360">
        <f t="shared" ca="1" si="340"/>
        <v>8.3819999999999997</v>
      </c>
      <c r="T752" s="357">
        <f t="shared" ca="1" si="320"/>
        <v>82.227419999999995</v>
      </c>
      <c r="U752" s="364">
        <f t="shared" ca="1" si="321"/>
        <v>0</v>
      </c>
      <c r="V752" s="359">
        <f t="shared" ca="1" si="322"/>
        <v>1.2260683712958036</v>
      </c>
      <c r="W752" s="357">
        <f t="shared" ca="1" si="323"/>
        <v>56.078533180756111</v>
      </c>
      <c r="X752" s="343"/>
      <c r="Y752" s="367" t="str">
        <f t="shared" ca="1" si="341"/>
        <v/>
      </c>
      <c r="Z752" s="368" t="str">
        <f t="shared" ca="1" si="342"/>
        <v/>
      </c>
      <c r="AA752" s="369" t="str">
        <f t="shared" ca="1" si="343"/>
        <v/>
      </c>
      <c r="AB752" s="344"/>
      <c r="AC752" s="363" t="e">
        <f t="shared" ca="1" si="344"/>
        <v>#N/A</v>
      </c>
      <c r="AD752" s="376" t="e">
        <f t="shared" ca="1" si="345"/>
        <v>#N/A</v>
      </c>
      <c r="AE752" s="377" t="e">
        <f t="shared" ca="1" si="324"/>
        <v>#N/A</v>
      </c>
      <c r="AF752" s="344"/>
      <c r="AG752" s="359">
        <f t="shared" ca="1" si="346"/>
        <v>3.0429358726797506</v>
      </c>
      <c r="AH752" s="357">
        <f t="shared" ca="1" si="347"/>
        <v>-6.6903125850895133</v>
      </c>
    </row>
    <row r="753" spans="1:34" x14ac:dyDescent="0.2">
      <c r="A753" s="402">
        <f t="shared" ca="1" si="325"/>
        <v>1E-4</v>
      </c>
      <c r="B753" s="357">
        <f t="shared" ca="1" si="326"/>
        <v>35.303600000000309</v>
      </c>
      <c r="C753" s="342"/>
      <c r="D753" s="359">
        <f t="shared" ca="1" si="327"/>
        <v>-0.83525424666907611</v>
      </c>
      <c r="E753" s="360">
        <f t="shared" ca="1" si="328"/>
        <v>-3.1719909186375119</v>
      </c>
      <c r="F753" s="357">
        <f t="shared" ca="1" si="329"/>
        <v>3.2801182973328222</v>
      </c>
      <c r="G753" s="359">
        <f t="shared" ca="1" si="330"/>
        <v>16.382437946134083</v>
      </c>
      <c r="H753" s="360">
        <f t="shared" ca="1" si="331"/>
        <v>-130.19699292686951</v>
      </c>
      <c r="I753" s="357">
        <f t="shared" ca="1" si="332"/>
        <v>131.22363064729709</v>
      </c>
      <c r="J753" s="359">
        <f t="shared" ca="1" si="333"/>
        <v>953.1802660510491</v>
      </c>
      <c r="K753" s="360">
        <f t="shared" ca="1" si="334"/>
        <v>-8.7306165347912881</v>
      </c>
      <c r="L753" s="357">
        <f t="shared" ca="1" si="319"/>
        <v>953.22024907899765</v>
      </c>
      <c r="M753" s="359">
        <f t="shared" ca="1" si="335"/>
        <v>-1.4456260729087225</v>
      </c>
      <c r="N753" s="357">
        <f t="shared" ca="1" si="336"/>
        <v>-82.828272731741237</v>
      </c>
      <c r="O753" s="343"/>
      <c r="P753" s="363">
        <f t="shared" ca="1" si="337"/>
        <v>23</v>
      </c>
      <c r="Q753" s="357">
        <f t="shared" ca="1" si="338"/>
        <v>0</v>
      </c>
      <c r="R753" s="359">
        <f t="shared" ca="1" si="339"/>
        <v>0</v>
      </c>
      <c r="S753" s="360">
        <f t="shared" ca="1" si="340"/>
        <v>8.3819999999999997</v>
      </c>
      <c r="T753" s="357">
        <f t="shared" ca="1" si="320"/>
        <v>82.227419999999995</v>
      </c>
      <c r="U753" s="364">
        <f t="shared" ca="1" si="321"/>
        <v>0</v>
      </c>
      <c r="V753" s="359">
        <f t="shared" ca="1" si="322"/>
        <v>1.2260699675993527</v>
      </c>
      <c r="W753" s="357">
        <f t="shared" ca="1" si="323"/>
        <v>56.078866271546396</v>
      </c>
      <c r="X753" s="343"/>
      <c r="Y753" s="367" t="str">
        <f t="shared" ca="1" si="341"/>
        <v/>
      </c>
      <c r="Z753" s="368" t="str">
        <f t="shared" ca="1" si="342"/>
        <v/>
      </c>
      <c r="AA753" s="369" t="str">
        <f t="shared" ca="1" si="343"/>
        <v/>
      </c>
      <c r="AB753" s="344"/>
      <c r="AC753" s="363" t="e">
        <f t="shared" ca="1" si="344"/>
        <v>#N/A</v>
      </c>
      <c r="AD753" s="376" t="e">
        <f t="shared" ca="1" si="345"/>
        <v>#N/A</v>
      </c>
      <c r="AE753" s="377" t="e">
        <f t="shared" ca="1" si="324"/>
        <v>#N/A</v>
      </c>
      <c r="AF753" s="344"/>
      <c r="AG753" s="359">
        <f t="shared" ca="1" si="346"/>
        <v>3.0428972767171292</v>
      </c>
      <c r="AH753" s="357">
        <f t="shared" ca="1" si="347"/>
        <v>-6.6903523241178853</v>
      </c>
    </row>
    <row r="754" spans="1:34" x14ac:dyDescent="0.2">
      <c r="A754" s="402">
        <f t="shared" ca="1" si="325"/>
        <v>1E-4</v>
      </c>
      <c r="B754" s="357">
        <f t="shared" ca="1" si="326"/>
        <v>35.303700000000312</v>
      </c>
      <c r="C754" s="342"/>
      <c r="D754" s="359">
        <f t="shared" ca="1" si="327"/>
        <v>-0.83525301247750228</v>
      </c>
      <c r="E754" s="360">
        <f t="shared" ca="1" si="328"/>
        <v>-3.171950711167387</v>
      </c>
      <c r="F754" s="357">
        <f t="shared" ca="1" si="329"/>
        <v>3.2800791010169306</v>
      </c>
      <c r="G754" s="359">
        <f t="shared" ca="1" si="330"/>
        <v>16.382354420832836</v>
      </c>
      <c r="H754" s="360">
        <f t="shared" ca="1" si="331"/>
        <v>-130.19731012194063</v>
      </c>
      <c r="I754" s="357">
        <f t="shared" ca="1" si="332"/>
        <v>131.22393493322232</v>
      </c>
      <c r="J754" s="359">
        <f t="shared" ca="1" si="333"/>
        <v>953.1802660510491</v>
      </c>
      <c r="K754" s="360">
        <f t="shared" ca="1" si="334"/>
        <v>-8.7436362499437283</v>
      </c>
      <c r="L754" s="357">
        <f t="shared" ca="1" si="319"/>
        <v>953.22036841646434</v>
      </c>
      <c r="M754" s="359">
        <f t="shared" ca="1" si="335"/>
        <v>-1.4456270062112306</v>
      </c>
      <c r="N754" s="357">
        <f t="shared" ca="1" si="336"/>
        <v>-82.828326206035953</v>
      </c>
      <c r="O754" s="343"/>
      <c r="P754" s="363">
        <f t="shared" ca="1" si="337"/>
        <v>23</v>
      </c>
      <c r="Q754" s="357">
        <f t="shared" ca="1" si="338"/>
        <v>0</v>
      </c>
      <c r="R754" s="359">
        <f t="shared" ca="1" si="339"/>
        <v>0</v>
      </c>
      <c r="S754" s="360">
        <f t="shared" ca="1" si="340"/>
        <v>8.3819999999999997</v>
      </c>
      <c r="T754" s="357">
        <f t="shared" ca="1" si="320"/>
        <v>82.227419999999995</v>
      </c>
      <c r="U754" s="364">
        <f t="shared" ca="1" si="321"/>
        <v>0</v>
      </c>
      <c r="V754" s="359">
        <f t="shared" ca="1" si="322"/>
        <v>1.22607156390887</v>
      </c>
      <c r="W754" s="357">
        <f t="shared" ca="1" si="323"/>
        <v>56.079199360591147</v>
      </c>
      <c r="X754" s="343"/>
      <c r="Y754" s="367" t="str">
        <f t="shared" ca="1" si="341"/>
        <v/>
      </c>
      <c r="Z754" s="368" t="str">
        <f t="shared" ca="1" si="342"/>
        <v/>
      </c>
      <c r="AA754" s="369" t="str">
        <f t="shared" ca="1" si="343"/>
        <v/>
      </c>
      <c r="AB754" s="344"/>
      <c r="AC754" s="363" t="e">
        <f t="shared" ca="1" si="344"/>
        <v>#N/A</v>
      </c>
      <c r="AD754" s="376" t="e">
        <f t="shared" ca="1" si="345"/>
        <v>#N/A</v>
      </c>
      <c r="AE754" s="377" t="e">
        <f t="shared" ca="1" si="324"/>
        <v>#N/A</v>
      </c>
      <c r="AF754" s="344"/>
      <c r="AG754" s="359">
        <f t="shared" ca="1" si="346"/>
        <v>3.0428586809431426</v>
      </c>
      <c r="AH754" s="357">
        <f t="shared" ca="1" si="347"/>
        <v>-6.6903920629380096</v>
      </c>
    </row>
    <row r="755" spans="1:34" x14ac:dyDescent="0.2">
      <c r="A755" s="402">
        <f t="shared" ca="1" si="325"/>
        <v>1E-4</v>
      </c>
      <c r="B755" s="357">
        <f t="shared" ca="1" si="326"/>
        <v>35.303800000000315</v>
      </c>
      <c r="C755" s="342"/>
      <c r="D755" s="359">
        <f t="shared" ca="1" si="327"/>
        <v>-0.83525177824592411</v>
      </c>
      <c r="E755" s="360">
        <f t="shared" ca="1" si="328"/>
        <v>-3.1719105039079905</v>
      </c>
      <c r="F755" s="357">
        <f t="shared" ca="1" si="329"/>
        <v>3.2800399049195756</v>
      </c>
      <c r="G755" s="359">
        <f t="shared" ca="1" si="330"/>
        <v>16.382270895655012</v>
      </c>
      <c r="H755" s="360">
        <f t="shared" ca="1" si="331"/>
        <v>-130.19762731299102</v>
      </c>
      <c r="I755" s="357">
        <f t="shared" ca="1" si="332"/>
        <v>131.22423921528801</v>
      </c>
      <c r="J755" s="359">
        <f t="shared" ca="1" si="333"/>
        <v>953.1802660510491</v>
      </c>
      <c r="K755" s="360">
        <f t="shared" ca="1" si="334"/>
        <v>-8.7566559968154749</v>
      </c>
      <c r="L755" s="357">
        <f t="shared" ca="1" si="319"/>
        <v>953.22048793203942</v>
      </c>
      <c r="M755" s="359">
        <f t="shared" ca="1" si="335"/>
        <v>-1.4456279395046521</v>
      </c>
      <c r="N755" s="357">
        <f t="shared" ca="1" si="336"/>
        <v>-82.828379679810055</v>
      </c>
      <c r="O755" s="343"/>
      <c r="P755" s="363">
        <f t="shared" ca="1" si="337"/>
        <v>23</v>
      </c>
      <c r="Q755" s="357">
        <f t="shared" ca="1" si="338"/>
        <v>0</v>
      </c>
      <c r="R755" s="359">
        <f t="shared" ca="1" si="339"/>
        <v>0</v>
      </c>
      <c r="S755" s="360">
        <f t="shared" ca="1" si="340"/>
        <v>8.3819999999999997</v>
      </c>
      <c r="T755" s="357">
        <f t="shared" ca="1" si="320"/>
        <v>82.227419999999995</v>
      </c>
      <c r="U755" s="364">
        <f t="shared" ca="1" si="321"/>
        <v>0</v>
      </c>
      <c r="V755" s="359">
        <f t="shared" ca="1" si="322"/>
        <v>1.2260731602243555</v>
      </c>
      <c r="W755" s="357">
        <f t="shared" ca="1" si="323"/>
        <v>56.079532447890379</v>
      </c>
      <c r="X755" s="343"/>
      <c r="Y755" s="367" t="str">
        <f t="shared" ca="1" si="341"/>
        <v/>
      </c>
      <c r="Z755" s="368" t="str">
        <f t="shared" ca="1" si="342"/>
        <v/>
      </c>
      <c r="AA755" s="369" t="str">
        <f t="shared" ca="1" si="343"/>
        <v/>
      </c>
      <c r="AB755" s="344"/>
      <c r="AC755" s="363" t="e">
        <f t="shared" ca="1" si="344"/>
        <v>#N/A</v>
      </c>
      <c r="AD755" s="376" t="e">
        <f t="shared" ca="1" si="345"/>
        <v>#N/A</v>
      </c>
      <c r="AE755" s="377" t="e">
        <f t="shared" ca="1" si="324"/>
        <v>#N/A</v>
      </c>
      <c r="AF755" s="344"/>
      <c r="AG755" s="359">
        <f t="shared" ca="1" si="346"/>
        <v>3.0428200853577998</v>
      </c>
      <c r="AH755" s="357">
        <f t="shared" ca="1" si="347"/>
        <v>-6.6904318015498863</v>
      </c>
    </row>
    <row r="756" spans="1:34" x14ac:dyDescent="0.2">
      <c r="A756" s="402">
        <f t="shared" ca="1" si="325"/>
        <v>1E-4</v>
      </c>
      <c r="B756" s="357">
        <f t="shared" ca="1" si="326"/>
        <v>35.303900000000318</v>
      </c>
      <c r="C756" s="342"/>
      <c r="D756" s="359">
        <f t="shared" ca="1" si="327"/>
        <v>-0.83525054397434351</v>
      </c>
      <c r="E756" s="360">
        <f t="shared" ca="1" si="328"/>
        <v>-3.1718702968593222</v>
      </c>
      <c r="F756" s="357">
        <f t="shared" ca="1" si="329"/>
        <v>3.2800007090407588</v>
      </c>
      <c r="G756" s="359">
        <f t="shared" ca="1" si="330"/>
        <v>16.382187370600615</v>
      </c>
      <c r="H756" s="360">
        <f t="shared" ca="1" si="331"/>
        <v>-130.1979445000207</v>
      </c>
      <c r="I756" s="357">
        <f t="shared" ca="1" si="332"/>
        <v>131.22454349349414</v>
      </c>
      <c r="J756" s="359">
        <f t="shared" ca="1" si="333"/>
        <v>953.1802660510491</v>
      </c>
      <c r="K756" s="360">
        <f t="shared" ca="1" si="334"/>
        <v>-8.7696757754061263</v>
      </c>
      <c r="L756" s="357">
        <f t="shared" ca="1" si="319"/>
        <v>953.22060762572403</v>
      </c>
      <c r="M756" s="359">
        <f t="shared" ca="1" si="335"/>
        <v>-1.445628872788987</v>
      </c>
      <c r="N756" s="357">
        <f t="shared" ca="1" si="336"/>
        <v>-82.828433153063528</v>
      </c>
      <c r="O756" s="343"/>
      <c r="P756" s="363">
        <f t="shared" ca="1" si="337"/>
        <v>23</v>
      </c>
      <c r="Q756" s="357">
        <f t="shared" ca="1" si="338"/>
        <v>0</v>
      </c>
      <c r="R756" s="359">
        <f t="shared" ca="1" si="339"/>
        <v>0</v>
      </c>
      <c r="S756" s="360">
        <f t="shared" ca="1" si="340"/>
        <v>8.3819999999999997</v>
      </c>
      <c r="T756" s="357">
        <f t="shared" ca="1" si="320"/>
        <v>82.227419999999995</v>
      </c>
      <c r="U756" s="364">
        <f t="shared" ca="1" si="321"/>
        <v>0</v>
      </c>
      <c r="V756" s="359">
        <f t="shared" ca="1" si="322"/>
        <v>1.2260747565458094</v>
      </c>
      <c r="W756" s="357">
        <f t="shared" ca="1" si="323"/>
        <v>56.079865533444043</v>
      </c>
      <c r="X756" s="343"/>
      <c r="Y756" s="367" t="str">
        <f t="shared" ca="1" si="341"/>
        <v/>
      </c>
      <c r="Z756" s="368" t="str">
        <f t="shared" ca="1" si="342"/>
        <v/>
      </c>
      <c r="AA756" s="369" t="str">
        <f t="shared" ca="1" si="343"/>
        <v/>
      </c>
      <c r="AB756" s="344"/>
      <c r="AC756" s="363" t="e">
        <f t="shared" ca="1" si="344"/>
        <v>#N/A</v>
      </c>
      <c r="AD756" s="376" t="e">
        <f t="shared" ca="1" si="345"/>
        <v>#N/A</v>
      </c>
      <c r="AE756" s="377" t="e">
        <f t="shared" ca="1" si="324"/>
        <v>#N/A</v>
      </c>
      <c r="AF756" s="344"/>
      <c r="AG756" s="359">
        <f t="shared" ca="1" si="346"/>
        <v>3.0427814899610954</v>
      </c>
      <c r="AH756" s="357">
        <f t="shared" ca="1" si="347"/>
        <v>-6.6904715399535171</v>
      </c>
    </row>
    <row r="757" spans="1:34" x14ac:dyDescent="0.2">
      <c r="A757" s="402">
        <f t="shared" ca="1" si="325"/>
        <v>1E-4</v>
      </c>
      <c r="B757" s="357">
        <f t="shared" ca="1" si="326"/>
        <v>35.304000000000322</v>
      </c>
      <c r="C757" s="342"/>
      <c r="D757" s="359">
        <f t="shared" ca="1" si="327"/>
        <v>-0.83524930966276001</v>
      </c>
      <c r="E757" s="360">
        <f t="shared" ca="1" si="328"/>
        <v>-3.1718300900213885</v>
      </c>
      <c r="F757" s="357">
        <f t="shared" ca="1" si="329"/>
        <v>3.2799615133804858</v>
      </c>
      <c r="G757" s="359">
        <f t="shared" ca="1" si="330"/>
        <v>16.382103845669651</v>
      </c>
      <c r="H757" s="360">
        <f t="shared" ca="1" si="331"/>
        <v>-130.1982616830297</v>
      </c>
      <c r="I757" s="357">
        <f t="shared" ca="1" si="332"/>
        <v>131.22484776784074</v>
      </c>
      <c r="J757" s="359">
        <f t="shared" ca="1" si="333"/>
        <v>953.1802660510491</v>
      </c>
      <c r="K757" s="360">
        <f t="shared" ca="1" si="334"/>
        <v>-8.7826955857152793</v>
      </c>
      <c r="L757" s="357">
        <f t="shared" ca="1" si="319"/>
        <v>953.22072749751942</v>
      </c>
      <c r="M757" s="359">
        <f t="shared" ca="1" si="335"/>
        <v>-1.4456298060642354</v>
      </c>
      <c r="N757" s="357">
        <f t="shared" ca="1" si="336"/>
        <v>-82.828486625796387</v>
      </c>
      <c r="O757" s="343"/>
      <c r="P757" s="363">
        <f t="shared" ca="1" si="337"/>
        <v>23</v>
      </c>
      <c r="Q757" s="357">
        <f t="shared" ca="1" si="338"/>
        <v>0</v>
      </c>
      <c r="R757" s="359">
        <f t="shared" ca="1" si="339"/>
        <v>0</v>
      </c>
      <c r="S757" s="360">
        <f t="shared" ca="1" si="340"/>
        <v>8.3819999999999997</v>
      </c>
      <c r="T757" s="357">
        <f t="shared" ca="1" si="320"/>
        <v>82.227419999999995</v>
      </c>
      <c r="U757" s="364">
        <f t="shared" ca="1" si="321"/>
        <v>0</v>
      </c>
      <c r="V757" s="359">
        <f t="shared" ca="1" si="322"/>
        <v>1.2260763528732317</v>
      </c>
      <c r="W757" s="357">
        <f t="shared" ca="1" si="323"/>
        <v>56.080198617252137</v>
      </c>
      <c r="X757" s="343"/>
      <c r="Y757" s="367" t="str">
        <f t="shared" ca="1" si="341"/>
        <v/>
      </c>
      <c r="Z757" s="368" t="str">
        <f t="shared" ca="1" si="342"/>
        <v/>
      </c>
      <c r="AA757" s="369" t="str">
        <f t="shared" ca="1" si="343"/>
        <v/>
      </c>
      <c r="AB757" s="344"/>
      <c r="AC757" s="363" t="e">
        <f t="shared" ca="1" si="344"/>
        <v>#N/A</v>
      </c>
      <c r="AD757" s="376" t="e">
        <f t="shared" ca="1" si="345"/>
        <v>#N/A</v>
      </c>
      <c r="AE757" s="377" t="e">
        <f t="shared" ca="1" si="324"/>
        <v>#N/A</v>
      </c>
      <c r="AF757" s="344"/>
      <c r="AG757" s="359">
        <f t="shared" ca="1" si="346"/>
        <v>3.0427428947530375</v>
      </c>
      <c r="AH757" s="357">
        <f t="shared" ca="1" si="347"/>
        <v>-6.6905112781488958</v>
      </c>
    </row>
    <row r="758" spans="1:34" x14ac:dyDescent="0.2">
      <c r="A758" s="402">
        <f t="shared" ca="1" si="325"/>
        <v>1E-4</v>
      </c>
      <c r="B758" s="357">
        <f t="shared" ca="1" si="326"/>
        <v>35.304100000000325</v>
      </c>
      <c r="C758" s="342"/>
      <c r="D758" s="359">
        <f t="shared" ca="1" si="327"/>
        <v>-0.83524807531117506</v>
      </c>
      <c r="E758" s="360">
        <f t="shared" ca="1" si="328"/>
        <v>-3.1717898833941893</v>
      </c>
      <c r="F758" s="357">
        <f t="shared" ca="1" si="329"/>
        <v>3.2799223179387571</v>
      </c>
      <c r="G758" s="359">
        <f t="shared" ca="1" si="330"/>
        <v>16.382020320862118</v>
      </c>
      <c r="H758" s="360">
        <f t="shared" ca="1" si="331"/>
        <v>-130.19857886201802</v>
      </c>
      <c r="I758" s="357">
        <f t="shared" ca="1" si="332"/>
        <v>131.22515203832788</v>
      </c>
      <c r="J758" s="359">
        <f t="shared" ca="1" si="333"/>
        <v>953.1802660510491</v>
      </c>
      <c r="K758" s="360">
        <f t="shared" ca="1" si="334"/>
        <v>-8.7957154277425325</v>
      </c>
      <c r="L758" s="357">
        <f t="shared" ca="1" si="319"/>
        <v>953.22084754742673</v>
      </c>
      <c r="M758" s="359">
        <f t="shared" ca="1" si="335"/>
        <v>-1.4456307393303975</v>
      </c>
      <c r="N758" s="357">
        <f t="shared" ca="1" si="336"/>
        <v>-82.828540098008645</v>
      </c>
      <c r="O758" s="343"/>
      <c r="P758" s="363">
        <f t="shared" ca="1" si="337"/>
        <v>23</v>
      </c>
      <c r="Q758" s="357">
        <f t="shared" ca="1" si="338"/>
        <v>0</v>
      </c>
      <c r="R758" s="359">
        <f t="shared" ca="1" si="339"/>
        <v>0</v>
      </c>
      <c r="S758" s="360">
        <f t="shared" ca="1" si="340"/>
        <v>8.3819999999999997</v>
      </c>
      <c r="T758" s="357">
        <f t="shared" ca="1" si="320"/>
        <v>82.227419999999995</v>
      </c>
      <c r="U758" s="364">
        <f t="shared" ca="1" si="321"/>
        <v>0</v>
      </c>
      <c r="V758" s="359">
        <f t="shared" ca="1" si="322"/>
        <v>1.2260779492066218</v>
      </c>
      <c r="W758" s="357">
        <f t="shared" ca="1" si="323"/>
        <v>56.080531699314676</v>
      </c>
      <c r="X758" s="343"/>
      <c r="Y758" s="367" t="str">
        <f t="shared" ca="1" si="341"/>
        <v/>
      </c>
      <c r="Z758" s="368" t="str">
        <f t="shared" ca="1" si="342"/>
        <v/>
      </c>
      <c r="AA758" s="369" t="str">
        <f t="shared" ca="1" si="343"/>
        <v/>
      </c>
      <c r="AB758" s="344"/>
      <c r="AC758" s="363" t="e">
        <f t="shared" ca="1" si="344"/>
        <v>#N/A</v>
      </c>
      <c r="AD758" s="376" t="e">
        <f t="shared" ca="1" si="345"/>
        <v>#N/A</v>
      </c>
      <c r="AE758" s="377" t="e">
        <f t="shared" ca="1" si="324"/>
        <v>#N/A</v>
      </c>
      <c r="AF758" s="344"/>
      <c r="AG758" s="359">
        <f t="shared" ca="1" si="346"/>
        <v>3.0427042997336242</v>
      </c>
      <c r="AH758" s="357">
        <f t="shared" ca="1" si="347"/>
        <v>-6.6905510161360224</v>
      </c>
    </row>
    <row r="759" spans="1:34" x14ac:dyDescent="0.2">
      <c r="A759" s="402">
        <f t="shared" ca="1" si="325"/>
        <v>1E-4</v>
      </c>
      <c r="B759" s="357">
        <f t="shared" ca="1" si="326"/>
        <v>35.304200000000328</v>
      </c>
      <c r="C759" s="342"/>
      <c r="D759" s="359">
        <f t="shared" ca="1" si="327"/>
        <v>-0.83524684091958934</v>
      </c>
      <c r="E759" s="360">
        <f t="shared" ca="1" si="328"/>
        <v>-3.171749676977722</v>
      </c>
      <c r="F759" s="357">
        <f t="shared" ca="1" si="329"/>
        <v>3.27988312271557</v>
      </c>
      <c r="G759" s="359">
        <f t="shared" ca="1" si="330"/>
        <v>16.381936796178024</v>
      </c>
      <c r="H759" s="360">
        <f t="shared" ca="1" si="331"/>
        <v>-130.19889603698573</v>
      </c>
      <c r="I759" s="357">
        <f t="shared" ca="1" si="332"/>
        <v>131.22545630495551</v>
      </c>
      <c r="J759" s="359">
        <f t="shared" ca="1" si="333"/>
        <v>953.1802660510491</v>
      </c>
      <c r="K759" s="360">
        <f t="shared" ca="1" si="334"/>
        <v>-8.8087353014874825</v>
      </c>
      <c r="L759" s="357">
        <f t="shared" ca="1" si="319"/>
        <v>953.22096777544732</v>
      </c>
      <c r="M759" s="359">
        <f t="shared" ca="1" si="335"/>
        <v>-1.4456316725874738</v>
      </c>
      <c r="N759" s="357">
        <f t="shared" ca="1" si="336"/>
        <v>-82.828593569700317</v>
      </c>
      <c r="O759" s="343"/>
      <c r="P759" s="363">
        <f t="shared" ca="1" si="337"/>
        <v>23</v>
      </c>
      <c r="Q759" s="357">
        <f t="shared" ca="1" si="338"/>
        <v>0</v>
      </c>
      <c r="R759" s="359">
        <f t="shared" ca="1" si="339"/>
        <v>0</v>
      </c>
      <c r="S759" s="360">
        <f t="shared" ca="1" si="340"/>
        <v>8.3819999999999997</v>
      </c>
      <c r="T759" s="357">
        <f t="shared" ca="1" si="320"/>
        <v>82.227419999999995</v>
      </c>
      <c r="U759" s="364">
        <f t="shared" ca="1" si="321"/>
        <v>0</v>
      </c>
      <c r="V759" s="359">
        <f t="shared" ca="1" si="322"/>
        <v>1.2260795455459805</v>
      </c>
      <c r="W759" s="357">
        <f t="shared" ca="1" si="323"/>
        <v>56.080864779631639</v>
      </c>
      <c r="X759" s="343"/>
      <c r="Y759" s="367" t="str">
        <f t="shared" ca="1" si="341"/>
        <v/>
      </c>
      <c r="Z759" s="368" t="str">
        <f t="shared" ca="1" si="342"/>
        <v/>
      </c>
      <c r="AA759" s="369" t="str">
        <f t="shared" ca="1" si="343"/>
        <v/>
      </c>
      <c r="AB759" s="344"/>
      <c r="AC759" s="363" t="e">
        <f t="shared" ca="1" si="344"/>
        <v>#N/A</v>
      </c>
      <c r="AD759" s="376" t="e">
        <f t="shared" ca="1" si="345"/>
        <v>#N/A</v>
      </c>
      <c r="AE759" s="377" t="e">
        <f t="shared" ca="1" si="324"/>
        <v>#N/A</v>
      </c>
      <c r="AF759" s="344"/>
      <c r="AG759" s="359">
        <f t="shared" ca="1" si="346"/>
        <v>3.0426657049028574</v>
      </c>
      <c r="AH759" s="357">
        <f t="shared" ca="1" si="347"/>
        <v>-6.6905907539148988</v>
      </c>
    </row>
    <row r="760" spans="1:34" x14ac:dyDescent="0.2">
      <c r="A760" s="402">
        <f t="shared" ca="1" si="325"/>
        <v>1E-4</v>
      </c>
      <c r="B760" s="357">
        <f t="shared" ca="1" si="326"/>
        <v>35.304300000000332</v>
      </c>
      <c r="C760" s="342"/>
      <c r="D760" s="359">
        <f t="shared" ca="1" si="327"/>
        <v>-0.83524560648800084</v>
      </c>
      <c r="E760" s="360">
        <f t="shared" ca="1" si="328"/>
        <v>-3.1717094707719919</v>
      </c>
      <c r="F760" s="357">
        <f t="shared" ca="1" si="329"/>
        <v>3.2798439277109295</v>
      </c>
      <c r="G760" s="359">
        <f t="shared" ca="1" si="330"/>
        <v>16.381853271617377</v>
      </c>
      <c r="H760" s="360">
        <f t="shared" ca="1" si="331"/>
        <v>-130.19921320793281</v>
      </c>
      <c r="I760" s="357">
        <f t="shared" ca="1" si="332"/>
        <v>131.22576056772371</v>
      </c>
      <c r="J760" s="359">
        <f t="shared" ca="1" si="333"/>
        <v>953.1802660510491</v>
      </c>
      <c r="K760" s="360">
        <f t="shared" ca="1" si="334"/>
        <v>-8.821755206949728</v>
      </c>
      <c r="L760" s="357">
        <f t="shared" ca="1" si="319"/>
        <v>953.22108818158245</v>
      </c>
      <c r="M760" s="359">
        <f t="shared" ca="1" si="335"/>
        <v>-1.4456326058354638</v>
      </c>
      <c r="N760" s="357">
        <f t="shared" ca="1" si="336"/>
        <v>-82.828647040871374</v>
      </c>
      <c r="O760" s="343"/>
      <c r="P760" s="363">
        <f t="shared" ca="1" si="337"/>
        <v>23</v>
      </c>
      <c r="Q760" s="357">
        <f t="shared" ca="1" si="338"/>
        <v>0</v>
      </c>
      <c r="R760" s="359">
        <f t="shared" ca="1" si="339"/>
        <v>0</v>
      </c>
      <c r="S760" s="360">
        <f t="shared" ca="1" si="340"/>
        <v>8.3819999999999997</v>
      </c>
      <c r="T760" s="357">
        <f t="shared" ca="1" si="320"/>
        <v>82.227419999999995</v>
      </c>
      <c r="U760" s="364">
        <f t="shared" ca="1" si="321"/>
        <v>0</v>
      </c>
      <c r="V760" s="359">
        <f t="shared" ca="1" si="322"/>
        <v>1.2260811418913071</v>
      </c>
      <c r="W760" s="357">
        <f t="shared" ca="1" si="323"/>
        <v>56.08119785820297</v>
      </c>
      <c r="X760" s="343"/>
      <c r="Y760" s="367" t="str">
        <f t="shared" ca="1" si="341"/>
        <v/>
      </c>
      <c r="Z760" s="368" t="str">
        <f t="shared" ca="1" si="342"/>
        <v/>
      </c>
      <c r="AA760" s="369" t="str">
        <f t="shared" ca="1" si="343"/>
        <v/>
      </c>
      <c r="AB760" s="344"/>
      <c r="AC760" s="363" t="e">
        <f t="shared" ca="1" si="344"/>
        <v>#N/A</v>
      </c>
      <c r="AD760" s="376" t="e">
        <f t="shared" ca="1" si="345"/>
        <v>#N/A</v>
      </c>
      <c r="AE760" s="377" t="e">
        <f t="shared" ca="1" si="324"/>
        <v>#N/A</v>
      </c>
      <c r="AF760" s="344"/>
      <c r="AG760" s="359">
        <f t="shared" ca="1" si="346"/>
        <v>3.0426271102607387</v>
      </c>
      <c r="AH760" s="357">
        <f t="shared" ca="1" si="347"/>
        <v>-6.6906304914855212</v>
      </c>
    </row>
    <row r="761" spans="1:34" x14ac:dyDescent="0.2">
      <c r="A761" s="402">
        <f t="shared" ca="1" si="325"/>
        <v>1E-4</v>
      </c>
      <c r="B761" s="357">
        <f t="shared" ca="1" si="326"/>
        <v>35.304400000000335</v>
      </c>
      <c r="C761" s="342"/>
      <c r="D761" s="359">
        <f t="shared" ca="1" si="327"/>
        <v>-0.83524437201641366</v>
      </c>
      <c r="E761" s="360">
        <f t="shared" ca="1" si="328"/>
        <v>-3.1716692647770026</v>
      </c>
      <c r="F761" s="357">
        <f t="shared" ca="1" si="329"/>
        <v>3.2798047329248408</v>
      </c>
      <c r="G761" s="359">
        <f t="shared" ca="1" si="330"/>
        <v>16.381769747180176</v>
      </c>
      <c r="H761" s="360">
        <f t="shared" ca="1" si="331"/>
        <v>-130.19953037485928</v>
      </c>
      <c r="I761" s="357">
        <f t="shared" ca="1" si="332"/>
        <v>131.22606482663241</v>
      </c>
      <c r="J761" s="359">
        <f t="shared" ca="1" si="333"/>
        <v>953.1802660510491</v>
      </c>
      <c r="K761" s="360">
        <f t="shared" ca="1" si="334"/>
        <v>-8.8347751441288676</v>
      </c>
      <c r="L761" s="357">
        <f t="shared" ca="1" si="319"/>
        <v>953.22120876583313</v>
      </c>
      <c r="M761" s="359">
        <f t="shared" ca="1" si="335"/>
        <v>-1.445633539074368</v>
      </c>
      <c r="N761" s="357">
        <f t="shared" ca="1" si="336"/>
        <v>-82.828700511521873</v>
      </c>
      <c r="O761" s="343"/>
      <c r="P761" s="363">
        <f t="shared" ca="1" si="337"/>
        <v>23</v>
      </c>
      <c r="Q761" s="357">
        <f t="shared" ca="1" si="338"/>
        <v>0</v>
      </c>
      <c r="R761" s="359">
        <f t="shared" ca="1" si="339"/>
        <v>0</v>
      </c>
      <c r="S761" s="360">
        <f t="shared" ca="1" si="340"/>
        <v>8.3819999999999997</v>
      </c>
      <c r="T761" s="357">
        <f t="shared" ca="1" si="320"/>
        <v>82.227419999999995</v>
      </c>
      <c r="U761" s="364">
        <f t="shared" ca="1" si="321"/>
        <v>0</v>
      </c>
      <c r="V761" s="359">
        <f t="shared" ca="1" si="322"/>
        <v>1.2260827382426016</v>
      </c>
      <c r="W761" s="357">
        <f t="shared" ca="1" si="323"/>
        <v>56.081530935028638</v>
      </c>
      <c r="X761" s="343"/>
      <c r="Y761" s="367" t="str">
        <f t="shared" ca="1" si="341"/>
        <v/>
      </c>
      <c r="Z761" s="368" t="str">
        <f t="shared" ca="1" si="342"/>
        <v/>
      </c>
      <c r="AA761" s="369" t="str">
        <f t="shared" ca="1" si="343"/>
        <v/>
      </c>
      <c r="AB761" s="344"/>
      <c r="AC761" s="363" t="e">
        <f t="shared" ca="1" si="344"/>
        <v>#N/A</v>
      </c>
      <c r="AD761" s="376" t="e">
        <f t="shared" ca="1" si="345"/>
        <v>#N/A</v>
      </c>
      <c r="AE761" s="377" t="e">
        <f t="shared" ca="1" si="324"/>
        <v>#N/A</v>
      </c>
      <c r="AF761" s="344"/>
      <c r="AG761" s="359">
        <f t="shared" ca="1" si="346"/>
        <v>3.0425885158072754</v>
      </c>
      <c r="AH761" s="357">
        <f t="shared" ca="1" si="347"/>
        <v>-6.6906702288478845</v>
      </c>
    </row>
    <row r="762" spans="1:34" x14ac:dyDescent="0.2">
      <c r="A762" s="402">
        <f t="shared" ca="1" si="325"/>
        <v>1E-4</v>
      </c>
      <c r="B762" s="357">
        <f t="shared" ca="1" si="326"/>
        <v>35.304500000000338</v>
      </c>
      <c r="C762" s="342"/>
      <c r="D762" s="359">
        <f t="shared" ca="1" si="327"/>
        <v>-0.83524313750482615</v>
      </c>
      <c r="E762" s="360">
        <f t="shared" ca="1" si="328"/>
        <v>-3.1716290589927576</v>
      </c>
      <c r="F762" s="357">
        <f t="shared" ca="1" si="329"/>
        <v>3.2797655383573061</v>
      </c>
      <c r="G762" s="359">
        <f t="shared" ca="1" si="330"/>
        <v>16.381686222866424</v>
      </c>
      <c r="H762" s="360">
        <f t="shared" ca="1" si="331"/>
        <v>-130.19984753776518</v>
      </c>
      <c r="I762" s="357">
        <f t="shared" ca="1" si="332"/>
        <v>131.2263690816817</v>
      </c>
      <c r="J762" s="359">
        <f t="shared" ca="1" si="333"/>
        <v>953.1802660510491</v>
      </c>
      <c r="K762" s="360">
        <f t="shared" ca="1" si="334"/>
        <v>-8.8477951130244996</v>
      </c>
      <c r="L762" s="357">
        <f t="shared" ca="1" si="319"/>
        <v>953.22132952820084</v>
      </c>
      <c r="M762" s="359">
        <f t="shared" ca="1" si="335"/>
        <v>-1.4456344723041863</v>
      </c>
      <c r="N762" s="357">
        <f t="shared" ca="1" si="336"/>
        <v>-82.828753981651772</v>
      </c>
      <c r="O762" s="343"/>
      <c r="P762" s="363">
        <f t="shared" ca="1" si="337"/>
        <v>23</v>
      </c>
      <c r="Q762" s="357">
        <f t="shared" ca="1" si="338"/>
        <v>0</v>
      </c>
      <c r="R762" s="359">
        <f t="shared" ca="1" si="339"/>
        <v>0</v>
      </c>
      <c r="S762" s="360">
        <f t="shared" ca="1" si="340"/>
        <v>8.3819999999999997</v>
      </c>
      <c r="T762" s="357">
        <f t="shared" ca="1" si="320"/>
        <v>82.227419999999995</v>
      </c>
      <c r="U762" s="364">
        <f t="shared" ca="1" si="321"/>
        <v>0</v>
      </c>
      <c r="V762" s="359">
        <f t="shared" ca="1" si="322"/>
        <v>1.2260843345998647</v>
      </c>
      <c r="W762" s="357">
        <f t="shared" ca="1" si="323"/>
        <v>56.081864010108696</v>
      </c>
      <c r="X762" s="343"/>
      <c r="Y762" s="367" t="str">
        <f t="shared" ca="1" si="341"/>
        <v/>
      </c>
      <c r="Z762" s="368" t="str">
        <f t="shared" ca="1" si="342"/>
        <v/>
      </c>
      <c r="AA762" s="369" t="str">
        <f t="shared" ca="1" si="343"/>
        <v/>
      </c>
      <c r="AB762" s="344"/>
      <c r="AC762" s="363" t="e">
        <f t="shared" ca="1" si="344"/>
        <v>#N/A</v>
      </c>
      <c r="AD762" s="376" t="e">
        <f t="shared" ca="1" si="345"/>
        <v>#N/A</v>
      </c>
      <c r="AE762" s="377" t="e">
        <f t="shared" ca="1" si="324"/>
        <v>#N/A</v>
      </c>
      <c r="AF762" s="344"/>
      <c r="AG762" s="359">
        <f t="shared" ca="1" si="346"/>
        <v>3.0425499215424692</v>
      </c>
      <c r="AH762" s="357">
        <f t="shared" ca="1" si="347"/>
        <v>-6.6907099660019851</v>
      </c>
    </row>
    <row r="763" spans="1:34" x14ac:dyDescent="0.2">
      <c r="A763" s="402">
        <f t="shared" ca="1" si="325"/>
        <v>1E-4</v>
      </c>
      <c r="B763" s="357">
        <f t="shared" ca="1" si="326"/>
        <v>35.304600000000342</v>
      </c>
      <c r="C763" s="342"/>
      <c r="D763" s="359">
        <f t="shared" ca="1" si="327"/>
        <v>-0.83524190295324052</v>
      </c>
      <c r="E763" s="360">
        <f t="shared" ca="1" si="328"/>
        <v>-3.1715888534192542</v>
      </c>
      <c r="F763" s="357">
        <f t="shared" ca="1" si="329"/>
        <v>3.2797263440083246</v>
      </c>
      <c r="G763" s="359">
        <f t="shared" ca="1" si="330"/>
        <v>16.381602698676129</v>
      </c>
      <c r="H763" s="360">
        <f t="shared" ca="1" si="331"/>
        <v>-130.20016469665052</v>
      </c>
      <c r="I763" s="357">
        <f t="shared" ca="1" si="332"/>
        <v>131.2266733328716</v>
      </c>
      <c r="J763" s="359">
        <f t="shared" ca="1" si="333"/>
        <v>953.1802660510491</v>
      </c>
      <c r="K763" s="360">
        <f t="shared" ca="1" si="334"/>
        <v>-8.860815113636221</v>
      </c>
      <c r="L763" s="357">
        <f t="shared" ca="1" si="319"/>
        <v>953.22145046868661</v>
      </c>
      <c r="M763" s="359">
        <f t="shared" ca="1" si="335"/>
        <v>-1.4456354055249192</v>
      </c>
      <c r="N763" s="357">
        <f t="shared" ca="1" si="336"/>
        <v>-82.828807451261127</v>
      </c>
      <c r="O763" s="343"/>
      <c r="P763" s="363">
        <f t="shared" ca="1" si="337"/>
        <v>23</v>
      </c>
      <c r="Q763" s="357">
        <f t="shared" ca="1" si="338"/>
        <v>0</v>
      </c>
      <c r="R763" s="359">
        <f t="shared" ca="1" si="339"/>
        <v>0</v>
      </c>
      <c r="S763" s="360">
        <f t="shared" ca="1" si="340"/>
        <v>8.3819999999999997</v>
      </c>
      <c r="T763" s="357">
        <f t="shared" ca="1" si="320"/>
        <v>82.227419999999995</v>
      </c>
      <c r="U763" s="364">
        <f t="shared" ca="1" si="321"/>
        <v>0</v>
      </c>
      <c r="V763" s="359">
        <f t="shared" ca="1" si="322"/>
        <v>1.2260859309630951</v>
      </c>
      <c r="W763" s="357">
        <f t="shared" ca="1" si="323"/>
        <v>56.082197083443099</v>
      </c>
      <c r="X763" s="343"/>
      <c r="Y763" s="367" t="str">
        <f t="shared" ca="1" si="341"/>
        <v/>
      </c>
      <c r="Z763" s="368" t="str">
        <f t="shared" ca="1" si="342"/>
        <v/>
      </c>
      <c r="AA763" s="369" t="str">
        <f t="shared" ca="1" si="343"/>
        <v/>
      </c>
      <c r="AB763" s="344"/>
      <c r="AC763" s="363" t="e">
        <f t="shared" ca="1" si="344"/>
        <v>#N/A</v>
      </c>
      <c r="AD763" s="376" t="e">
        <f t="shared" ca="1" si="345"/>
        <v>#N/A</v>
      </c>
      <c r="AE763" s="377" t="e">
        <f t="shared" ca="1" si="324"/>
        <v>#N/A</v>
      </c>
      <c r="AF763" s="344"/>
      <c r="AG763" s="359">
        <f t="shared" ca="1" si="346"/>
        <v>3.0425113274663182</v>
      </c>
      <c r="AH763" s="357">
        <f t="shared" ca="1" si="347"/>
        <v>-6.6907497029478282</v>
      </c>
    </row>
    <row r="764" spans="1:34" x14ac:dyDescent="0.2">
      <c r="A764" s="402">
        <f t="shared" ca="1" si="325"/>
        <v>1E-4</v>
      </c>
      <c r="B764" s="357">
        <f t="shared" ca="1" si="326"/>
        <v>35.304700000000345</v>
      </c>
      <c r="C764" s="342"/>
      <c r="D764" s="359">
        <f t="shared" ca="1" si="327"/>
        <v>-0.835240668361655</v>
      </c>
      <c r="E764" s="360">
        <f t="shared" ca="1" si="328"/>
        <v>-3.1715486480564943</v>
      </c>
      <c r="F764" s="357">
        <f t="shared" ca="1" si="329"/>
        <v>3.2796871498778968</v>
      </c>
      <c r="G764" s="359">
        <f t="shared" ca="1" si="330"/>
        <v>16.381519174609295</v>
      </c>
      <c r="H764" s="360">
        <f t="shared" ca="1" si="331"/>
        <v>-130.20048185151532</v>
      </c>
      <c r="I764" s="357">
        <f t="shared" ca="1" si="332"/>
        <v>131.22697758020209</v>
      </c>
      <c r="J764" s="359">
        <f t="shared" ca="1" si="333"/>
        <v>953.1802660510491</v>
      </c>
      <c r="K764" s="360">
        <f t="shared" ca="1" si="334"/>
        <v>-8.8738351459636284</v>
      </c>
      <c r="L764" s="357">
        <f t="shared" ca="1" si="319"/>
        <v>953.22157158729181</v>
      </c>
      <c r="M764" s="359">
        <f t="shared" ca="1" si="335"/>
        <v>-1.4456363387365665</v>
      </c>
      <c r="N764" s="357">
        <f t="shared" ca="1" si="336"/>
        <v>-82.828860920349911</v>
      </c>
      <c r="O764" s="343"/>
      <c r="P764" s="363">
        <f t="shared" ca="1" si="337"/>
        <v>23</v>
      </c>
      <c r="Q764" s="357">
        <f t="shared" ca="1" si="338"/>
        <v>0</v>
      </c>
      <c r="R764" s="359">
        <f t="shared" ca="1" si="339"/>
        <v>0</v>
      </c>
      <c r="S764" s="360">
        <f t="shared" ca="1" si="340"/>
        <v>8.3819999999999997</v>
      </c>
      <c r="T764" s="357">
        <f t="shared" ca="1" si="320"/>
        <v>82.227419999999995</v>
      </c>
      <c r="U764" s="364">
        <f t="shared" ca="1" si="321"/>
        <v>0</v>
      </c>
      <c r="V764" s="359">
        <f t="shared" ca="1" si="322"/>
        <v>1.226087527332294</v>
      </c>
      <c r="W764" s="357">
        <f t="shared" ca="1" si="323"/>
        <v>56.082530155031826</v>
      </c>
      <c r="X764" s="343"/>
      <c r="Y764" s="367" t="str">
        <f t="shared" ca="1" si="341"/>
        <v/>
      </c>
      <c r="Z764" s="368" t="str">
        <f t="shared" ca="1" si="342"/>
        <v/>
      </c>
      <c r="AA764" s="369" t="str">
        <f t="shared" ca="1" si="343"/>
        <v/>
      </c>
      <c r="AB764" s="344"/>
      <c r="AC764" s="363" t="e">
        <f t="shared" ca="1" si="344"/>
        <v>#N/A</v>
      </c>
      <c r="AD764" s="376" t="e">
        <f t="shared" ca="1" si="345"/>
        <v>#N/A</v>
      </c>
      <c r="AE764" s="377" t="e">
        <f t="shared" ca="1" si="324"/>
        <v>#N/A</v>
      </c>
      <c r="AF764" s="344"/>
      <c r="AG764" s="359">
        <f t="shared" ca="1" si="346"/>
        <v>3.0424727335788235</v>
      </c>
      <c r="AH764" s="357">
        <f t="shared" ca="1" si="347"/>
        <v>-6.6907894396854095</v>
      </c>
    </row>
    <row r="765" spans="1:34" x14ac:dyDescent="0.2">
      <c r="A765" s="402">
        <f t="shared" ca="1" si="325"/>
        <v>1E-4</v>
      </c>
      <c r="B765" s="357">
        <f t="shared" ca="1" si="326"/>
        <v>35.304800000000348</v>
      </c>
      <c r="C765" s="342"/>
      <c r="D765" s="359">
        <f t="shared" ca="1" si="327"/>
        <v>-0.83523943373007226</v>
      </c>
      <c r="E765" s="360">
        <f t="shared" ca="1" si="328"/>
        <v>-3.1715084429044813</v>
      </c>
      <c r="F765" s="357">
        <f t="shared" ca="1" si="329"/>
        <v>3.279647955966027</v>
      </c>
      <c r="G765" s="359">
        <f t="shared" ca="1" si="330"/>
        <v>16.381435650665921</v>
      </c>
      <c r="H765" s="360">
        <f t="shared" ca="1" si="331"/>
        <v>-130.20079900235962</v>
      </c>
      <c r="I765" s="357">
        <f t="shared" ca="1" si="332"/>
        <v>131.22728182367322</v>
      </c>
      <c r="J765" s="359">
        <f t="shared" ca="1" si="333"/>
        <v>953.1802660510491</v>
      </c>
      <c r="K765" s="360">
        <f t="shared" ca="1" si="334"/>
        <v>-8.8868552100063223</v>
      </c>
      <c r="L765" s="357">
        <f t="shared" ca="1" si="319"/>
        <v>953.22169288401767</v>
      </c>
      <c r="M765" s="359">
        <f t="shared" ca="1" si="335"/>
        <v>-1.4456372719391286</v>
      </c>
      <c r="N765" s="357">
        <f t="shared" ca="1" si="336"/>
        <v>-82.82891438891815</v>
      </c>
      <c r="O765" s="343"/>
      <c r="P765" s="363">
        <f t="shared" ca="1" si="337"/>
        <v>23</v>
      </c>
      <c r="Q765" s="357">
        <f t="shared" ca="1" si="338"/>
        <v>0</v>
      </c>
      <c r="R765" s="359">
        <f t="shared" ca="1" si="339"/>
        <v>0</v>
      </c>
      <c r="S765" s="360">
        <f t="shared" ca="1" si="340"/>
        <v>8.3819999999999997</v>
      </c>
      <c r="T765" s="357">
        <f t="shared" ca="1" si="320"/>
        <v>82.227419999999995</v>
      </c>
      <c r="U765" s="364">
        <f t="shared" ca="1" si="321"/>
        <v>0</v>
      </c>
      <c r="V765" s="359">
        <f t="shared" ca="1" si="322"/>
        <v>1.2260891237074607</v>
      </c>
      <c r="W765" s="357">
        <f t="shared" ca="1" si="323"/>
        <v>56.082863224874863</v>
      </c>
      <c r="X765" s="343"/>
      <c r="Y765" s="367" t="str">
        <f t="shared" ca="1" si="341"/>
        <v/>
      </c>
      <c r="Z765" s="368" t="str">
        <f t="shared" ca="1" si="342"/>
        <v/>
      </c>
      <c r="AA765" s="369" t="str">
        <f t="shared" ca="1" si="343"/>
        <v/>
      </c>
      <c r="AB765" s="344"/>
      <c r="AC765" s="363" t="e">
        <f t="shared" ca="1" si="344"/>
        <v>#N/A</v>
      </c>
      <c r="AD765" s="376" t="e">
        <f t="shared" ca="1" si="345"/>
        <v>#N/A</v>
      </c>
      <c r="AE765" s="377" t="e">
        <f t="shared" ca="1" si="324"/>
        <v>#N/A</v>
      </c>
      <c r="AF765" s="344"/>
      <c r="AG765" s="359">
        <f t="shared" ca="1" si="346"/>
        <v>3.0424341398799939</v>
      </c>
      <c r="AH765" s="357">
        <f t="shared" ca="1" si="347"/>
        <v>-6.6908291762147254</v>
      </c>
    </row>
    <row r="766" spans="1:34" x14ac:dyDescent="0.2">
      <c r="A766" s="402">
        <f t="shared" ca="1" si="325"/>
        <v>1E-4</v>
      </c>
      <c r="B766" s="357">
        <f t="shared" ca="1" si="326"/>
        <v>35.304900000000352</v>
      </c>
      <c r="C766" s="342"/>
      <c r="D766" s="359">
        <f t="shared" ca="1" si="327"/>
        <v>-0.83523819905849084</v>
      </c>
      <c r="E766" s="360">
        <f t="shared" ca="1" si="328"/>
        <v>-3.1714682379632171</v>
      </c>
      <c r="F766" s="357">
        <f t="shared" ca="1" si="329"/>
        <v>3.279608762272717</v>
      </c>
      <c r="G766" s="359">
        <f t="shared" ca="1" si="330"/>
        <v>16.381352126846014</v>
      </c>
      <c r="H766" s="360">
        <f t="shared" ca="1" si="331"/>
        <v>-130.20111614918341</v>
      </c>
      <c r="I766" s="357">
        <f t="shared" ca="1" si="332"/>
        <v>131.227586063285</v>
      </c>
      <c r="J766" s="359">
        <f t="shared" ca="1" si="333"/>
        <v>953.1802660510491</v>
      </c>
      <c r="K766" s="360">
        <f t="shared" ca="1" si="334"/>
        <v>-8.8998753057638993</v>
      </c>
      <c r="L766" s="357">
        <f t="shared" ca="1" si="319"/>
        <v>953.22181435886523</v>
      </c>
      <c r="M766" s="359">
        <f t="shared" ca="1" si="335"/>
        <v>-1.4456382051326055</v>
      </c>
      <c r="N766" s="357">
        <f t="shared" ca="1" si="336"/>
        <v>-82.828967856965846</v>
      </c>
      <c r="O766" s="343"/>
      <c r="P766" s="363">
        <f t="shared" ca="1" si="337"/>
        <v>23</v>
      </c>
      <c r="Q766" s="357">
        <f t="shared" ca="1" si="338"/>
        <v>0</v>
      </c>
      <c r="R766" s="359">
        <f t="shared" ca="1" si="339"/>
        <v>0</v>
      </c>
      <c r="S766" s="360">
        <f t="shared" ca="1" si="340"/>
        <v>8.3819999999999997</v>
      </c>
      <c r="T766" s="357">
        <f t="shared" ca="1" si="320"/>
        <v>82.227419999999995</v>
      </c>
      <c r="U766" s="364">
        <f t="shared" ca="1" si="321"/>
        <v>0</v>
      </c>
      <c r="V766" s="359">
        <f t="shared" ca="1" si="322"/>
        <v>1.2260907200885951</v>
      </c>
      <c r="W766" s="357">
        <f t="shared" ca="1" si="323"/>
        <v>56.083196292972204</v>
      </c>
      <c r="X766" s="343"/>
      <c r="Y766" s="367" t="str">
        <f t="shared" ca="1" si="341"/>
        <v/>
      </c>
      <c r="Z766" s="368" t="str">
        <f t="shared" ca="1" si="342"/>
        <v/>
      </c>
      <c r="AA766" s="369" t="str">
        <f t="shared" ca="1" si="343"/>
        <v/>
      </c>
      <c r="AB766" s="344"/>
      <c r="AC766" s="363" t="e">
        <f t="shared" ca="1" si="344"/>
        <v>#N/A</v>
      </c>
      <c r="AD766" s="376" t="e">
        <f t="shared" ca="1" si="345"/>
        <v>#N/A</v>
      </c>
      <c r="AE766" s="377" t="e">
        <f t="shared" ca="1" si="324"/>
        <v>#N/A</v>
      </c>
      <c r="AF766" s="344"/>
      <c r="AG766" s="359">
        <f t="shared" ca="1" si="346"/>
        <v>3.0423955463698285</v>
      </c>
      <c r="AH766" s="357">
        <f t="shared" ca="1" si="347"/>
        <v>-6.690868912535775</v>
      </c>
    </row>
    <row r="767" spans="1:34" x14ac:dyDescent="0.2">
      <c r="A767" s="402">
        <f t="shared" ca="1" si="325"/>
        <v>1E-4</v>
      </c>
      <c r="B767" s="357">
        <f t="shared" ca="1" si="326"/>
        <v>35.305000000000355</v>
      </c>
      <c r="C767" s="342"/>
      <c r="D767" s="359">
        <f t="shared" ca="1" si="327"/>
        <v>-0.8352369643469123</v>
      </c>
      <c r="E767" s="360">
        <f t="shared" ca="1" si="328"/>
        <v>-3.1714280332327034</v>
      </c>
      <c r="F767" s="357">
        <f t="shared" ca="1" si="329"/>
        <v>3.2795695687979691</v>
      </c>
      <c r="G767" s="359">
        <f t="shared" ca="1" si="330"/>
        <v>16.381268603149579</v>
      </c>
      <c r="H767" s="360">
        <f t="shared" ca="1" si="331"/>
        <v>-130.20143329198672</v>
      </c>
      <c r="I767" s="357">
        <f t="shared" ca="1" si="332"/>
        <v>131.22789029903743</v>
      </c>
      <c r="J767" s="359">
        <f t="shared" ca="1" si="333"/>
        <v>953.1802660510491</v>
      </c>
      <c r="K767" s="360">
        <f t="shared" ca="1" si="334"/>
        <v>-8.912895433235958</v>
      </c>
      <c r="L767" s="357">
        <f t="shared" ca="1" si="319"/>
        <v>953.22193601183585</v>
      </c>
      <c r="M767" s="359">
        <f t="shared" ca="1" si="335"/>
        <v>-1.4456391383169973</v>
      </c>
      <c r="N767" s="357">
        <f t="shared" ca="1" si="336"/>
        <v>-82.829021324492999</v>
      </c>
      <c r="O767" s="343"/>
      <c r="P767" s="363">
        <f t="shared" ca="1" si="337"/>
        <v>23</v>
      </c>
      <c r="Q767" s="357">
        <f t="shared" ca="1" si="338"/>
        <v>0</v>
      </c>
      <c r="R767" s="359">
        <f t="shared" ca="1" si="339"/>
        <v>0</v>
      </c>
      <c r="S767" s="360">
        <f t="shared" ca="1" si="340"/>
        <v>8.3819999999999997</v>
      </c>
      <c r="T767" s="357">
        <f t="shared" ca="1" si="320"/>
        <v>82.227419999999995</v>
      </c>
      <c r="U767" s="364">
        <f t="shared" ca="1" si="321"/>
        <v>0</v>
      </c>
      <c r="V767" s="359">
        <f t="shared" ca="1" si="322"/>
        <v>1.2260923164756981</v>
      </c>
      <c r="W767" s="357">
        <f t="shared" ca="1" si="323"/>
        <v>56.083529359323833</v>
      </c>
      <c r="X767" s="343"/>
      <c r="Y767" s="367" t="str">
        <f t="shared" ca="1" si="341"/>
        <v/>
      </c>
      <c r="Z767" s="368" t="str">
        <f t="shared" ca="1" si="342"/>
        <v/>
      </c>
      <c r="AA767" s="369" t="str">
        <f t="shared" ca="1" si="343"/>
        <v/>
      </c>
      <c r="AB767" s="344"/>
      <c r="AC767" s="363" t="e">
        <f t="shared" ca="1" si="344"/>
        <v>#N/A</v>
      </c>
      <c r="AD767" s="376" t="e">
        <f t="shared" ca="1" si="345"/>
        <v>#N/A</v>
      </c>
      <c r="AE767" s="377" t="e">
        <f t="shared" ca="1" si="324"/>
        <v>#N/A</v>
      </c>
      <c r="AF767" s="344"/>
      <c r="AG767" s="359">
        <f t="shared" ca="1" si="346"/>
        <v>3.0423569530483263</v>
      </c>
      <c r="AH767" s="357">
        <f t="shared" ca="1" si="347"/>
        <v>-6.6909086486485574</v>
      </c>
    </row>
    <row r="768" spans="1:34" x14ac:dyDescent="0.2">
      <c r="A768" s="402">
        <f t="shared" ca="1" si="325"/>
        <v>1E-4</v>
      </c>
      <c r="B768" s="357">
        <f t="shared" ca="1" si="326"/>
        <v>35.305100000000358</v>
      </c>
      <c r="C768" s="342"/>
      <c r="D768" s="359">
        <f t="shared" ca="1" si="327"/>
        <v>-0.83523572959533821</v>
      </c>
      <c r="E768" s="360">
        <f t="shared" ca="1" si="328"/>
        <v>-3.1713878287129411</v>
      </c>
      <c r="F768" s="357">
        <f t="shared" ca="1" si="329"/>
        <v>3.2795303755417846</v>
      </c>
      <c r="G768" s="359">
        <f t="shared" ca="1" si="330"/>
        <v>16.381185079576618</v>
      </c>
      <c r="H768" s="360">
        <f t="shared" ca="1" si="331"/>
        <v>-130.20175043076958</v>
      </c>
      <c r="I768" s="357">
        <f t="shared" ca="1" si="332"/>
        <v>131.22819453093055</v>
      </c>
      <c r="J768" s="359">
        <f t="shared" ca="1" si="333"/>
        <v>953.1802660510491</v>
      </c>
      <c r="K768" s="360">
        <f t="shared" ca="1" si="334"/>
        <v>-8.9259155924220952</v>
      </c>
      <c r="L768" s="357">
        <f t="shared" ca="1" si="319"/>
        <v>953.22205784293089</v>
      </c>
      <c r="M768" s="359">
        <f t="shared" ca="1" si="335"/>
        <v>-1.4456400714923041</v>
      </c>
      <c r="N768" s="357">
        <f t="shared" ca="1" si="336"/>
        <v>-82.829074791499622</v>
      </c>
      <c r="O768" s="343"/>
      <c r="P768" s="363">
        <f t="shared" ca="1" si="337"/>
        <v>23</v>
      </c>
      <c r="Q768" s="357">
        <f t="shared" ca="1" si="338"/>
        <v>0</v>
      </c>
      <c r="R768" s="359">
        <f t="shared" ca="1" si="339"/>
        <v>0</v>
      </c>
      <c r="S768" s="360">
        <f t="shared" ca="1" si="340"/>
        <v>8.3819999999999997</v>
      </c>
      <c r="T768" s="357">
        <f t="shared" ca="1" si="320"/>
        <v>82.227419999999995</v>
      </c>
      <c r="U768" s="364">
        <f t="shared" ca="1" si="321"/>
        <v>0</v>
      </c>
      <c r="V768" s="359">
        <f t="shared" ca="1" si="322"/>
        <v>1.2260939128687685</v>
      </c>
      <c r="W768" s="357">
        <f t="shared" ca="1" si="323"/>
        <v>56.083862423929723</v>
      </c>
      <c r="X768" s="343"/>
      <c r="Y768" s="367" t="str">
        <f t="shared" ca="1" si="341"/>
        <v/>
      </c>
      <c r="Z768" s="368" t="str">
        <f t="shared" ca="1" si="342"/>
        <v/>
      </c>
      <c r="AA768" s="369" t="str">
        <f t="shared" ca="1" si="343"/>
        <v/>
      </c>
      <c r="AB768" s="344"/>
      <c r="AC768" s="363" t="e">
        <f t="shared" ca="1" si="344"/>
        <v>#N/A</v>
      </c>
      <c r="AD768" s="376" t="e">
        <f t="shared" ca="1" si="345"/>
        <v>#N/A</v>
      </c>
      <c r="AE768" s="377" t="e">
        <f t="shared" ca="1" si="324"/>
        <v>#N/A</v>
      </c>
      <c r="AF768" s="344"/>
      <c r="AG768" s="359">
        <f t="shared" ca="1" si="346"/>
        <v>3.0423183599154937</v>
      </c>
      <c r="AH768" s="357">
        <f t="shared" ca="1" si="347"/>
        <v>-6.6909483845530699</v>
      </c>
    </row>
    <row r="769" spans="1:34" x14ac:dyDescent="0.2">
      <c r="A769" s="402">
        <f t="shared" ca="1" si="325"/>
        <v>1E-4</v>
      </c>
      <c r="B769" s="357">
        <f t="shared" ca="1" si="326"/>
        <v>35.305200000000362</v>
      </c>
      <c r="C769" s="342"/>
      <c r="D769" s="359">
        <f t="shared" ca="1" si="327"/>
        <v>-0.83523449480376832</v>
      </c>
      <c r="E769" s="360">
        <f t="shared" ca="1" si="328"/>
        <v>-3.1713476244039338</v>
      </c>
      <c r="F769" s="357">
        <f t="shared" ca="1" si="329"/>
        <v>3.279491182504167</v>
      </c>
      <c r="G769" s="359">
        <f t="shared" ca="1" si="330"/>
        <v>16.381101556127138</v>
      </c>
      <c r="H769" s="360">
        <f t="shared" ca="1" si="331"/>
        <v>-130.20206756553202</v>
      </c>
      <c r="I769" s="357">
        <f t="shared" ca="1" si="332"/>
        <v>131.22849875896441</v>
      </c>
      <c r="J769" s="359">
        <f t="shared" ca="1" si="333"/>
        <v>953.1802660510491</v>
      </c>
      <c r="K769" s="360">
        <f t="shared" ca="1" si="334"/>
        <v>-8.9389357833219094</v>
      </c>
      <c r="L769" s="357">
        <f t="shared" ca="1" si="319"/>
        <v>953.22217985215127</v>
      </c>
      <c r="M769" s="359">
        <f t="shared" ca="1" si="335"/>
        <v>-1.4456410046585262</v>
      </c>
      <c r="N769" s="357">
        <f t="shared" ca="1" si="336"/>
        <v>-82.82912825798573</v>
      </c>
      <c r="O769" s="343"/>
      <c r="P769" s="363">
        <f t="shared" ca="1" si="337"/>
        <v>23</v>
      </c>
      <c r="Q769" s="357">
        <f t="shared" ca="1" si="338"/>
        <v>0</v>
      </c>
      <c r="R769" s="359">
        <f t="shared" ca="1" si="339"/>
        <v>0</v>
      </c>
      <c r="S769" s="360">
        <f t="shared" ca="1" si="340"/>
        <v>8.3819999999999997</v>
      </c>
      <c r="T769" s="357">
        <f t="shared" ca="1" si="320"/>
        <v>82.227419999999995</v>
      </c>
      <c r="U769" s="364">
        <f t="shared" ca="1" si="321"/>
        <v>0</v>
      </c>
      <c r="V769" s="359">
        <f t="shared" ca="1" si="322"/>
        <v>1.2260955092678065</v>
      </c>
      <c r="W769" s="357">
        <f t="shared" ca="1" si="323"/>
        <v>56.084195486789888</v>
      </c>
      <c r="X769" s="343"/>
      <c r="Y769" s="367" t="str">
        <f t="shared" ca="1" si="341"/>
        <v/>
      </c>
      <c r="Z769" s="368" t="str">
        <f t="shared" ca="1" si="342"/>
        <v/>
      </c>
      <c r="AA769" s="369" t="str">
        <f t="shared" ca="1" si="343"/>
        <v/>
      </c>
      <c r="AB769" s="344"/>
      <c r="AC769" s="363" t="e">
        <f t="shared" ca="1" si="344"/>
        <v>#N/A</v>
      </c>
      <c r="AD769" s="376" t="e">
        <f t="shared" ca="1" si="345"/>
        <v>#N/A</v>
      </c>
      <c r="AE769" s="377" t="e">
        <f t="shared" ca="1" si="324"/>
        <v>#N/A</v>
      </c>
      <c r="AF769" s="344"/>
      <c r="AG769" s="359">
        <f t="shared" ca="1" si="346"/>
        <v>3.0422797669713306</v>
      </c>
      <c r="AH769" s="357">
        <f t="shared" ca="1" si="347"/>
        <v>-6.6909881202493109</v>
      </c>
    </row>
    <row r="770" spans="1:34" x14ac:dyDescent="0.2">
      <c r="A770" s="402">
        <f t="shared" ca="1" si="325"/>
        <v>1E-4</v>
      </c>
      <c r="B770" s="357">
        <f t="shared" ca="1" si="326"/>
        <v>35.305300000000365</v>
      </c>
      <c r="C770" s="342"/>
      <c r="D770" s="359">
        <f t="shared" ca="1" si="327"/>
        <v>-0.83523325997220288</v>
      </c>
      <c r="E770" s="360">
        <f t="shared" ca="1" si="328"/>
        <v>-3.1713074203056788</v>
      </c>
      <c r="F770" s="357">
        <f t="shared" ca="1" si="329"/>
        <v>3.2794519896851138</v>
      </c>
      <c r="G770" s="359">
        <f t="shared" ca="1" si="330"/>
        <v>16.381018032801141</v>
      </c>
      <c r="H770" s="360">
        <f t="shared" ca="1" si="331"/>
        <v>-130.20238469627404</v>
      </c>
      <c r="I770" s="357">
        <f t="shared" ca="1" si="332"/>
        <v>131.22880298313893</v>
      </c>
      <c r="J770" s="359">
        <f t="shared" ca="1" si="333"/>
        <v>953.1802660510491</v>
      </c>
      <c r="K770" s="360">
        <f t="shared" ca="1" si="334"/>
        <v>-8.9519560059349992</v>
      </c>
      <c r="L770" s="357">
        <f t="shared" ca="1" si="319"/>
        <v>953.22230203949857</v>
      </c>
      <c r="M770" s="359">
        <f t="shared" ca="1" si="335"/>
        <v>-1.4456419378156635</v>
      </c>
      <c r="N770" s="357">
        <f t="shared" ca="1" si="336"/>
        <v>-82.829181723951322</v>
      </c>
      <c r="O770" s="343"/>
      <c r="P770" s="363">
        <f t="shared" ca="1" si="337"/>
        <v>23</v>
      </c>
      <c r="Q770" s="357">
        <f t="shared" ca="1" si="338"/>
        <v>0</v>
      </c>
      <c r="R770" s="359">
        <f t="shared" ca="1" si="339"/>
        <v>0</v>
      </c>
      <c r="S770" s="360">
        <f t="shared" ca="1" si="340"/>
        <v>8.3819999999999997</v>
      </c>
      <c r="T770" s="357">
        <f t="shared" ca="1" si="320"/>
        <v>82.227419999999995</v>
      </c>
      <c r="U770" s="364">
        <f t="shared" ca="1" si="321"/>
        <v>0</v>
      </c>
      <c r="V770" s="359">
        <f t="shared" ca="1" si="322"/>
        <v>1.2260971056728129</v>
      </c>
      <c r="W770" s="357">
        <f t="shared" ca="1" si="323"/>
        <v>56.08452854790427</v>
      </c>
      <c r="X770" s="343"/>
      <c r="Y770" s="367" t="str">
        <f t="shared" ca="1" si="341"/>
        <v/>
      </c>
      <c r="Z770" s="368" t="str">
        <f t="shared" ca="1" si="342"/>
        <v/>
      </c>
      <c r="AA770" s="369" t="str">
        <f t="shared" ca="1" si="343"/>
        <v/>
      </c>
      <c r="AB770" s="344"/>
      <c r="AC770" s="363" t="e">
        <f t="shared" ca="1" si="344"/>
        <v>#N/A</v>
      </c>
      <c r="AD770" s="376" t="e">
        <f t="shared" ca="1" si="345"/>
        <v>#N/A</v>
      </c>
      <c r="AE770" s="377" t="e">
        <f t="shared" ca="1" si="324"/>
        <v>#N/A</v>
      </c>
      <c r="AF770" s="344"/>
      <c r="AG770" s="359">
        <f t="shared" ca="1" si="346"/>
        <v>3.042241174215838</v>
      </c>
      <c r="AH770" s="357">
        <f t="shared" ca="1" si="347"/>
        <v>-6.6910278557372811</v>
      </c>
    </row>
    <row r="771" spans="1:34" x14ac:dyDescent="0.2">
      <c r="A771" s="402">
        <f t="shared" ca="1" si="325"/>
        <v>1E-4</v>
      </c>
      <c r="B771" s="357">
        <f t="shared" ca="1" si="326"/>
        <v>35.305400000000368</v>
      </c>
      <c r="C771" s="342"/>
      <c r="D771" s="359">
        <f t="shared" ca="1" si="327"/>
        <v>-0.83523202510064287</v>
      </c>
      <c r="E771" s="360">
        <f t="shared" ca="1" si="328"/>
        <v>-3.171267216418185</v>
      </c>
      <c r="F771" s="357">
        <f t="shared" ca="1" si="329"/>
        <v>3.2794127970846345</v>
      </c>
      <c r="G771" s="359">
        <f t="shared" ca="1" si="330"/>
        <v>16.380934509598632</v>
      </c>
      <c r="H771" s="360">
        <f t="shared" ca="1" si="331"/>
        <v>-130.20270182299569</v>
      </c>
      <c r="I771" s="357">
        <f t="shared" ca="1" si="332"/>
        <v>131.22910720345425</v>
      </c>
      <c r="J771" s="359">
        <f t="shared" ca="1" si="333"/>
        <v>953.1802660510491</v>
      </c>
      <c r="K771" s="360">
        <f t="shared" ca="1" si="334"/>
        <v>-8.9649762602609631</v>
      </c>
      <c r="L771" s="357">
        <f t="shared" ca="1" si="319"/>
        <v>953.22242440497371</v>
      </c>
      <c r="M771" s="359">
        <f t="shared" ca="1" si="335"/>
        <v>-1.4456428709637166</v>
      </c>
      <c r="N771" s="357">
        <f t="shared" ca="1" si="336"/>
        <v>-82.829235189396428</v>
      </c>
      <c r="O771" s="343"/>
      <c r="P771" s="363">
        <f t="shared" ca="1" si="337"/>
        <v>23</v>
      </c>
      <c r="Q771" s="357">
        <f t="shared" ca="1" si="338"/>
        <v>0</v>
      </c>
      <c r="R771" s="359">
        <f t="shared" ca="1" si="339"/>
        <v>0</v>
      </c>
      <c r="S771" s="360">
        <f t="shared" ca="1" si="340"/>
        <v>8.3819999999999997</v>
      </c>
      <c r="T771" s="357">
        <f t="shared" ca="1" si="320"/>
        <v>82.227419999999995</v>
      </c>
      <c r="U771" s="364">
        <f t="shared" ca="1" si="321"/>
        <v>0</v>
      </c>
      <c r="V771" s="359">
        <f t="shared" ca="1" si="322"/>
        <v>1.226098702083787</v>
      </c>
      <c r="W771" s="357">
        <f t="shared" ca="1" si="323"/>
        <v>56.084861607272892</v>
      </c>
      <c r="X771" s="343"/>
      <c r="Y771" s="367" t="str">
        <f t="shared" ca="1" si="341"/>
        <v/>
      </c>
      <c r="Z771" s="368" t="str">
        <f t="shared" ca="1" si="342"/>
        <v/>
      </c>
      <c r="AA771" s="369" t="str">
        <f t="shared" ca="1" si="343"/>
        <v/>
      </c>
      <c r="AB771" s="344"/>
      <c r="AC771" s="363" t="e">
        <f t="shared" ca="1" si="344"/>
        <v>#N/A</v>
      </c>
      <c r="AD771" s="376" t="e">
        <f t="shared" ca="1" si="345"/>
        <v>#N/A</v>
      </c>
      <c r="AE771" s="377" t="e">
        <f t="shared" ca="1" si="324"/>
        <v>#N/A</v>
      </c>
      <c r="AF771" s="344"/>
      <c r="AG771" s="359">
        <f t="shared" ca="1" si="346"/>
        <v>3.0422025816490192</v>
      </c>
      <c r="AH771" s="357">
        <f t="shared" ca="1" si="347"/>
        <v>-6.6910675910169735</v>
      </c>
    </row>
    <row r="772" spans="1:34" x14ac:dyDescent="0.2">
      <c r="A772" s="402">
        <f t="shared" ca="1" si="325"/>
        <v>1E-4</v>
      </c>
      <c r="B772" s="357">
        <f t="shared" ca="1" si="326"/>
        <v>35.305500000000372</v>
      </c>
      <c r="C772" s="342"/>
      <c r="D772" s="359">
        <f t="shared" ca="1" si="327"/>
        <v>-0.83523079018908719</v>
      </c>
      <c r="E772" s="360">
        <f t="shared" ca="1" si="328"/>
        <v>-3.1712270127414479</v>
      </c>
      <c r="F772" s="357">
        <f t="shared" ca="1" si="329"/>
        <v>3.2793736047027235</v>
      </c>
      <c r="G772" s="359">
        <f t="shared" ca="1" si="330"/>
        <v>16.380850986519611</v>
      </c>
      <c r="H772" s="360">
        <f t="shared" ca="1" si="331"/>
        <v>-130.20301894569695</v>
      </c>
      <c r="I772" s="357">
        <f t="shared" ca="1" si="332"/>
        <v>131.22941141991026</v>
      </c>
      <c r="J772" s="359">
        <f t="shared" ca="1" si="333"/>
        <v>953.1802660510491</v>
      </c>
      <c r="K772" s="360">
        <f t="shared" ca="1" si="334"/>
        <v>-8.9779965462993978</v>
      </c>
      <c r="L772" s="357">
        <f t="shared" ref="L772:L835" ca="1" si="348">SQRT(pos_x^2+pos_z^2)</f>
        <v>953.22254694857804</v>
      </c>
      <c r="M772" s="359">
        <f t="shared" ca="1" si="335"/>
        <v>-1.4456438041026851</v>
      </c>
      <c r="N772" s="357">
        <f t="shared" ca="1" si="336"/>
        <v>-82.829288654321019</v>
      </c>
      <c r="O772" s="343"/>
      <c r="P772" s="363">
        <f t="shared" ca="1" si="337"/>
        <v>23</v>
      </c>
      <c r="Q772" s="357">
        <f t="shared" ca="1" si="338"/>
        <v>0</v>
      </c>
      <c r="R772" s="359">
        <f t="shared" ca="1" si="339"/>
        <v>0</v>
      </c>
      <c r="S772" s="360">
        <f t="shared" ca="1" si="340"/>
        <v>8.3819999999999997</v>
      </c>
      <c r="T772" s="357">
        <f t="shared" ref="T772:T835" ca="1" si="349">m*g</f>
        <v>82.227419999999995</v>
      </c>
      <c r="U772" s="364">
        <f t="shared" ref="U772:U835" ca="1" si="350">IF(pos_xz&lt;L_rampe,Poids*COS(Beta),0)</f>
        <v>0</v>
      </c>
      <c r="V772" s="359">
        <f t="shared" ref="V772:V835" ca="1" si="351">Rho_moyen*(20000-Alt_rampe-pos_z)/(20000+Alt_rampe+pos_z)</f>
        <v>1.2261002985007288</v>
      </c>
      <c r="W772" s="357">
        <f t="shared" ref="W772:W835" ca="1" si="352">1/2*Rho*Sref*Cx*vit_xz^2</f>
        <v>56.085194664895688</v>
      </c>
      <c r="X772" s="343"/>
      <c r="Y772" s="367" t="str">
        <f t="shared" ca="1" si="341"/>
        <v/>
      </c>
      <c r="Z772" s="368" t="str">
        <f t="shared" ca="1" si="342"/>
        <v/>
      </c>
      <c r="AA772" s="369" t="str">
        <f t="shared" ca="1" si="343"/>
        <v/>
      </c>
      <c r="AB772" s="344"/>
      <c r="AC772" s="363" t="e">
        <f t="shared" ca="1" si="344"/>
        <v>#N/A</v>
      </c>
      <c r="AD772" s="376" t="e">
        <f t="shared" ca="1" si="345"/>
        <v>#N/A</v>
      </c>
      <c r="AE772" s="377" t="e">
        <f t="shared" ref="AE772:AE835" ca="1" si="353">IF(t&lt;T_para, pos_z, NA())</f>
        <v>#N/A</v>
      </c>
      <c r="AF772" s="344"/>
      <c r="AG772" s="359">
        <f t="shared" ca="1" si="346"/>
        <v>3.0421639892708789</v>
      </c>
      <c r="AH772" s="357">
        <f t="shared" ca="1" si="347"/>
        <v>-6.6911073260883906</v>
      </c>
    </row>
    <row r="773" spans="1:34" x14ac:dyDescent="0.2">
      <c r="A773" s="402">
        <f t="shared" ref="A773:A836" ca="1" si="354">IF(B772+0.01&lt;=T_ini+ROUNDUP(Temps_fin_propu,0), 0.01, IF(K772&gt;0, 0.1, 0.0001))</f>
        <v>1E-4</v>
      </c>
      <c r="B773" s="357">
        <f t="shared" ref="B773:B836" ca="1" si="355">B772+pas</f>
        <v>35.305600000000375</v>
      </c>
      <c r="C773" s="342"/>
      <c r="D773" s="359">
        <f t="shared" ref="D773:D836" ca="1" si="356">IF(AND(L772&lt;L_rampe,Poussee&lt;Poids*SIN(M772)),0,(-W772+Poussee)/m*COS(M772)-U772/m*SIN(M772))</f>
        <v>-0.83522955523753817</v>
      </c>
      <c r="E773" s="360">
        <f t="shared" ref="E773:E836" ca="1" si="357">IF(AND(L772&lt;L_rampe,Poussee&lt;Poids*SIN(M772)),0,(-W772+Poussee)/m*SIN(M772)+U772/m*COS(M772)-Poids/m)</f>
        <v>-3.1711868092754756</v>
      </c>
      <c r="F773" s="357">
        <f t="shared" ref="F773:F836" ca="1" si="358">SQRT(acc_x^2+acc_z^2)</f>
        <v>3.2793344125393902</v>
      </c>
      <c r="G773" s="359">
        <f t="shared" ref="G773:G836" ca="1" si="359">G772+acc_x*pas</f>
        <v>16.380767463564087</v>
      </c>
      <c r="H773" s="360">
        <f t="shared" ref="H773:H836" ca="1" si="360">H772+acc_z*pas</f>
        <v>-130.20333606437788</v>
      </c>
      <c r="I773" s="357">
        <f t="shared" ref="I773:I836" ca="1" si="361">SQRT(vit_x^2+vit_z^2)</f>
        <v>131.22971563250712</v>
      </c>
      <c r="J773" s="359">
        <f t="shared" ref="J773:J836" ca="1" si="362">J772+0.5*(vit_x+G772)*pas*(K772&gt;=0)</f>
        <v>953.1802660510491</v>
      </c>
      <c r="K773" s="360">
        <f t="shared" ref="K773:K836" ca="1" si="363">K772+0.5*(vit_z+H772)*pas</f>
        <v>-8.991016864049902</v>
      </c>
      <c r="L773" s="357">
        <f t="shared" ca="1" si="348"/>
        <v>953.22266967031283</v>
      </c>
      <c r="M773" s="359">
        <f t="shared" ref="M773:M836" ca="1" si="364">IF(AND(L772&gt;L_rampe,G773&gt;0),ATAN2(G773,H773),$M$4)</f>
        <v>-1.4456447372325694</v>
      </c>
      <c r="N773" s="357">
        <f t="shared" ref="N773:N836" ca="1" si="365">DEGREES(Beta)</f>
        <v>-82.829342118725123</v>
      </c>
      <c r="O773" s="343"/>
      <c r="P773" s="363">
        <f t="shared" ref="P773:P836" ca="1" si="366">MATCH(t-pas/2-T_ini,CdP_t)</f>
        <v>23</v>
      </c>
      <c r="Q773" s="357">
        <f t="shared" ref="Q773:Q836" ca="1" si="367">(INDEX(CdP,2,i_P+1)-INDEX(CdP,2,i_P+0))/(INDEX(CdP,1,i_P+1)-INDEX(CdP,1,i_P+0))*(t-pas/2-T_ini-INDEX(CdP,1,i_P+0))+INDEX(CdP,2,i_P+0)</f>
        <v>0</v>
      </c>
      <c r="R773" s="359">
        <f t="shared" ref="R773:R836" ca="1" si="368">Poussee/(g*ISP)</f>
        <v>0</v>
      </c>
      <c r="S773" s="360">
        <f t="shared" ref="S773:S836" ca="1" si="369">S772-Débit*pas</f>
        <v>8.3819999999999997</v>
      </c>
      <c r="T773" s="357">
        <f t="shared" ca="1" si="349"/>
        <v>82.227419999999995</v>
      </c>
      <c r="U773" s="364">
        <f t="shared" ca="1" si="350"/>
        <v>0</v>
      </c>
      <c r="V773" s="359">
        <f t="shared" ca="1" si="351"/>
        <v>1.2261018949236382</v>
      </c>
      <c r="W773" s="357">
        <f t="shared" ca="1" si="352"/>
        <v>56.085527720772731</v>
      </c>
      <c r="X773" s="343"/>
      <c r="Y773" s="367" t="str">
        <f t="shared" ref="Y773:Y836" ca="1" si="370">IF(AND(pos_z&lt;=0,K772&gt;0),"Impact balistique","") &amp; IF(AND(H774&lt;0,vit_z&gt;=0),"Apogée","") &amp; IF(AND(Poussee=0,Q772&gt;0),"Fin de propulsion","") &amp; IF(AND(L774&gt;L_rampe,pos_xz&lt;=L_rampe),"Sortie de rampe","")</f>
        <v/>
      </c>
      <c r="Z773" s="368" t="str">
        <f t="shared" ref="Z773:Z836" ca="1" si="371">IF(ABS(t-T_para)&lt;pas/2,"Para","")</f>
        <v/>
      </c>
      <c r="AA773" s="369" t="str">
        <f t="shared" ref="AA773:AA836" ca="1" si="372">IF(ABS(t-T_satellite)&lt;pas/2,"Satellite","")</f>
        <v/>
      </c>
      <c r="AB773" s="344"/>
      <c r="AC773" s="363" t="e">
        <f t="shared" ref="AC773:AC836" ca="1" si="373">IF(ABS(t-ROUND(t,0))&lt;0.001,t,NA())</f>
        <v>#N/A</v>
      </c>
      <c r="AD773" s="376" t="e">
        <f t="shared" ref="AD773:AD836" ca="1" si="374">IF(ABS(t-ROUND(t,0))&lt;0.001,pos_x,NA())</f>
        <v>#N/A</v>
      </c>
      <c r="AE773" s="377" t="e">
        <f t="shared" ca="1" si="353"/>
        <v>#N/A</v>
      </c>
      <c r="AF773" s="344"/>
      <c r="AG773" s="359">
        <f t="shared" ref="AG773:AG836" ca="1" si="375">IF(AND(L772&lt;L_rampe,Poussee&lt;Poids*SIN(M772)),0,(-W772+Poussee)/m-Poids*SIN(M772)/m)</f>
        <v>3.0421253970814224</v>
      </c>
      <c r="AH773" s="357">
        <f t="shared" ref="AH773:AH836" ca="1" si="376">IF(AND(L772&lt;L_rampe,Poussee&lt;Poids*SIN(M772)), g*SIN(M772), (-W772+Poussee)/m)</f>
        <v>-6.6911470609515256</v>
      </c>
    </row>
    <row r="774" spans="1:34" x14ac:dyDescent="0.2">
      <c r="A774" s="402">
        <f t="shared" ca="1" si="354"/>
        <v>1E-4</v>
      </c>
      <c r="B774" s="357">
        <f t="shared" ca="1" si="355"/>
        <v>35.305700000000378</v>
      </c>
      <c r="C774" s="342"/>
      <c r="D774" s="359">
        <f t="shared" ca="1" si="356"/>
        <v>-0.83522832024599702</v>
      </c>
      <c r="E774" s="360">
        <f t="shared" ca="1" si="357"/>
        <v>-3.17114660602026</v>
      </c>
      <c r="F774" s="357">
        <f t="shared" ca="1" si="358"/>
        <v>3.2792952205946273</v>
      </c>
      <c r="G774" s="359">
        <f t="shared" ca="1" si="359"/>
        <v>16.380683940732062</v>
      </c>
      <c r="H774" s="360">
        <f t="shared" ca="1" si="360"/>
        <v>-130.20365317903847</v>
      </c>
      <c r="I774" s="357">
        <f t="shared" ca="1" si="361"/>
        <v>131.23001984124474</v>
      </c>
      <c r="J774" s="359">
        <f t="shared" ca="1" si="362"/>
        <v>953.1802660510491</v>
      </c>
      <c r="K774" s="360">
        <f t="shared" ca="1" si="363"/>
        <v>-9.0040372135120723</v>
      </c>
      <c r="L774" s="357">
        <f t="shared" ca="1" si="348"/>
        <v>953.22279257017931</v>
      </c>
      <c r="M774" s="359">
        <f t="shared" ca="1" si="364"/>
        <v>-1.4456456703533695</v>
      </c>
      <c r="N774" s="357">
        <f t="shared" ca="1" si="365"/>
        <v>-82.829395582608754</v>
      </c>
      <c r="O774" s="343"/>
      <c r="P774" s="363">
        <f t="shared" ca="1" si="366"/>
        <v>23</v>
      </c>
      <c r="Q774" s="357">
        <f t="shared" ca="1" si="367"/>
        <v>0</v>
      </c>
      <c r="R774" s="359">
        <f t="shared" ca="1" si="368"/>
        <v>0</v>
      </c>
      <c r="S774" s="360">
        <f t="shared" ca="1" si="369"/>
        <v>8.3819999999999997</v>
      </c>
      <c r="T774" s="357">
        <f t="shared" ca="1" si="349"/>
        <v>82.227419999999995</v>
      </c>
      <c r="U774" s="364">
        <f t="shared" ca="1" si="350"/>
        <v>0</v>
      </c>
      <c r="V774" s="359">
        <f t="shared" ca="1" si="351"/>
        <v>1.2261034913525155</v>
      </c>
      <c r="W774" s="357">
        <f t="shared" ca="1" si="352"/>
        <v>56.085860774903907</v>
      </c>
      <c r="X774" s="343"/>
      <c r="Y774" s="367" t="str">
        <f t="shared" ca="1" si="370"/>
        <v/>
      </c>
      <c r="Z774" s="368" t="str">
        <f t="shared" ca="1" si="371"/>
        <v/>
      </c>
      <c r="AA774" s="369" t="str">
        <f t="shared" ca="1" si="372"/>
        <v/>
      </c>
      <c r="AB774" s="344"/>
      <c r="AC774" s="363" t="e">
        <f t="shared" ca="1" si="373"/>
        <v>#N/A</v>
      </c>
      <c r="AD774" s="376" t="e">
        <f t="shared" ca="1" si="374"/>
        <v>#N/A</v>
      </c>
      <c r="AE774" s="377" t="e">
        <f t="shared" ca="1" si="353"/>
        <v>#N/A</v>
      </c>
      <c r="AF774" s="344"/>
      <c r="AG774" s="359">
        <f t="shared" ca="1" si="375"/>
        <v>3.0420868050806371</v>
      </c>
      <c r="AH774" s="357">
        <f t="shared" ca="1" si="376"/>
        <v>-6.6911867956063871</v>
      </c>
    </row>
    <row r="775" spans="1:34" x14ac:dyDescent="0.2">
      <c r="A775" s="402">
        <f t="shared" ca="1" si="354"/>
        <v>1E-4</v>
      </c>
      <c r="B775" s="357">
        <f t="shared" ca="1" si="355"/>
        <v>35.305800000000382</v>
      </c>
      <c r="C775" s="342"/>
      <c r="D775" s="359">
        <f t="shared" ca="1" si="356"/>
        <v>-0.83522708521446221</v>
      </c>
      <c r="E775" s="360">
        <f t="shared" ca="1" si="357"/>
        <v>-3.1711064029758154</v>
      </c>
      <c r="F775" s="357">
        <f t="shared" ca="1" si="358"/>
        <v>3.2792560288684474</v>
      </c>
      <c r="G775" s="359">
        <f t="shared" ca="1" si="359"/>
        <v>16.38060041802354</v>
      </c>
      <c r="H775" s="360">
        <f t="shared" ca="1" si="360"/>
        <v>-130.20397028967878</v>
      </c>
      <c r="I775" s="357">
        <f t="shared" ca="1" si="361"/>
        <v>131.23032404612323</v>
      </c>
      <c r="J775" s="359">
        <f t="shared" ca="1" si="362"/>
        <v>953.1802660510491</v>
      </c>
      <c r="K775" s="360">
        <f t="shared" ca="1" si="363"/>
        <v>-9.0170575946855074</v>
      </c>
      <c r="L775" s="357">
        <f t="shared" ca="1" si="348"/>
        <v>953.22291564817863</v>
      </c>
      <c r="M775" s="359">
        <f t="shared" ca="1" si="364"/>
        <v>-1.4456466034650859</v>
      </c>
      <c r="N775" s="357">
        <f t="shared" ca="1" si="365"/>
        <v>-82.829449045971913</v>
      </c>
      <c r="O775" s="343"/>
      <c r="P775" s="363">
        <f t="shared" ca="1" si="366"/>
        <v>23</v>
      </c>
      <c r="Q775" s="357">
        <f t="shared" ca="1" si="367"/>
        <v>0</v>
      </c>
      <c r="R775" s="359">
        <f t="shared" ca="1" si="368"/>
        <v>0</v>
      </c>
      <c r="S775" s="360">
        <f t="shared" ca="1" si="369"/>
        <v>8.3819999999999997</v>
      </c>
      <c r="T775" s="357">
        <f t="shared" ca="1" si="349"/>
        <v>82.227419999999995</v>
      </c>
      <c r="U775" s="364">
        <f t="shared" ca="1" si="350"/>
        <v>0</v>
      </c>
      <c r="V775" s="359">
        <f t="shared" ca="1" si="351"/>
        <v>1.2261050877873605</v>
      </c>
      <c r="W775" s="357">
        <f t="shared" ca="1" si="352"/>
        <v>56.086193827289321</v>
      </c>
      <c r="X775" s="343"/>
      <c r="Y775" s="367" t="str">
        <f t="shared" ca="1" si="370"/>
        <v/>
      </c>
      <c r="Z775" s="368" t="str">
        <f t="shared" ca="1" si="371"/>
        <v/>
      </c>
      <c r="AA775" s="369" t="str">
        <f t="shared" ca="1" si="372"/>
        <v/>
      </c>
      <c r="AB775" s="344"/>
      <c r="AC775" s="363" t="e">
        <f t="shared" ca="1" si="373"/>
        <v>#N/A</v>
      </c>
      <c r="AD775" s="376" t="e">
        <f t="shared" ca="1" si="374"/>
        <v>#N/A</v>
      </c>
      <c r="AE775" s="377" t="e">
        <f t="shared" ca="1" si="353"/>
        <v>#N/A</v>
      </c>
      <c r="AF775" s="344"/>
      <c r="AG775" s="359">
        <f t="shared" ca="1" si="375"/>
        <v>3.0420482132685418</v>
      </c>
      <c r="AH775" s="357">
        <f t="shared" ca="1" si="376"/>
        <v>-6.6912265300529601</v>
      </c>
    </row>
    <row r="776" spans="1:34" x14ac:dyDescent="0.2">
      <c r="A776" s="402">
        <f t="shared" ca="1" si="354"/>
        <v>1E-4</v>
      </c>
      <c r="B776" s="357">
        <f t="shared" ca="1" si="355"/>
        <v>35.305900000000385</v>
      </c>
      <c r="C776" s="342"/>
      <c r="D776" s="359">
        <f t="shared" ca="1" si="356"/>
        <v>-0.83522585014293549</v>
      </c>
      <c r="E776" s="360">
        <f t="shared" ca="1" si="357"/>
        <v>-3.1710662001421275</v>
      </c>
      <c r="F776" s="357">
        <f t="shared" ca="1" si="358"/>
        <v>3.2792168373608384</v>
      </c>
      <c r="G776" s="359">
        <f t="shared" ca="1" si="359"/>
        <v>16.380516895438525</v>
      </c>
      <c r="H776" s="360">
        <f t="shared" ca="1" si="360"/>
        <v>-130.20428739629878</v>
      </c>
      <c r="I776" s="357">
        <f t="shared" ca="1" si="361"/>
        <v>131.2306282471425</v>
      </c>
      <c r="J776" s="359">
        <f t="shared" ca="1" si="362"/>
        <v>953.1802660510491</v>
      </c>
      <c r="K776" s="360">
        <f t="shared" ca="1" si="363"/>
        <v>-9.0300780075698057</v>
      </c>
      <c r="L776" s="357">
        <f t="shared" ca="1" si="348"/>
        <v>953.22303890431203</v>
      </c>
      <c r="M776" s="359">
        <f t="shared" ca="1" si="364"/>
        <v>-1.4456475365677184</v>
      </c>
      <c r="N776" s="357">
        <f t="shared" ca="1" si="365"/>
        <v>-82.829502508814613</v>
      </c>
      <c r="O776" s="343"/>
      <c r="P776" s="363">
        <f t="shared" ca="1" si="366"/>
        <v>23</v>
      </c>
      <c r="Q776" s="357">
        <f t="shared" ca="1" si="367"/>
        <v>0</v>
      </c>
      <c r="R776" s="359">
        <f t="shared" ca="1" si="368"/>
        <v>0</v>
      </c>
      <c r="S776" s="360">
        <f t="shared" ca="1" si="369"/>
        <v>8.3819999999999997</v>
      </c>
      <c r="T776" s="357">
        <f t="shared" ca="1" si="349"/>
        <v>82.227419999999995</v>
      </c>
      <c r="U776" s="364">
        <f t="shared" ca="1" si="350"/>
        <v>0</v>
      </c>
      <c r="V776" s="359">
        <f t="shared" ca="1" si="351"/>
        <v>1.2261066842281729</v>
      </c>
      <c r="W776" s="357">
        <f t="shared" ca="1" si="352"/>
        <v>56.086526877928819</v>
      </c>
      <c r="X776" s="343"/>
      <c r="Y776" s="367" t="str">
        <f t="shared" ca="1" si="370"/>
        <v/>
      </c>
      <c r="Z776" s="368" t="str">
        <f t="shared" ca="1" si="371"/>
        <v/>
      </c>
      <c r="AA776" s="369" t="str">
        <f t="shared" ca="1" si="372"/>
        <v/>
      </c>
      <c r="AB776" s="344"/>
      <c r="AC776" s="363" t="e">
        <f t="shared" ca="1" si="373"/>
        <v>#N/A</v>
      </c>
      <c r="AD776" s="376" t="e">
        <f t="shared" ca="1" si="374"/>
        <v>#N/A</v>
      </c>
      <c r="AE776" s="377" t="e">
        <f t="shared" ca="1" si="353"/>
        <v>#N/A</v>
      </c>
      <c r="AF776" s="344"/>
      <c r="AG776" s="359">
        <f t="shared" ca="1" si="375"/>
        <v>3.0420096216451267</v>
      </c>
      <c r="AH776" s="357">
        <f t="shared" ca="1" si="376"/>
        <v>-6.6912662642912579</v>
      </c>
    </row>
    <row r="777" spans="1:34" x14ac:dyDescent="0.2">
      <c r="A777" s="402">
        <f t="shared" ca="1" si="354"/>
        <v>1E-4</v>
      </c>
      <c r="B777" s="357">
        <f t="shared" ca="1" si="355"/>
        <v>35.306000000000388</v>
      </c>
      <c r="C777" s="342"/>
      <c r="D777" s="359">
        <f t="shared" ca="1" si="356"/>
        <v>-0.83522461503141621</v>
      </c>
      <c r="E777" s="360">
        <f t="shared" ca="1" si="357"/>
        <v>-3.1710259975192159</v>
      </c>
      <c r="F777" s="357">
        <f t="shared" ca="1" si="358"/>
        <v>3.2791776460718189</v>
      </c>
      <c r="G777" s="359">
        <f t="shared" ca="1" si="359"/>
        <v>16.380433372977024</v>
      </c>
      <c r="H777" s="360">
        <f t="shared" ca="1" si="360"/>
        <v>-130.20460449889853</v>
      </c>
      <c r="I777" s="357">
        <f t="shared" ca="1" si="361"/>
        <v>131.23093244430265</v>
      </c>
      <c r="J777" s="359">
        <f t="shared" ca="1" si="362"/>
        <v>953.1802660510491</v>
      </c>
      <c r="K777" s="360">
        <f t="shared" ca="1" si="363"/>
        <v>-9.0430984521645659</v>
      </c>
      <c r="L777" s="357">
        <f t="shared" ca="1" si="348"/>
        <v>953.22316233858078</v>
      </c>
      <c r="M777" s="359">
        <f t="shared" ca="1" si="364"/>
        <v>-1.445648469661267</v>
      </c>
      <c r="N777" s="357">
        <f t="shared" ca="1" si="365"/>
        <v>-82.829555971136841</v>
      </c>
      <c r="O777" s="343"/>
      <c r="P777" s="363">
        <f t="shared" ca="1" si="366"/>
        <v>23</v>
      </c>
      <c r="Q777" s="357">
        <f t="shared" ca="1" si="367"/>
        <v>0</v>
      </c>
      <c r="R777" s="359">
        <f t="shared" ca="1" si="368"/>
        <v>0</v>
      </c>
      <c r="S777" s="360">
        <f t="shared" ca="1" si="369"/>
        <v>8.3819999999999997</v>
      </c>
      <c r="T777" s="357">
        <f t="shared" ca="1" si="349"/>
        <v>82.227419999999995</v>
      </c>
      <c r="U777" s="364">
        <f t="shared" ca="1" si="350"/>
        <v>0</v>
      </c>
      <c r="V777" s="359">
        <f t="shared" ca="1" si="351"/>
        <v>1.2261082806749533</v>
      </c>
      <c r="W777" s="357">
        <f t="shared" ca="1" si="352"/>
        <v>56.08685992682247</v>
      </c>
      <c r="X777" s="343"/>
      <c r="Y777" s="367" t="str">
        <f t="shared" ca="1" si="370"/>
        <v/>
      </c>
      <c r="Z777" s="368" t="str">
        <f t="shared" ca="1" si="371"/>
        <v/>
      </c>
      <c r="AA777" s="369" t="str">
        <f t="shared" ca="1" si="372"/>
        <v/>
      </c>
      <c r="AB777" s="344"/>
      <c r="AC777" s="363" t="e">
        <f t="shared" ca="1" si="373"/>
        <v>#N/A</v>
      </c>
      <c r="AD777" s="376" t="e">
        <f t="shared" ca="1" si="374"/>
        <v>#N/A</v>
      </c>
      <c r="AE777" s="377" t="e">
        <f t="shared" ca="1" si="353"/>
        <v>#N/A</v>
      </c>
      <c r="AF777" s="344"/>
      <c r="AG777" s="359">
        <f t="shared" ca="1" si="375"/>
        <v>3.041971030210405</v>
      </c>
      <c r="AH777" s="357">
        <f t="shared" ca="1" si="376"/>
        <v>-6.6913059983212619</v>
      </c>
    </row>
    <row r="778" spans="1:34" x14ac:dyDescent="0.2">
      <c r="A778" s="402">
        <f t="shared" ca="1" si="354"/>
        <v>1E-4</v>
      </c>
      <c r="B778" s="357">
        <f t="shared" ca="1" si="355"/>
        <v>35.306100000000392</v>
      </c>
      <c r="C778" s="342"/>
      <c r="D778" s="359">
        <f t="shared" ca="1" si="356"/>
        <v>-0.83522337987990714</v>
      </c>
      <c r="E778" s="360">
        <f t="shared" ca="1" si="357"/>
        <v>-3.1709857951070717</v>
      </c>
      <c r="F778" s="357">
        <f t="shared" ca="1" si="358"/>
        <v>3.2791384550013807</v>
      </c>
      <c r="G778" s="359">
        <f t="shared" ca="1" si="359"/>
        <v>16.380349850639035</v>
      </c>
      <c r="H778" s="360">
        <f t="shared" ca="1" si="360"/>
        <v>-130.20492159747803</v>
      </c>
      <c r="I778" s="357">
        <f t="shared" ca="1" si="361"/>
        <v>131.23123663760367</v>
      </c>
      <c r="J778" s="359">
        <f t="shared" ca="1" si="362"/>
        <v>953.1802660510491</v>
      </c>
      <c r="K778" s="360">
        <f t="shared" ca="1" si="363"/>
        <v>-9.0561189284693846</v>
      </c>
      <c r="L778" s="357">
        <f t="shared" ca="1" si="348"/>
        <v>953.22328595098611</v>
      </c>
      <c r="M778" s="359">
        <f t="shared" ca="1" si="364"/>
        <v>-1.4456494027457321</v>
      </c>
      <c r="N778" s="357">
        <f t="shared" ca="1" si="365"/>
        <v>-82.829609432938611</v>
      </c>
      <c r="O778" s="343"/>
      <c r="P778" s="363">
        <f t="shared" ca="1" si="366"/>
        <v>23</v>
      </c>
      <c r="Q778" s="357">
        <f t="shared" ca="1" si="367"/>
        <v>0</v>
      </c>
      <c r="R778" s="359">
        <f t="shared" ca="1" si="368"/>
        <v>0</v>
      </c>
      <c r="S778" s="360">
        <f t="shared" ca="1" si="369"/>
        <v>8.3819999999999997</v>
      </c>
      <c r="T778" s="357">
        <f t="shared" ca="1" si="349"/>
        <v>82.227419999999995</v>
      </c>
      <c r="U778" s="364">
        <f t="shared" ca="1" si="350"/>
        <v>0</v>
      </c>
      <c r="V778" s="359">
        <f t="shared" ca="1" si="351"/>
        <v>1.226109877127701</v>
      </c>
      <c r="W778" s="357">
        <f t="shared" ca="1" si="352"/>
        <v>56.087192973970254</v>
      </c>
      <c r="X778" s="343"/>
      <c r="Y778" s="367" t="str">
        <f t="shared" ca="1" si="370"/>
        <v/>
      </c>
      <c r="Z778" s="368" t="str">
        <f t="shared" ca="1" si="371"/>
        <v/>
      </c>
      <c r="AA778" s="369" t="str">
        <f t="shared" ca="1" si="372"/>
        <v/>
      </c>
      <c r="AB778" s="344"/>
      <c r="AC778" s="363" t="e">
        <f t="shared" ca="1" si="373"/>
        <v>#N/A</v>
      </c>
      <c r="AD778" s="376" t="e">
        <f t="shared" ca="1" si="374"/>
        <v>#N/A</v>
      </c>
      <c r="AE778" s="377" t="e">
        <f t="shared" ca="1" si="353"/>
        <v>#N/A</v>
      </c>
      <c r="AF778" s="344"/>
      <c r="AG778" s="359">
        <f t="shared" ca="1" si="375"/>
        <v>3.0419324389643707</v>
      </c>
      <c r="AH778" s="357">
        <f t="shared" ca="1" si="376"/>
        <v>-6.6913457321429819</v>
      </c>
    </row>
    <row r="779" spans="1:34" x14ac:dyDescent="0.2">
      <c r="A779" s="402">
        <f t="shared" ca="1" si="354"/>
        <v>1E-4</v>
      </c>
      <c r="B779" s="357">
        <f t="shared" ca="1" si="355"/>
        <v>35.306200000000395</v>
      </c>
      <c r="C779" s="342"/>
      <c r="D779" s="359">
        <f t="shared" ca="1" si="356"/>
        <v>-0.83522214468840805</v>
      </c>
      <c r="E779" s="360">
        <f t="shared" ca="1" si="357"/>
        <v>-3.1709455929056984</v>
      </c>
      <c r="F779" s="357">
        <f t="shared" ca="1" si="358"/>
        <v>3.2790992641495276</v>
      </c>
      <c r="G779" s="359">
        <f t="shared" ca="1" si="359"/>
        <v>16.380266328424568</v>
      </c>
      <c r="H779" s="360">
        <f t="shared" ca="1" si="360"/>
        <v>-130.20523869203731</v>
      </c>
      <c r="I779" s="357">
        <f t="shared" ca="1" si="361"/>
        <v>131.23154082704556</v>
      </c>
      <c r="J779" s="359">
        <f t="shared" ca="1" si="362"/>
        <v>953.1802660510491</v>
      </c>
      <c r="K779" s="360">
        <f t="shared" ca="1" si="363"/>
        <v>-9.0691394364838605</v>
      </c>
      <c r="L779" s="357">
        <f t="shared" ca="1" si="348"/>
        <v>953.22340974152917</v>
      </c>
      <c r="M779" s="359">
        <f t="shared" ca="1" si="364"/>
        <v>-1.4456503358211139</v>
      </c>
      <c r="N779" s="357">
        <f t="shared" ca="1" si="365"/>
        <v>-82.829662894219965</v>
      </c>
      <c r="O779" s="343"/>
      <c r="P779" s="363">
        <f t="shared" ca="1" si="366"/>
        <v>23</v>
      </c>
      <c r="Q779" s="357">
        <f t="shared" ca="1" si="367"/>
        <v>0</v>
      </c>
      <c r="R779" s="359">
        <f t="shared" ca="1" si="368"/>
        <v>0</v>
      </c>
      <c r="S779" s="360">
        <f t="shared" ca="1" si="369"/>
        <v>8.3819999999999997</v>
      </c>
      <c r="T779" s="357">
        <f t="shared" ca="1" si="349"/>
        <v>82.227419999999995</v>
      </c>
      <c r="U779" s="364">
        <f t="shared" ca="1" si="350"/>
        <v>0</v>
      </c>
      <c r="V779" s="359">
        <f t="shared" ca="1" si="351"/>
        <v>1.226111473586416</v>
      </c>
      <c r="W779" s="357">
        <f t="shared" ca="1" si="352"/>
        <v>56.087526019372092</v>
      </c>
      <c r="X779" s="343"/>
      <c r="Y779" s="367" t="str">
        <f t="shared" ca="1" si="370"/>
        <v/>
      </c>
      <c r="Z779" s="368" t="str">
        <f t="shared" ca="1" si="371"/>
        <v/>
      </c>
      <c r="AA779" s="369" t="str">
        <f t="shared" ca="1" si="372"/>
        <v/>
      </c>
      <c r="AB779" s="344"/>
      <c r="AC779" s="363" t="e">
        <f t="shared" ca="1" si="373"/>
        <v>#N/A</v>
      </c>
      <c r="AD779" s="376" t="e">
        <f t="shared" ca="1" si="374"/>
        <v>#N/A</v>
      </c>
      <c r="AE779" s="377" t="e">
        <f t="shared" ca="1" si="353"/>
        <v>#N/A</v>
      </c>
      <c r="AF779" s="344"/>
      <c r="AG779" s="359">
        <f t="shared" ca="1" si="375"/>
        <v>3.0418938479070263</v>
      </c>
      <c r="AH779" s="357">
        <f t="shared" ca="1" si="376"/>
        <v>-6.6913854657564134</v>
      </c>
    </row>
    <row r="780" spans="1:34" x14ac:dyDescent="0.2">
      <c r="A780" s="402">
        <f t="shared" ca="1" si="354"/>
        <v>1E-4</v>
      </c>
      <c r="B780" s="357">
        <f t="shared" ca="1" si="355"/>
        <v>35.306300000000398</v>
      </c>
      <c r="C780" s="342"/>
      <c r="D780" s="359">
        <f t="shared" ca="1" si="356"/>
        <v>-0.83522090945691663</v>
      </c>
      <c r="E780" s="360">
        <f t="shared" ca="1" si="357"/>
        <v>-3.170905390915105</v>
      </c>
      <c r="F780" s="357">
        <f t="shared" ca="1" si="358"/>
        <v>3.279060073516268</v>
      </c>
      <c r="G780" s="359">
        <f t="shared" ca="1" si="359"/>
        <v>16.380182806333622</v>
      </c>
      <c r="H780" s="360">
        <f t="shared" ca="1" si="360"/>
        <v>-130.2055557825764</v>
      </c>
      <c r="I780" s="357">
        <f t="shared" ca="1" si="361"/>
        <v>131.23184501262838</v>
      </c>
      <c r="J780" s="359">
        <f t="shared" ca="1" si="362"/>
        <v>953.1802660510491</v>
      </c>
      <c r="K780" s="360">
        <f t="shared" ca="1" si="363"/>
        <v>-9.082159976207592</v>
      </c>
      <c r="L780" s="357">
        <f t="shared" ca="1" si="348"/>
        <v>953.2235337102112</v>
      </c>
      <c r="M780" s="359">
        <f t="shared" ca="1" si="364"/>
        <v>-1.4456512688874124</v>
      </c>
      <c r="N780" s="357">
        <f t="shared" ca="1" si="365"/>
        <v>-82.82971635498086</v>
      </c>
      <c r="O780" s="343"/>
      <c r="P780" s="363">
        <f t="shared" ca="1" si="366"/>
        <v>23</v>
      </c>
      <c r="Q780" s="357">
        <f t="shared" ca="1" si="367"/>
        <v>0</v>
      </c>
      <c r="R780" s="359">
        <f t="shared" ca="1" si="368"/>
        <v>0</v>
      </c>
      <c r="S780" s="360">
        <f t="shared" ca="1" si="369"/>
        <v>8.3819999999999997</v>
      </c>
      <c r="T780" s="357">
        <f t="shared" ca="1" si="349"/>
        <v>82.227419999999995</v>
      </c>
      <c r="U780" s="364">
        <f t="shared" ca="1" si="350"/>
        <v>0</v>
      </c>
      <c r="V780" s="359">
        <f t="shared" ca="1" si="351"/>
        <v>1.2261130700510992</v>
      </c>
      <c r="W780" s="357">
        <f t="shared" ca="1" si="352"/>
        <v>56.087859063028077</v>
      </c>
      <c r="X780" s="343"/>
      <c r="Y780" s="367" t="str">
        <f t="shared" ca="1" si="370"/>
        <v/>
      </c>
      <c r="Z780" s="368" t="str">
        <f t="shared" ca="1" si="371"/>
        <v/>
      </c>
      <c r="AA780" s="369" t="str">
        <f t="shared" ca="1" si="372"/>
        <v/>
      </c>
      <c r="AB780" s="344"/>
      <c r="AC780" s="363" t="e">
        <f t="shared" ca="1" si="373"/>
        <v>#N/A</v>
      </c>
      <c r="AD780" s="376" t="e">
        <f t="shared" ca="1" si="374"/>
        <v>#N/A</v>
      </c>
      <c r="AE780" s="377" t="e">
        <f t="shared" ca="1" si="353"/>
        <v>#N/A</v>
      </c>
      <c r="AF780" s="344"/>
      <c r="AG780" s="359">
        <f t="shared" ca="1" si="375"/>
        <v>3.0418552570383843</v>
      </c>
      <c r="AH780" s="357">
        <f t="shared" ca="1" si="376"/>
        <v>-6.6914251991615474</v>
      </c>
    </row>
    <row r="781" spans="1:34" x14ac:dyDescent="0.2">
      <c r="A781" s="402">
        <f t="shared" ca="1" si="354"/>
        <v>1E-4</v>
      </c>
      <c r="B781" s="357">
        <f t="shared" ca="1" si="355"/>
        <v>35.306400000000401</v>
      </c>
      <c r="C781" s="342"/>
      <c r="D781" s="359">
        <f t="shared" ca="1" si="356"/>
        <v>-0.83521967418543752</v>
      </c>
      <c r="E781" s="360">
        <f t="shared" ca="1" si="357"/>
        <v>-3.1708651891352799</v>
      </c>
      <c r="F781" s="357">
        <f t="shared" ca="1" si="358"/>
        <v>3.2790208831015919</v>
      </c>
      <c r="G781" s="359">
        <f t="shared" ca="1" si="359"/>
        <v>16.380099284366203</v>
      </c>
      <c r="H781" s="360">
        <f t="shared" ca="1" si="360"/>
        <v>-130.20587286909532</v>
      </c>
      <c r="I781" s="357">
        <f t="shared" ca="1" si="361"/>
        <v>131.23214919435216</v>
      </c>
      <c r="J781" s="359">
        <f t="shared" ca="1" si="362"/>
        <v>953.1802660510491</v>
      </c>
      <c r="K781" s="360">
        <f t="shared" ca="1" si="363"/>
        <v>-9.0951805476401759</v>
      </c>
      <c r="L781" s="357">
        <f t="shared" ca="1" si="348"/>
        <v>953.22365785703357</v>
      </c>
      <c r="M781" s="359">
        <f t="shared" ca="1" si="364"/>
        <v>-1.4456522019446276</v>
      </c>
      <c r="N781" s="357">
        <f t="shared" ca="1" si="365"/>
        <v>-82.82976981522134</v>
      </c>
      <c r="O781" s="343"/>
      <c r="P781" s="363">
        <f t="shared" ca="1" si="366"/>
        <v>23</v>
      </c>
      <c r="Q781" s="357">
        <f t="shared" ca="1" si="367"/>
        <v>0</v>
      </c>
      <c r="R781" s="359">
        <f t="shared" ca="1" si="368"/>
        <v>0</v>
      </c>
      <c r="S781" s="360">
        <f t="shared" ca="1" si="369"/>
        <v>8.3819999999999997</v>
      </c>
      <c r="T781" s="357">
        <f t="shared" ca="1" si="349"/>
        <v>82.227419999999995</v>
      </c>
      <c r="U781" s="364">
        <f t="shared" ca="1" si="350"/>
        <v>0</v>
      </c>
      <c r="V781" s="359">
        <f t="shared" ca="1" si="351"/>
        <v>1.2261146665217493</v>
      </c>
      <c r="W781" s="357">
        <f t="shared" ca="1" si="352"/>
        <v>56.08819210493813</v>
      </c>
      <c r="X781" s="343"/>
      <c r="Y781" s="367" t="str">
        <f t="shared" ca="1" si="370"/>
        <v/>
      </c>
      <c r="Z781" s="368" t="str">
        <f t="shared" ca="1" si="371"/>
        <v/>
      </c>
      <c r="AA781" s="369" t="str">
        <f t="shared" ca="1" si="372"/>
        <v/>
      </c>
      <c r="AB781" s="344"/>
      <c r="AC781" s="363" t="e">
        <f t="shared" ca="1" si="373"/>
        <v>#N/A</v>
      </c>
      <c r="AD781" s="376" t="e">
        <f t="shared" ca="1" si="374"/>
        <v>#N/A</v>
      </c>
      <c r="AE781" s="377" t="e">
        <f t="shared" ca="1" si="353"/>
        <v>#N/A</v>
      </c>
      <c r="AF781" s="344"/>
      <c r="AG781" s="359">
        <f t="shared" ca="1" si="375"/>
        <v>3.0418166663584305</v>
      </c>
      <c r="AH781" s="357">
        <f t="shared" ca="1" si="376"/>
        <v>-6.6914649323583966</v>
      </c>
    </row>
    <row r="782" spans="1:34" x14ac:dyDescent="0.2">
      <c r="A782" s="402">
        <f t="shared" ca="1" si="354"/>
        <v>1E-4</v>
      </c>
      <c r="B782" s="357">
        <f t="shared" ca="1" si="355"/>
        <v>35.306500000000405</v>
      </c>
      <c r="C782" s="342"/>
      <c r="D782" s="359">
        <f t="shared" ca="1" si="356"/>
        <v>-0.8352184388739694</v>
      </c>
      <c r="E782" s="360">
        <f t="shared" ca="1" si="357"/>
        <v>-3.170824987566232</v>
      </c>
      <c r="F782" s="357">
        <f t="shared" ca="1" si="358"/>
        <v>3.2789816929055071</v>
      </c>
      <c r="G782" s="359">
        <f t="shared" ca="1" si="359"/>
        <v>16.380015762522316</v>
      </c>
      <c r="H782" s="360">
        <f t="shared" ca="1" si="360"/>
        <v>-130.20618995159407</v>
      </c>
      <c r="I782" s="357">
        <f t="shared" ca="1" si="361"/>
        <v>131.23245337221687</v>
      </c>
      <c r="J782" s="359">
        <f t="shared" ca="1" si="362"/>
        <v>953.1802660510491</v>
      </c>
      <c r="K782" s="360">
        <f t="shared" ca="1" si="363"/>
        <v>-9.1082011507812108</v>
      </c>
      <c r="L782" s="357">
        <f t="shared" ca="1" si="348"/>
        <v>953.22378218199731</v>
      </c>
      <c r="M782" s="359">
        <f t="shared" ca="1" si="364"/>
        <v>-1.4456531349927599</v>
      </c>
      <c r="N782" s="357">
        <f t="shared" ca="1" si="365"/>
        <v>-82.829823274941404</v>
      </c>
      <c r="O782" s="343"/>
      <c r="P782" s="363">
        <f t="shared" ca="1" si="366"/>
        <v>23</v>
      </c>
      <c r="Q782" s="357">
        <f t="shared" ca="1" si="367"/>
        <v>0</v>
      </c>
      <c r="R782" s="359">
        <f t="shared" ca="1" si="368"/>
        <v>0</v>
      </c>
      <c r="S782" s="360">
        <f t="shared" ca="1" si="369"/>
        <v>8.3819999999999997</v>
      </c>
      <c r="T782" s="357">
        <f t="shared" ca="1" si="349"/>
        <v>82.227419999999995</v>
      </c>
      <c r="U782" s="364">
        <f t="shared" ca="1" si="350"/>
        <v>0</v>
      </c>
      <c r="V782" s="359">
        <f t="shared" ca="1" si="351"/>
        <v>1.2261162629983673</v>
      </c>
      <c r="W782" s="357">
        <f t="shared" ca="1" si="352"/>
        <v>56.088525145102246</v>
      </c>
      <c r="X782" s="343"/>
      <c r="Y782" s="367" t="str">
        <f t="shared" ca="1" si="370"/>
        <v/>
      </c>
      <c r="Z782" s="368" t="str">
        <f t="shared" ca="1" si="371"/>
        <v/>
      </c>
      <c r="AA782" s="369" t="str">
        <f t="shared" ca="1" si="372"/>
        <v/>
      </c>
      <c r="AB782" s="344"/>
      <c r="AC782" s="363" t="e">
        <f t="shared" ca="1" si="373"/>
        <v>#N/A</v>
      </c>
      <c r="AD782" s="376" t="e">
        <f t="shared" ca="1" si="374"/>
        <v>#N/A</v>
      </c>
      <c r="AE782" s="377" t="e">
        <f t="shared" ca="1" si="353"/>
        <v>#N/A</v>
      </c>
      <c r="AF782" s="344"/>
      <c r="AG782" s="359">
        <f t="shared" ca="1" si="375"/>
        <v>3.0417780758671737</v>
      </c>
      <c r="AH782" s="357">
        <f t="shared" ca="1" si="376"/>
        <v>-6.6915046653469501</v>
      </c>
    </row>
    <row r="783" spans="1:34" x14ac:dyDescent="0.2">
      <c r="A783" s="402">
        <f t="shared" ca="1" si="354"/>
        <v>1E-4</v>
      </c>
      <c r="B783" s="357">
        <f t="shared" ca="1" si="355"/>
        <v>35.306600000000408</v>
      </c>
      <c r="C783" s="342"/>
      <c r="D783" s="359">
        <f t="shared" ca="1" si="356"/>
        <v>-0.83521720352251261</v>
      </c>
      <c r="E783" s="360">
        <f t="shared" ca="1" si="357"/>
        <v>-3.1707847862079639</v>
      </c>
      <c r="F783" s="357">
        <f t="shared" ca="1" si="358"/>
        <v>3.2789425029280173</v>
      </c>
      <c r="G783" s="359">
        <f t="shared" ca="1" si="359"/>
        <v>16.379932240801963</v>
      </c>
      <c r="H783" s="360">
        <f t="shared" ca="1" si="360"/>
        <v>-130.20650703007269</v>
      </c>
      <c r="I783" s="357">
        <f t="shared" ca="1" si="361"/>
        <v>131.23275754622256</v>
      </c>
      <c r="J783" s="359">
        <f t="shared" ca="1" si="362"/>
        <v>953.1802660510491</v>
      </c>
      <c r="K783" s="360">
        <f t="shared" ca="1" si="363"/>
        <v>-9.1212217856302935</v>
      </c>
      <c r="L783" s="357">
        <f t="shared" ca="1" si="348"/>
        <v>953.22390668510377</v>
      </c>
      <c r="M783" s="359">
        <f t="shared" ca="1" si="364"/>
        <v>-1.4456540680318093</v>
      </c>
      <c r="N783" s="357">
        <f t="shared" ca="1" si="365"/>
        <v>-82.829876734141052</v>
      </c>
      <c r="O783" s="343"/>
      <c r="P783" s="363">
        <f t="shared" ca="1" si="366"/>
        <v>23</v>
      </c>
      <c r="Q783" s="357">
        <f t="shared" ca="1" si="367"/>
        <v>0</v>
      </c>
      <c r="R783" s="359">
        <f t="shared" ca="1" si="368"/>
        <v>0</v>
      </c>
      <c r="S783" s="360">
        <f t="shared" ca="1" si="369"/>
        <v>8.3819999999999997</v>
      </c>
      <c r="T783" s="357">
        <f t="shared" ca="1" si="349"/>
        <v>82.227419999999995</v>
      </c>
      <c r="U783" s="364">
        <f t="shared" ca="1" si="350"/>
        <v>0</v>
      </c>
      <c r="V783" s="359">
        <f t="shared" ca="1" si="351"/>
        <v>1.2261178594809523</v>
      </c>
      <c r="W783" s="357">
        <f t="shared" ca="1" si="352"/>
        <v>56.088858183520408</v>
      </c>
      <c r="X783" s="343"/>
      <c r="Y783" s="367" t="str">
        <f t="shared" ca="1" si="370"/>
        <v/>
      </c>
      <c r="Z783" s="368" t="str">
        <f t="shared" ca="1" si="371"/>
        <v/>
      </c>
      <c r="AA783" s="369" t="str">
        <f t="shared" ca="1" si="372"/>
        <v/>
      </c>
      <c r="AB783" s="344"/>
      <c r="AC783" s="363" t="e">
        <f t="shared" ca="1" si="373"/>
        <v>#N/A</v>
      </c>
      <c r="AD783" s="376" t="e">
        <f t="shared" ca="1" si="374"/>
        <v>#N/A</v>
      </c>
      <c r="AE783" s="377" t="e">
        <f t="shared" ca="1" si="353"/>
        <v>#N/A</v>
      </c>
      <c r="AF783" s="344"/>
      <c r="AG783" s="359">
        <f t="shared" ca="1" si="375"/>
        <v>3.041739485564622</v>
      </c>
      <c r="AH783" s="357">
        <f t="shared" ca="1" si="376"/>
        <v>-6.6915443981272071</v>
      </c>
    </row>
    <row r="784" spans="1:34" x14ac:dyDescent="0.2">
      <c r="A784" s="402">
        <f t="shared" ca="1" si="354"/>
        <v>1E-4</v>
      </c>
      <c r="B784" s="357">
        <f t="shared" ca="1" si="355"/>
        <v>35.306700000000411</v>
      </c>
      <c r="C784" s="342"/>
      <c r="D784" s="359">
        <f t="shared" ca="1" si="356"/>
        <v>-0.83521596813106835</v>
      </c>
      <c r="E784" s="360">
        <f t="shared" ca="1" si="357"/>
        <v>-3.1707445850604765</v>
      </c>
      <c r="F784" s="357">
        <f t="shared" ca="1" si="358"/>
        <v>3.2789033131691228</v>
      </c>
      <c r="G784" s="359">
        <f t="shared" ca="1" si="359"/>
        <v>16.37984871920515</v>
      </c>
      <c r="H784" s="360">
        <f t="shared" ca="1" si="360"/>
        <v>-130.20682410453119</v>
      </c>
      <c r="I784" s="357">
        <f t="shared" ca="1" si="361"/>
        <v>131.23306171636921</v>
      </c>
      <c r="J784" s="359">
        <f t="shared" ca="1" si="362"/>
        <v>953.1802660510491</v>
      </c>
      <c r="K784" s="360">
        <f t="shared" ca="1" si="363"/>
        <v>-9.1342424521870242</v>
      </c>
      <c r="L784" s="357">
        <f t="shared" ca="1" si="348"/>
        <v>953.22403136635421</v>
      </c>
      <c r="M784" s="359">
        <f t="shared" ca="1" si="364"/>
        <v>-1.4456550010617759</v>
      </c>
      <c r="N784" s="357">
        <f t="shared" ca="1" si="365"/>
        <v>-82.829930192820299</v>
      </c>
      <c r="O784" s="343"/>
      <c r="P784" s="363">
        <f t="shared" ca="1" si="366"/>
        <v>23</v>
      </c>
      <c r="Q784" s="357">
        <f t="shared" ca="1" si="367"/>
        <v>0</v>
      </c>
      <c r="R784" s="359">
        <f t="shared" ca="1" si="368"/>
        <v>0</v>
      </c>
      <c r="S784" s="360">
        <f t="shared" ca="1" si="369"/>
        <v>8.3819999999999997</v>
      </c>
      <c r="T784" s="357">
        <f t="shared" ca="1" si="349"/>
        <v>82.227419999999995</v>
      </c>
      <c r="U784" s="364">
        <f t="shared" ca="1" si="350"/>
        <v>0</v>
      </c>
      <c r="V784" s="359">
        <f t="shared" ca="1" si="351"/>
        <v>1.226119455969505</v>
      </c>
      <c r="W784" s="357">
        <f t="shared" ca="1" si="352"/>
        <v>56.089191220192575</v>
      </c>
      <c r="X784" s="343"/>
      <c r="Y784" s="367" t="str">
        <f t="shared" ca="1" si="370"/>
        <v/>
      </c>
      <c r="Z784" s="368" t="str">
        <f t="shared" ca="1" si="371"/>
        <v/>
      </c>
      <c r="AA784" s="369" t="str">
        <f t="shared" ca="1" si="372"/>
        <v/>
      </c>
      <c r="AB784" s="344"/>
      <c r="AC784" s="363" t="e">
        <f t="shared" ca="1" si="373"/>
        <v>#N/A</v>
      </c>
      <c r="AD784" s="376" t="e">
        <f t="shared" ca="1" si="374"/>
        <v>#N/A</v>
      </c>
      <c r="AE784" s="377" t="e">
        <f t="shared" ca="1" si="353"/>
        <v>#N/A</v>
      </c>
      <c r="AF784" s="344"/>
      <c r="AG784" s="359">
        <f t="shared" ca="1" si="375"/>
        <v>3.04170089545077</v>
      </c>
      <c r="AH784" s="357">
        <f t="shared" ca="1" si="376"/>
        <v>-6.6915841306991659</v>
      </c>
    </row>
    <row r="785" spans="1:34" x14ac:dyDescent="0.2">
      <c r="A785" s="402">
        <f t="shared" ca="1" si="354"/>
        <v>1E-4</v>
      </c>
      <c r="B785" s="357">
        <f t="shared" ca="1" si="355"/>
        <v>35.306800000000415</v>
      </c>
      <c r="C785" s="342"/>
      <c r="D785" s="359">
        <f t="shared" ca="1" si="356"/>
        <v>-0.83521473269963642</v>
      </c>
      <c r="E785" s="360">
        <f t="shared" ca="1" si="357"/>
        <v>-3.1707043841237743</v>
      </c>
      <c r="F785" s="357">
        <f t="shared" ca="1" si="358"/>
        <v>3.278864123628829</v>
      </c>
      <c r="G785" s="359">
        <f t="shared" ca="1" si="359"/>
        <v>16.379765197731878</v>
      </c>
      <c r="H785" s="360">
        <f t="shared" ca="1" si="360"/>
        <v>-130.20714117496959</v>
      </c>
      <c r="I785" s="357">
        <f t="shared" ca="1" si="361"/>
        <v>131.2333658826569</v>
      </c>
      <c r="J785" s="359">
        <f t="shared" ca="1" si="362"/>
        <v>953.1802660510491</v>
      </c>
      <c r="K785" s="360">
        <f t="shared" ca="1" si="363"/>
        <v>-9.1472631504509998</v>
      </c>
      <c r="L785" s="357">
        <f t="shared" ca="1" si="348"/>
        <v>953.22415622574965</v>
      </c>
      <c r="M785" s="359">
        <f t="shared" ca="1" si="364"/>
        <v>-1.44565593408266</v>
      </c>
      <c r="N785" s="357">
        <f t="shared" ca="1" si="365"/>
        <v>-82.829983650979159</v>
      </c>
      <c r="O785" s="343"/>
      <c r="P785" s="363">
        <f t="shared" ca="1" si="366"/>
        <v>23</v>
      </c>
      <c r="Q785" s="357">
        <f t="shared" ca="1" si="367"/>
        <v>0</v>
      </c>
      <c r="R785" s="359">
        <f t="shared" ca="1" si="368"/>
        <v>0</v>
      </c>
      <c r="S785" s="360">
        <f t="shared" ca="1" si="369"/>
        <v>8.3819999999999997</v>
      </c>
      <c r="T785" s="357">
        <f t="shared" ca="1" si="349"/>
        <v>82.227419999999995</v>
      </c>
      <c r="U785" s="364">
        <f t="shared" ca="1" si="350"/>
        <v>0</v>
      </c>
      <c r="V785" s="359">
        <f t="shared" ca="1" si="351"/>
        <v>1.2261210524640249</v>
      </c>
      <c r="W785" s="357">
        <f t="shared" ca="1" si="352"/>
        <v>56.089524255118789</v>
      </c>
      <c r="X785" s="343"/>
      <c r="Y785" s="367" t="str">
        <f t="shared" ca="1" si="370"/>
        <v/>
      </c>
      <c r="Z785" s="368" t="str">
        <f t="shared" ca="1" si="371"/>
        <v/>
      </c>
      <c r="AA785" s="369" t="str">
        <f t="shared" ca="1" si="372"/>
        <v/>
      </c>
      <c r="AB785" s="344"/>
      <c r="AC785" s="363" t="e">
        <f t="shared" ca="1" si="373"/>
        <v>#N/A</v>
      </c>
      <c r="AD785" s="376" t="e">
        <f t="shared" ca="1" si="374"/>
        <v>#N/A</v>
      </c>
      <c r="AE785" s="377" t="e">
        <f t="shared" ca="1" si="353"/>
        <v>#N/A</v>
      </c>
      <c r="AF785" s="344"/>
      <c r="AG785" s="359">
        <f t="shared" ca="1" si="375"/>
        <v>3.0416623055256293</v>
      </c>
      <c r="AH785" s="357">
        <f t="shared" ca="1" si="376"/>
        <v>-6.691623863062822</v>
      </c>
    </row>
    <row r="786" spans="1:34" x14ac:dyDescent="0.2">
      <c r="A786" s="402">
        <f t="shared" ca="1" si="354"/>
        <v>1E-4</v>
      </c>
      <c r="B786" s="357">
        <f t="shared" ca="1" si="355"/>
        <v>35.306900000000418</v>
      </c>
      <c r="C786" s="342"/>
      <c r="D786" s="359">
        <f t="shared" ca="1" si="356"/>
        <v>-0.83521349722821758</v>
      </c>
      <c r="E786" s="360">
        <f t="shared" ca="1" si="357"/>
        <v>-3.1706641833978519</v>
      </c>
      <c r="F786" s="357">
        <f t="shared" ca="1" si="358"/>
        <v>3.2788249343071301</v>
      </c>
      <c r="G786" s="359">
        <f t="shared" ca="1" si="359"/>
        <v>16.379681676382155</v>
      </c>
      <c r="H786" s="360">
        <f t="shared" ca="1" si="360"/>
        <v>-130.20745824138794</v>
      </c>
      <c r="I786" s="357">
        <f t="shared" ca="1" si="361"/>
        <v>131.23367004508557</v>
      </c>
      <c r="J786" s="359">
        <f t="shared" ca="1" si="362"/>
        <v>953.1802660510491</v>
      </c>
      <c r="K786" s="360">
        <f t="shared" ca="1" si="363"/>
        <v>-9.160283880421817</v>
      </c>
      <c r="L786" s="357">
        <f t="shared" ca="1" si="348"/>
        <v>953.22428126329157</v>
      </c>
      <c r="M786" s="359">
        <f t="shared" ca="1" si="364"/>
        <v>-1.4456568670944616</v>
      </c>
      <c r="N786" s="357">
        <f t="shared" ca="1" si="365"/>
        <v>-82.830037108617631</v>
      </c>
      <c r="O786" s="343"/>
      <c r="P786" s="363">
        <f t="shared" ca="1" si="366"/>
        <v>23</v>
      </c>
      <c r="Q786" s="357">
        <f t="shared" ca="1" si="367"/>
        <v>0</v>
      </c>
      <c r="R786" s="359">
        <f t="shared" ca="1" si="368"/>
        <v>0</v>
      </c>
      <c r="S786" s="360">
        <f t="shared" ca="1" si="369"/>
        <v>8.3819999999999997</v>
      </c>
      <c r="T786" s="357">
        <f t="shared" ca="1" si="349"/>
        <v>82.227419999999995</v>
      </c>
      <c r="U786" s="364">
        <f t="shared" ca="1" si="350"/>
        <v>0</v>
      </c>
      <c r="V786" s="359">
        <f t="shared" ca="1" si="351"/>
        <v>1.2261226489645123</v>
      </c>
      <c r="W786" s="357">
        <f t="shared" ca="1" si="352"/>
        <v>56.089857288298965</v>
      </c>
      <c r="X786" s="343"/>
      <c r="Y786" s="367" t="str">
        <f t="shared" ca="1" si="370"/>
        <v/>
      </c>
      <c r="Z786" s="368" t="str">
        <f t="shared" ca="1" si="371"/>
        <v/>
      </c>
      <c r="AA786" s="369" t="str">
        <f t="shared" ca="1" si="372"/>
        <v/>
      </c>
      <c r="AB786" s="344"/>
      <c r="AC786" s="363" t="e">
        <f t="shared" ca="1" si="373"/>
        <v>#N/A</v>
      </c>
      <c r="AD786" s="376" t="e">
        <f t="shared" ca="1" si="374"/>
        <v>#N/A</v>
      </c>
      <c r="AE786" s="377" t="e">
        <f t="shared" ca="1" si="353"/>
        <v>#N/A</v>
      </c>
      <c r="AF786" s="344"/>
      <c r="AG786" s="359">
        <f t="shared" ca="1" si="375"/>
        <v>3.041623715789191</v>
      </c>
      <c r="AH786" s="357">
        <f t="shared" ca="1" si="376"/>
        <v>-6.6916635952181807</v>
      </c>
    </row>
    <row r="787" spans="1:34" x14ac:dyDescent="0.2">
      <c r="A787" s="402">
        <f t="shared" ca="1" si="354"/>
        <v>1E-4</v>
      </c>
      <c r="B787" s="357">
        <f t="shared" ca="1" si="355"/>
        <v>35.307000000000421</v>
      </c>
      <c r="C787" s="342"/>
      <c r="D787" s="359">
        <f t="shared" ca="1" si="356"/>
        <v>-0.8352122617168124</v>
      </c>
      <c r="E787" s="360">
        <f t="shared" ca="1" si="357"/>
        <v>-3.170623982882721</v>
      </c>
      <c r="F787" s="357">
        <f t="shared" ca="1" si="358"/>
        <v>3.2787857452040385</v>
      </c>
      <c r="G787" s="359">
        <f t="shared" ca="1" si="359"/>
        <v>16.379598155155982</v>
      </c>
      <c r="H787" s="360">
        <f t="shared" ca="1" si="360"/>
        <v>-130.20777530378624</v>
      </c>
      <c r="I787" s="357">
        <f t="shared" ca="1" si="361"/>
        <v>131.23397420365532</v>
      </c>
      <c r="J787" s="359">
        <f t="shared" ca="1" si="362"/>
        <v>953.1802660510491</v>
      </c>
      <c r="K787" s="360">
        <f t="shared" ca="1" si="363"/>
        <v>-9.173304642099076</v>
      </c>
      <c r="L787" s="357">
        <f t="shared" ca="1" si="348"/>
        <v>953.224406478981</v>
      </c>
      <c r="M787" s="359">
        <f t="shared" ca="1" si="364"/>
        <v>-1.4456578000971809</v>
      </c>
      <c r="N787" s="357">
        <f t="shared" ca="1" si="365"/>
        <v>-82.830090565735716</v>
      </c>
      <c r="O787" s="343"/>
      <c r="P787" s="363">
        <f t="shared" ca="1" si="366"/>
        <v>23</v>
      </c>
      <c r="Q787" s="357">
        <f t="shared" ca="1" si="367"/>
        <v>0</v>
      </c>
      <c r="R787" s="359">
        <f t="shared" ca="1" si="368"/>
        <v>0</v>
      </c>
      <c r="S787" s="360">
        <f t="shared" ca="1" si="369"/>
        <v>8.3819999999999997</v>
      </c>
      <c r="T787" s="357">
        <f t="shared" ca="1" si="349"/>
        <v>82.227419999999995</v>
      </c>
      <c r="U787" s="364">
        <f t="shared" ca="1" si="350"/>
        <v>0</v>
      </c>
      <c r="V787" s="359">
        <f t="shared" ca="1" si="351"/>
        <v>1.2261242454709671</v>
      </c>
      <c r="W787" s="357">
        <f t="shared" ca="1" si="352"/>
        <v>56.090190319733175</v>
      </c>
      <c r="X787" s="343"/>
      <c r="Y787" s="367" t="str">
        <f t="shared" ca="1" si="370"/>
        <v/>
      </c>
      <c r="Z787" s="368" t="str">
        <f t="shared" ca="1" si="371"/>
        <v/>
      </c>
      <c r="AA787" s="369" t="str">
        <f t="shared" ca="1" si="372"/>
        <v/>
      </c>
      <c r="AB787" s="344"/>
      <c r="AC787" s="363" t="e">
        <f t="shared" ca="1" si="373"/>
        <v>#N/A</v>
      </c>
      <c r="AD787" s="376" t="e">
        <f t="shared" ca="1" si="374"/>
        <v>#N/A</v>
      </c>
      <c r="AE787" s="377" t="e">
        <f t="shared" ca="1" si="353"/>
        <v>#N/A</v>
      </c>
      <c r="AF787" s="344"/>
      <c r="AG787" s="359">
        <f t="shared" ca="1" si="375"/>
        <v>3.0415851262414639</v>
      </c>
      <c r="AH787" s="357">
        <f t="shared" ca="1" si="376"/>
        <v>-6.6917033271652313</v>
      </c>
    </row>
    <row r="788" spans="1:34" x14ac:dyDescent="0.2">
      <c r="A788" s="402">
        <f t="shared" ca="1" si="354"/>
        <v>1E-4</v>
      </c>
      <c r="B788" s="357">
        <f t="shared" ca="1" si="355"/>
        <v>35.307100000000425</v>
      </c>
      <c r="C788" s="342"/>
      <c r="D788" s="359">
        <f t="shared" ca="1" si="356"/>
        <v>-0.83521102616542175</v>
      </c>
      <c r="E788" s="360">
        <f t="shared" ca="1" si="357"/>
        <v>-3.1705837825783725</v>
      </c>
      <c r="F788" s="357">
        <f t="shared" ca="1" si="358"/>
        <v>3.2787465563195455</v>
      </c>
      <c r="G788" s="359">
        <f t="shared" ca="1" si="359"/>
        <v>16.379514634053365</v>
      </c>
      <c r="H788" s="360">
        <f t="shared" ca="1" si="360"/>
        <v>-130.20809236216451</v>
      </c>
      <c r="I788" s="357">
        <f t="shared" ca="1" si="361"/>
        <v>131.23427835836617</v>
      </c>
      <c r="J788" s="359">
        <f t="shared" ca="1" si="362"/>
        <v>953.1802660510491</v>
      </c>
      <c r="K788" s="360">
        <f t="shared" ca="1" si="363"/>
        <v>-9.1863254354823738</v>
      </c>
      <c r="L788" s="357">
        <f t="shared" ca="1" si="348"/>
        <v>953.22453187281928</v>
      </c>
      <c r="M788" s="359">
        <f t="shared" ca="1" si="364"/>
        <v>-1.4456587330908179</v>
      </c>
      <c r="N788" s="357">
        <f t="shared" ca="1" si="365"/>
        <v>-82.830144022333428</v>
      </c>
      <c r="O788" s="343"/>
      <c r="P788" s="363">
        <f t="shared" ca="1" si="366"/>
        <v>23</v>
      </c>
      <c r="Q788" s="357">
        <f t="shared" ca="1" si="367"/>
        <v>0</v>
      </c>
      <c r="R788" s="359">
        <f t="shared" ca="1" si="368"/>
        <v>0</v>
      </c>
      <c r="S788" s="360">
        <f t="shared" ca="1" si="369"/>
        <v>8.3819999999999997</v>
      </c>
      <c r="T788" s="357">
        <f t="shared" ca="1" si="349"/>
        <v>82.227419999999995</v>
      </c>
      <c r="U788" s="364">
        <f t="shared" ca="1" si="350"/>
        <v>0</v>
      </c>
      <c r="V788" s="359">
        <f t="shared" ca="1" si="351"/>
        <v>1.2261258419833891</v>
      </c>
      <c r="W788" s="357">
        <f t="shared" ca="1" si="352"/>
        <v>56.090523349421368</v>
      </c>
      <c r="X788" s="343"/>
      <c r="Y788" s="367" t="str">
        <f t="shared" ca="1" si="370"/>
        <v/>
      </c>
      <c r="Z788" s="368" t="str">
        <f t="shared" ca="1" si="371"/>
        <v/>
      </c>
      <c r="AA788" s="369" t="str">
        <f t="shared" ca="1" si="372"/>
        <v/>
      </c>
      <c r="AB788" s="344"/>
      <c r="AC788" s="363" t="e">
        <f t="shared" ca="1" si="373"/>
        <v>#N/A</v>
      </c>
      <c r="AD788" s="376" t="e">
        <f t="shared" ca="1" si="374"/>
        <v>#N/A</v>
      </c>
      <c r="AE788" s="377" t="e">
        <f t="shared" ca="1" si="353"/>
        <v>#N/A</v>
      </c>
      <c r="AF788" s="344"/>
      <c r="AG788" s="359">
        <f t="shared" ca="1" si="375"/>
        <v>3.0415465368824455</v>
      </c>
      <c r="AH788" s="357">
        <f t="shared" ca="1" si="376"/>
        <v>-6.6917430589039819</v>
      </c>
    </row>
    <row r="789" spans="1:34" x14ac:dyDescent="0.2">
      <c r="A789" s="402">
        <f t="shared" ca="1" si="354"/>
        <v>1E-4</v>
      </c>
      <c r="B789" s="357">
        <f t="shared" ca="1" si="355"/>
        <v>35.307200000000428</v>
      </c>
      <c r="C789" s="342"/>
      <c r="D789" s="359">
        <f t="shared" ca="1" si="356"/>
        <v>-0.83520979057404687</v>
      </c>
      <c r="E789" s="360">
        <f t="shared" ca="1" si="357"/>
        <v>-3.1705435824848118</v>
      </c>
      <c r="F789" s="357">
        <f t="shared" ca="1" si="358"/>
        <v>3.2787073676536562</v>
      </c>
      <c r="G789" s="359">
        <f t="shared" ca="1" si="359"/>
        <v>16.379431113074308</v>
      </c>
      <c r="H789" s="360">
        <f t="shared" ca="1" si="360"/>
        <v>-130.20840941652276</v>
      </c>
      <c r="I789" s="357">
        <f t="shared" ca="1" si="361"/>
        <v>131.23458250921806</v>
      </c>
      <c r="J789" s="359">
        <f t="shared" ca="1" si="362"/>
        <v>953.1802660510491</v>
      </c>
      <c r="K789" s="360">
        <f t="shared" ca="1" si="363"/>
        <v>-9.1993462605713088</v>
      </c>
      <c r="L789" s="357">
        <f t="shared" ca="1" si="348"/>
        <v>953.22465744480758</v>
      </c>
      <c r="M789" s="359">
        <f t="shared" ca="1" si="364"/>
        <v>-1.4456596660753729</v>
      </c>
      <c r="N789" s="357">
        <f t="shared" ca="1" si="365"/>
        <v>-82.830197478410781</v>
      </c>
      <c r="O789" s="343"/>
      <c r="P789" s="363">
        <f t="shared" ca="1" si="366"/>
        <v>23</v>
      </c>
      <c r="Q789" s="357">
        <f t="shared" ca="1" si="367"/>
        <v>0</v>
      </c>
      <c r="R789" s="359">
        <f t="shared" ca="1" si="368"/>
        <v>0</v>
      </c>
      <c r="S789" s="360">
        <f t="shared" ca="1" si="369"/>
        <v>8.3819999999999997</v>
      </c>
      <c r="T789" s="357">
        <f t="shared" ca="1" si="349"/>
        <v>82.227419999999995</v>
      </c>
      <c r="U789" s="364">
        <f t="shared" ca="1" si="350"/>
        <v>0</v>
      </c>
      <c r="V789" s="359">
        <f t="shared" ca="1" si="351"/>
        <v>1.2261274385017784</v>
      </c>
      <c r="W789" s="357">
        <f t="shared" ca="1" si="352"/>
        <v>56.090856377363501</v>
      </c>
      <c r="X789" s="343"/>
      <c r="Y789" s="367" t="str">
        <f t="shared" ca="1" si="370"/>
        <v/>
      </c>
      <c r="Z789" s="368" t="str">
        <f t="shared" ca="1" si="371"/>
        <v/>
      </c>
      <c r="AA789" s="369" t="str">
        <f t="shared" ca="1" si="372"/>
        <v/>
      </c>
      <c r="AB789" s="344"/>
      <c r="AC789" s="363" t="e">
        <f t="shared" ca="1" si="373"/>
        <v>#N/A</v>
      </c>
      <c r="AD789" s="376" t="e">
        <f t="shared" ca="1" si="374"/>
        <v>#N/A</v>
      </c>
      <c r="AE789" s="377" t="e">
        <f t="shared" ca="1" si="353"/>
        <v>#N/A</v>
      </c>
      <c r="AF789" s="344"/>
      <c r="AG789" s="359">
        <f t="shared" ca="1" si="375"/>
        <v>3.0415079477121409</v>
      </c>
      <c r="AH789" s="357">
        <f t="shared" ca="1" si="376"/>
        <v>-6.6917827904344271</v>
      </c>
    </row>
    <row r="790" spans="1:34" x14ac:dyDescent="0.2">
      <c r="A790" s="402">
        <f t="shared" ca="1" si="354"/>
        <v>1E-4</v>
      </c>
      <c r="B790" s="357">
        <f t="shared" ca="1" si="355"/>
        <v>35.307300000000431</v>
      </c>
      <c r="C790" s="342"/>
      <c r="D790" s="359">
        <f t="shared" ca="1" si="356"/>
        <v>-0.83520855494268709</v>
      </c>
      <c r="E790" s="360">
        <f t="shared" ca="1" si="357"/>
        <v>-3.1705033826020452</v>
      </c>
      <c r="F790" s="357">
        <f t="shared" ca="1" si="358"/>
        <v>3.2786681792063774</v>
      </c>
      <c r="G790" s="359">
        <f t="shared" ca="1" si="359"/>
        <v>16.379347592218814</v>
      </c>
      <c r="H790" s="360">
        <f t="shared" ca="1" si="360"/>
        <v>-130.20872646686101</v>
      </c>
      <c r="I790" s="357">
        <f t="shared" ca="1" si="361"/>
        <v>131.23488665621102</v>
      </c>
      <c r="J790" s="359">
        <f t="shared" ca="1" si="362"/>
        <v>953.1802660510491</v>
      </c>
      <c r="K790" s="360">
        <f t="shared" ca="1" si="363"/>
        <v>-9.2123671173654778</v>
      </c>
      <c r="L790" s="357">
        <f t="shared" ca="1" si="348"/>
        <v>953.22478319494712</v>
      </c>
      <c r="M790" s="359">
        <f t="shared" ca="1" si="364"/>
        <v>-1.445660599050846</v>
      </c>
      <c r="N790" s="357">
        <f t="shared" ca="1" si="365"/>
        <v>-82.830250933967775</v>
      </c>
      <c r="O790" s="343"/>
      <c r="P790" s="363">
        <f t="shared" ca="1" si="366"/>
        <v>23</v>
      </c>
      <c r="Q790" s="357">
        <f t="shared" ca="1" si="367"/>
        <v>0</v>
      </c>
      <c r="R790" s="359">
        <f t="shared" ca="1" si="368"/>
        <v>0</v>
      </c>
      <c r="S790" s="360">
        <f t="shared" ca="1" si="369"/>
        <v>8.3819999999999997</v>
      </c>
      <c r="T790" s="357">
        <f t="shared" ca="1" si="349"/>
        <v>82.227419999999995</v>
      </c>
      <c r="U790" s="364">
        <f t="shared" ca="1" si="350"/>
        <v>0</v>
      </c>
      <c r="V790" s="359">
        <f t="shared" ca="1" si="351"/>
        <v>1.2261290350261347</v>
      </c>
      <c r="W790" s="357">
        <f t="shared" ca="1" si="352"/>
        <v>56.091189403559525</v>
      </c>
      <c r="X790" s="343"/>
      <c r="Y790" s="367" t="str">
        <f t="shared" ca="1" si="370"/>
        <v/>
      </c>
      <c r="Z790" s="368" t="str">
        <f t="shared" ca="1" si="371"/>
        <v/>
      </c>
      <c r="AA790" s="369" t="str">
        <f t="shared" ca="1" si="372"/>
        <v/>
      </c>
      <c r="AB790" s="344"/>
      <c r="AC790" s="363" t="e">
        <f t="shared" ca="1" si="373"/>
        <v>#N/A</v>
      </c>
      <c r="AD790" s="376" t="e">
        <f t="shared" ca="1" si="374"/>
        <v>#N/A</v>
      </c>
      <c r="AE790" s="377" t="e">
        <f t="shared" ca="1" si="353"/>
        <v>#N/A</v>
      </c>
      <c r="AF790" s="344"/>
      <c r="AG790" s="359">
        <f t="shared" ca="1" si="375"/>
        <v>3.0414693587305521</v>
      </c>
      <c r="AH790" s="357">
        <f t="shared" ca="1" si="376"/>
        <v>-6.6918225217565617</v>
      </c>
    </row>
    <row r="791" spans="1:34" x14ac:dyDescent="0.2">
      <c r="A791" s="402">
        <f t="shared" ca="1" si="354"/>
        <v>1E-4</v>
      </c>
      <c r="B791" s="357">
        <f t="shared" ca="1" si="355"/>
        <v>35.307400000000435</v>
      </c>
      <c r="C791" s="342"/>
      <c r="D791" s="359">
        <f t="shared" ca="1" si="356"/>
        <v>-0.83520731927134206</v>
      </c>
      <c r="E791" s="360">
        <f t="shared" ca="1" si="357"/>
        <v>-3.1704631829300762</v>
      </c>
      <c r="F791" s="357">
        <f t="shared" ca="1" si="358"/>
        <v>3.2786289909777122</v>
      </c>
      <c r="G791" s="359">
        <f t="shared" ca="1" si="359"/>
        <v>16.379264071486887</v>
      </c>
      <c r="H791" s="360">
        <f t="shared" ca="1" si="360"/>
        <v>-130.2090435131793</v>
      </c>
      <c r="I791" s="357">
        <f t="shared" ca="1" si="361"/>
        <v>131.23519079934513</v>
      </c>
      <c r="J791" s="359">
        <f t="shared" ca="1" si="362"/>
        <v>953.1802660510491</v>
      </c>
      <c r="K791" s="360">
        <f t="shared" ca="1" si="363"/>
        <v>-9.2253880058644793</v>
      </c>
      <c r="L791" s="357">
        <f t="shared" ca="1" si="348"/>
        <v>953.22490912323917</v>
      </c>
      <c r="M791" s="359">
        <f t="shared" ca="1" si="364"/>
        <v>-1.4456615320172372</v>
      </c>
      <c r="N791" s="357">
        <f t="shared" ca="1" si="365"/>
        <v>-82.830304389004425</v>
      </c>
      <c r="O791" s="343"/>
      <c r="P791" s="363">
        <f t="shared" ca="1" si="366"/>
        <v>23</v>
      </c>
      <c r="Q791" s="357">
        <f t="shared" ca="1" si="367"/>
        <v>0</v>
      </c>
      <c r="R791" s="359">
        <f t="shared" ca="1" si="368"/>
        <v>0</v>
      </c>
      <c r="S791" s="360">
        <f t="shared" ca="1" si="369"/>
        <v>8.3819999999999997</v>
      </c>
      <c r="T791" s="357">
        <f t="shared" ca="1" si="349"/>
        <v>82.227419999999995</v>
      </c>
      <c r="U791" s="364">
        <f t="shared" ca="1" si="350"/>
        <v>0</v>
      </c>
      <c r="V791" s="359">
        <f t="shared" ca="1" si="351"/>
        <v>1.2261306315564584</v>
      </c>
      <c r="W791" s="357">
        <f t="shared" ca="1" si="352"/>
        <v>56.091522428009519</v>
      </c>
      <c r="X791" s="343"/>
      <c r="Y791" s="367" t="str">
        <f t="shared" ca="1" si="370"/>
        <v/>
      </c>
      <c r="Z791" s="368" t="str">
        <f t="shared" ca="1" si="371"/>
        <v/>
      </c>
      <c r="AA791" s="369" t="str">
        <f t="shared" ca="1" si="372"/>
        <v/>
      </c>
      <c r="AB791" s="344"/>
      <c r="AC791" s="363" t="e">
        <f t="shared" ca="1" si="373"/>
        <v>#N/A</v>
      </c>
      <c r="AD791" s="376" t="e">
        <f t="shared" ca="1" si="374"/>
        <v>#N/A</v>
      </c>
      <c r="AE791" s="377" t="e">
        <f t="shared" ca="1" si="353"/>
        <v>#N/A</v>
      </c>
      <c r="AF791" s="344"/>
      <c r="AG791" s="359">
        <f t="shared" ca="1" si="375"/>
        <v>3.0414307699376879</v>
      </c>
      <c r="AH791" s="357">
        <f t="shared" ca="1" si="376"/>
        <v>-6.6918622528703802</v>
      </c>
    </row>
    <row r="792" spans="1:34" x14ac:dyDescent="0.2">
      <c r="A792" s="402">
        <f t="shared" ca="1" si="354"/>
        <v>1E-4</v>
      </c>
      <c r="B792" s="357">
        <f t="shared" ca="1" si="355"/>
        <v>35.307500000000438</v>
      </c>
      <c r="C792" s="342"/>
      <c r="D792" s="359">
        <f t="shared" ca="1" si="356"/>
        <v>-0.83520608356001447</v>
      </c>
      <c r="E792" s="360">
        <f t="shared" ca="1" si="357"/>
        <v>-3.1704229834688986</v>
      </c>
      <c r="F792" s="357">
        <f t="shared" ca="1" si="358"/>
        <v>3.2785898029676552</v>
      </c>
      <c r="G792" s="359">
        <f t="shared" ca="1" si="359"/>
        <v>16.37918055087853</v>
      </c>
      <c r="H792" s="360">
        <f t="shared" ca="1" si="360"/>
        <v>-130.20936055547764</v>
      </c>
      <c r="I792" s="357">
        <f t="shared" ca="1" si="361"/>
        <v>131.23549493862038</v>
      </c>
      <c r="J792" s="359">
        <f t="shared" ca="1" si="362"/>
        <v>953.1802660510491</v>
      </c>
      <c r="K792" s="360">
        <f t="shared" ca="1" si="363"/>
        <v>-9.2384089260679119</v>
      </c>
      <c r="L792" s="357">
        <f t="shared" ca="1" si="348"/>
        <v>953.22503522968486</v>
      </c>
      <c r="M792" s="359">
        <f t="shared" ca="1" si="364"/>
        <v>-1.4456624649745469</v>
      </c>
      <c r="N792" s="357">
        <f t="shared" ca="1" si="365"/>
        <v>-82.83035784352073</v>
      </c>
      <c r="O792" s="343"/>
      <c r="P792" s="363">
        <f t="shared" ca="1" si="366"/>
        <v>23</v>
      </c>
      <c r="Q792" s="357">
        <f t="shared" ca="1" si="367"/>
        <v>0</v>
      </c>
      <c r="R792" s="359">
        <f t="shared" ca="1" si="368"/>
        <v>0</v>
      </c>
      <c r="S792" s="360">
        <f t="shared" ca="1" si="369"/>
        <v>8.3819999999999997</v>
      </c>
      <c r="T792" s="357">
        <f t="shared" ca="1" si="349"/>
        <v>82.227419999999995</v>
      </c>
      <c r="U792" s="364">
        <f t="shared" ca="1" si="350"/>
        <v>0</v>
      </c>
      <c r="V792" s="359">
        <f t="shared" ca="1" si="351"/>
        <v>1.2261322280927491</v>
      </c>
      <c r="W792" s="357">
        <f t="shared" ca="1" si="352"/>
        <v>56.09185545071341</v>
      </c>
      <c r="X792" s="343"/>
      <c r="Y792" s="367" t="str">
        <f t="shared" ca="1" si="370"/>
        <v/>
      </c>
      <c r="Z792" s="368" t="str">
        <f t="shared" ca="1" si="371"/>
        <v/>
      </c>
      <c r="AA792" s="369" t="str">
        <f t="shared" ca="1" si="372"/>
        <v/>
      </c>
      <c r="AB792" s="344"/>
      <c r="AC792" s="363" t="e">
        <f t="shared" ca="1" si="373"/>
        <v>#N/A</v>
      </c>
      <c r="AD792" s="376" t="e">
        <f t="shared" ca="1" si="374"/>
        <v>#N/A</v>
      </c>
      <c r="AE792" s="377" t="e">
        <f t="shared" ca="1" si="353"/>
        <v>#N/A</v>
      </c>
      <c r="AF792" s="344"/>
      <c r="AG792" s="359">
        <f t="shared" ca="1" si="375"/>
        <v>3.0413921813335394</v>
      </c>
      <c r="AH792" s="357">
        <f t="shared" ca="1" si="376"/>
        <v>-6.6919019837758915</v>
      </c>
    </row>
    <row r="793" spans="1:34" x14ac:dyDescent="0.2">
      <c r="A793" s="402">
        <f t="shared" ca="1" si="354"/>
        <v>1E-4</v>
      </c>
      <c r="B793" s="357">
        <f t="shared" ca="1" si="355"/>
        <v>35.307600000000441</v>
      </c>
      <c r="C793" s="342"/>
      <c r="D793" s="359">
        <f t="shared" ca="1" si="356"/>
        <v>-0.83520484780870363</v>
      </c>
      <c r="E793" s="360">
        <f t="shared" ca="1" si="357"/>
        <v>-3.1703827842185186</v>
      </c>
      <c r="F793" s="357">
        <f t="shared" ca="1" si="358"/>
        <v>3.2785506151762132</v>
      </c>
      <c r="G793" s="359">
        <f t="shared" ca="1" si="359"/>
        <v>16.379097030393748</v>
      </c>
      <c r="H793" s="360">
        <f t="shared" ca="1" si="360"/>
        <v>-130.20967759375606</v>
      </c>
      <c r="I793" s="357">
        <f t="shared" ca="1" si="361"/>
        <v>131.23579907403678</v>
      </c>
      <c r="J793" s="359">
        <f t="shared" ca="1" si="362"/>
        <v>953.1802660510491</v>
      </c>
      <c r="K793" s="360">
        <f t="shared" ca="1" si="363"/>
        <v>-9.2514298779753741</v>
      </c>
      <c r="L793" s="357">
        <f t="shared" ca="1" si="348"/>
        <v>953.22516151428567</v>
      </c>
      <c r="M793" s="359">
        <f t="shared" ca="1" si="364"/>
        <v>-1.4456633979227751</v>
      </c>
      <c r="N793" s="357">
        <f t="shared" ca="1" si="365"/>
        <v>-82.830411297516719</v>
      </c>
      <c r="O793" s="343"/>
      <c r="P793" s="363">
        <f t="shared" ca="1" si="366"/>
        <v>23</v>
      </c>
      <c r="Q793" s="357">
        <f t="shared" ca="1" si="367"/>
        <v>0</v>
      </c>
      <c r="R793" s="359">
        <f t="shared" ca="1" si="368"/>
        <v>0</v>
      </c>
      <c r="S793" s="360">
        <f t="shared" ca="1" si="369"/>
        <v>8.3819999999999997</v>
      </c>
      <c r="T793" s="357">
        <f t="shared" ca="1" si="349"/>
        <v>82.227419999999995</v>
      </c>
      <c r="U793" s="364">
        <f t="shared" ca="1" si="350"/>
        <v>0</v>
      </c>
      <c r="V793" s="359">
        <f t="shared" ca="1" si="351"/>
        <v>1.2261338246350073</v>
      </c>
      <c r="W793" s="357">
        <f t="shared" ca="1" si="352"/>
        <v>56.092188471671207</v>
      </c>
      <c r="X793" s="343"/>
      <c r="Y793" s="367" t="str">
        <f t="shared" ca="1" si="370"/>
        <v/>
      </c>
      <c r="Z793" s="368" t="str">
        <f t="shared" ca="1" si="371"/>
        <v/>
      </c>
      <c r="AA793" s="369" t="str">
        <f t="shared" ca="1" si="372"/>
        <v/>
      </c>
      <c r="AB793" s="344"/>
      <c r="AC793" s="363" t="e">
        <f t="shared" ca="1" si="373"/>
        <v>#N/A</v>
      </c>
      <c r="AD793" s="376" t="e">
        <f t="shared" ca="1" si="374"/>
        <v>#N/A</v>
      </c>
      <c r="AE793" s="377" t="e">
        <f t="shared" ca="1" si="353"/>
        <v>#N/A</v>
      </c>
      <c r="AF793" s="344"/>
      <c r="AG793" s="359">
        <f t="shared" ca="1" si="375"/>
        <v>3.0413535929181155</v>
      </c>
      <c r="AH793" s="357">
        <f t="shared" ca="1" si="376"/>
        <v>-6.6919417144730868</v>
      </c>
    </row>
    <row r="794" spans="1:34" x14ac:dyDescent="0.2">
      <c r="A794" s="402">
        <f t="shared" ca="1" si="354"/>
        <v>1E-4</v>
      </c>
      <c r="B794" s="357">
        <f t="shared" ca="1" si="355"/>
        <v>35.307700000000445</v>
      </c>
      <c r="C794" s="342"/>
      <c r="D794" s="359">
        <f t="shared" ca="1" si="356"/>
        <v>-0.83520361201740956</v>
      </c>
      <c r="E794" s="360">
        <f t="shared" ca="1" si="357"/>
        <v>-3.1703425851789371</v>
      </c>
      <c r="F794" s="357">
        <f t="shared" ca="1" si="358"/>
        <v>3.278511427603386</v>
      </c>
      <c r="G794" s="359">
        <f t="shared" ca="1" si="359"/>
        <v>16.379013510032546</v>
      </c>
      <c r="H794" s="360">
        <f t="shared" ca="1" si="360"/>
        <v>-130.20999462801458</v>
      </c>
      <c r="I794" s="357">
        <f t="shared" ca="1" si="361"/>
        <v>131.23610320559436</v>
      </c>
      <c r="J794" s="359">
        <f t="shared" ca="1" si="362"/>
        <v>953.1802660510491</v>
      </c>
      <c r="K794" s="360">
        <f t="shared" ca="1" si="363"/>
        <v>-9.2644508615864627</v>
      </c>
      <c r="L794" s="357">
        <f t="shared" ca="1" si="348"/>
        <v>953.2252879770424</v>
      </c>
      <c r="M794" s="359">
        <f t="shared" ca="1" si="364"/>
        <v>-1.4456643308619217</v>
      </c>
      <c r="N794" s="357">
        <f t="shared" ca="1" si="365"/>
        <v>-82.830464750992363</v>
      </c>
      <c r="O794" s="343"/>
      <c r="P794" s="363">
        <f t="shared" ca="1" si="366"/>
        <v>23</v>
      </c>
      <c r="Q794" s="357">
        <f t="shared" ca="1" si="367"/>
        <v>0</v>
      </c>
      <c r="R794" s="359">
        <f t="shared" ca="1" si="368"/>
        <v>0</v>
      </c>
      <c r="S794" s="360">
        <f t="shared" ca="1" si="369"/>
        <v>8.3819999999999997</v>
      </c>
      <c r="T794" s="357">
        <f t="shared" ca="1" si="349"/>
        <v>82.227419999999995</v>
      </c>
      <c r="U794" s="364">
        <f t="shared" ca="1" si="350"/>
        <v>0</v>
      </c>
      <c r="V794" s="359">
        <f t="shared" ca="1" si="351"/>
        <v>1.2261354211832323</v>
      </c>
      <c r="W794" s="357">
        <f t="shared" ca="1" si="352"/>
        <v>56.092521490882888</v>
      </c>
      <c r="X794" s="343"/>
      <c r="Y794" s="367" t="str">
        <f t="shared" ca="1" si="370"/>
        <v/>
      </c>
      <c r="Z794" s="368" t="str">
        <f t="shared" ca="1" si="371"/>
        <v/>
      </c>
      <c r="AA794" s="369" t="str">
        <f t="shared" ca="1" si="372"/>
        <v/>
      </c>
      <c r="AB794" s="344"/>
      <c r="AC794" s="363" t="e">
        <f t="shared" ca="1" si="373"/>
        <v>#N/A</v>
      </c>
      <c r="AD794" s="376" t="e">
        <f t="shared" ca="1" si="374"/>
        <v>#N/A</v>
      </c>
      <c r="AE794" s="377" t="e">
        <f t="shared" ca="1" si="353"/>
        <v>#N/A</v>
      </c>
      <c r="AF794" s="344"/>
      <c r="AG794" s="359">
        <f t="shared" ca="1" si="375"/>
        <v>3.041315004691417</v>
      </c>
      <c r="AH794" s="357">
        <f t="shared" ca="1" si="376"/>
        <v>-6.691981444961967</v>
      </c>
    </row>
    <row r="795" spans="1:34" x14ac:dyDescent="0.2">
      <c r="A795" s="402">
        <f t="shared" ca="1" si="354"/>
        <v>1E-4</v>
      </c>
      <c r="B795" s="357">
        <f t="shared" ca="1" si="355"/>
        <v>35.307800000000448</v>
      </c>
      <c r="C795" s="342"/>
      <c r="D795" s="359">
        <f t="shared" ca="1" si="356"/>
        <v>-0.83520237618613535</v>
      </c>
      <c r="E795" s="360">
        <f t="shared" ca="1" si="357"/>
        <v>-3.1703023863501549</v>
      </c>
      <c r="F795" s="357">
        <f t="shared" ca="1" si="358"/>
        <v>3.2784722402491764</v>
      </c>
      <c r="G795" s="359">
        <f t="shared" ca="1" si="359"/>
        <v>16.378929989794926</v>
      </c>
      <c r="H795" s="360">
        <f t="shared" ca="1" si="360"/>
        <v>-130.21031165825323</v>
      </c>
      <c r="I795" s="357">
        <f t="shared" ca="1" si="361"/>
        <v>131.23640733329316</v>
      </c>
      <c r="J795" s="359">
        <f t="shared" ca="1" si="362"/>
        <v>953.1802660510491</v>
      </c>
      <c r="K795" s="360">
        <f t="shared" ca="1" si="363"/>
        <v>-9.2774718769007762</v>
      </c>
      <c r="L795" s="357">
        <f t="shared" ca="1" si="348"/>
        <v>953.22541461795674</v>
      </c>
      <c r="M795" s="359">
        <f t="shared" ca="1" si="364"/>
        <v>-1.4456652637919871</v>
      </c>
      <c r="N795" s="357">
        <f t="shared" ca="1" si="365"/>
        <v>-82.83051820394769</v>
      </c>
      <c r="O795" s="343"/>
      <c r="P795" s="363">
        <f t="shared" ca="1" si="366"/>
        <v>23</v>
      </c>
      <c r="Q795" s="357">
        <f t="shared" ca="1" si="367"/>
        <v>0</v>
      </c>
      <c r="R795" s="359">
        <f t="shared" ca="1" si="368"/>
        <v>0</v>
      </c>
      <c r="S795" s="360">
        <f t="shared" ca="1" si="369"/>
        <v>8.3819999999999997</v>
      </c>
      <c r="T795" s="357">
        <f t="shared" ca="1" si="349"/>
        <v>82.227419999999995</v>
      </c>
      <c r="U795" s="364">
        <f t="shared" ca="1" si="350"/>
        <v>0</v>
      </c>
      <c r="V795" s="359">
        <f t="shared" ca="1" si="351"/>
        <v>1.2261370177374245</v>
      </c>
      <c r="W795" s="357">
        <f t="shared" ca="1" si="352"/>
        <v>56.092854508348459</v>
      </c>
      <c r="X795" s="343"/>
      <c r="Y795" s="367" t="str">
        <f t="shared" ca="1" si="370"/>
        <v/>
      </c>
      <c r="Z795" s="368" t="str">
        <f t="shared" ca="1" si="371"/>
        <v/>
      </c>
      <c r="AA795" s="369" t="str">
        <f t="shared" ca="1" si="372"/>
        <v/>
      </c>
      <c r="AB795" s="344"/>
      <c r="AC795" s="363" t="e">
        <f t="shared" ca="1" si="373"/>
        <v>#N/A</v>
      </c>
      <c r="AD795" s="376" t="e">
        <f t="shared" ca="1" si="374"/>
        <v>#N/A</v>
      </c>
      <c r="AE795" s="377" t="e">
        <f t="shared" ca="1" si="353"/>
        <v>#N/A</v>
      </c>
      <c r="AF795" s="344"/>
      <c r="AG795" s="359">
        <f t="shared" ca="1" si="375"/>
        <v>3.0412764166534441</v>
      </c>
      <c r="AH795" s="357">
        <f t="shared" ca="1" si="376"/>
        <v>-6.6920211752425303</v>
      </c>
    </row>
    <row r="796" spans="1:34" x14ac:dyDescent="0.2">
      <c r="A796" s="402">
        <f t="shared" ca="1" si="354"/>
        <v>1E-4</v>
      </c>
      <c r="B796" s="357">
        <f t="shared" ca="1" si="355"/>
        <v>35.307900000000451</v>
      </c>
      <c r="C796" s="342"/>
      <c r="D796" s="359">
        <f t="shared" ca="1" si="356"/>
        <v>-0.8352011403148798</v>
      </c>
      <c r="E796" s="360">
        <f t="shared" ca="1" si="357"/>
        <v>-3.1702621877321722</v>
      </c>
      <c r="F796" s="357">
        <f t="shared" ca="1" si="358"/>
        <v>3.2784330531135835</v>
      </c>
      <c r="G796" s="359">
        <f t="shared" ca="1" si="359"/>
        <v>16.378846469680894</v>
      </c>
      <c r="H796" s="360">
        <f t="shared" ca="1" si="360"/>
        <v>-130.210628684472</v>
      </c>
      <c r="I796" s="357">
        <f t="shared" ca="1" si="361"/>
        <v>131.23671145713314</v>
      </c>
      <c r="J796" s="359">
        <f t="shared" ca="1" si="362"/>
        <v>953.1802660510491</v>
      </c>
      <c r="K796" s="360">
        <f t="shared" ca="1" si="363"/>
        <v>-9.2904929239179133</v>
      </c>
      <c r="L796" s="357">
        <f t="shared" ca="1" si="348"/>
        <v>953.22554143702951</v>
      </c>
      <c r="M796" s="359">
        <f t="shared" ca="1" si="364"/>
        <v>-1.4456661967129716</v>
      </c>
      <c r="N796" s="357">
        <f t="shared" ca="1" si="365"/>
        <v>-82.830571656382716</v>
      </c>
      <c r="O796" s="343"/>
      <c r="P796" s="363">
        <f t="shared" ca="1" si="366"/>
        <v>23</v>
      </c>
      <c r="Q796" s="357">
        <f t="shared" ca="1" si="367"/>
        <v>0</v>
      </c>
      <c r="R796" s="359">
        <f t="shared" ca="1" si="368"/>
        <v>0</v>
      </c>
      <c r="S796" s="360">
        <f t="shared" ca="1" si="369"/>
        <v>8.3819999999999997</v>
      </c>
      <c r="T796" s="357">
        <f t="shared" ca="1" si="349"/>
        <v>82.227419999999995</v>
      </c>
      <c r="U796" s="364">
        <f t="shared" ca="1" si="350"/>
        <v>0</v>
      </c>
      <c r="V796" s="359">
        <f t="shared" ca="1" si="351"/>
        <v>1.2261386142975841</v>
      </c>
      <c r="W796" s="357">
        <f t="shared" ca="1" si="352"/>
        <v>56.093187524067858</v>
      </c>
      <c r="X796" s="343"/>
      <c r="Y796" s="367" t="str">
        <f t="shared" ca="1" si="370"/>
        <v/>
      </c>
      <c r="Z796" s="368" t="str">
        <f t="shared" ca="1" si="371"/>
        <v/>
      </c>
      <c r="AA796" s="369" t="str">
        <f t="shared" ca="1" si="372"/>
        <v/>
      </c>
      <c r="AB796" s="344"/>
      <c r="AC796" s="363" t="e">
        <f t="shared" ca="1" si="373"/>
        <v>#N/A</v>
      </c>
      <c r="AD796" s="376" t="e">
        <f t="shared" ca="1" si="374"/>
        <v>#N/A</v>
      </c>
      <c r="AE796" s="377" t="e">
        <f t="shared" ca="1" si="353"/>
        <v>#N/A</v>
      </c>
      <c r="AF796" s="344"/>
      <c r="AG796" s="359">
        <f t="shared" ca="1" si="375"/>
        <v>3.0412378288041957</v>
      </c>
      <c r="AH796" s="357">
        <f t="shared" ca="1" si="376"/>
        <v>-6.6920609053147775</v>
      </c>
    </row>
    <row r="797" spans="1:34" x14ac:dyDescent="0.2">
      <c r="A797" s="402">
        <f t="shared" ca="1" si="354"/>
        <v>1E-4</v>
      </c>
      <c r="B797" s="357">
        <f t="shared" ca="1" si="355"/>
        <v>35.308000000000455</v>
      </c>
      <c r="C797" s="342"/>
      <c r="D797" s="359">
        <f t="shared" ca="1" si="356"/>
        <v>-0.83519990440364189</v>
      </c>
      <c r="E797" s="360">
        <f t="shared" ca="1" si="357"/>
        <v>-3.1702219893249977</v>
      </c>
      <c r="F797" s="357">
        <f t="shared" ca="1" si="358"/>
        <v>3.2783938661966165</v>
      </c>
      <c r="G797" s="359">
        <f t="shared" ca="1" si="359"/>
        <v>16.378762949690454</v>
      </c>
      <c r="H797" s="360">
        <f t="shared" ca="1" si="360"/>
        <v>-130.21094570667094</v>
      </c>
      <c r="I797" s="357">
        <f t="shared" ca="1" si="361"/>
        <v>131.23701557711436</v>
      </c>
      <c r="J797" s="359">
        <f t="shared" ca="1" si="362"/>
        <v>953.1802660510491</v>
      </c>
      <c r="K797" s="360">
        <f t="shared" ca="1" si="363"/>
        <v>-9.3035140026374705</v>
      </c>
      <c r="L797" s="357">
        <f t="shared" ca="1" si="348"/>
        <v>953.22566843426227</v>
      </c>
      <c r="M797" s="359">
        <f t="shared" ca="1" si="364"/>
        <v>-1.4456671296248751</v>
      </c>
      <c r="N797" s="357">
        <f t="shared" ca="1" si="365"/>
        <v>-82.83062510829744</v>
      </c>
      <c r="O797" s="343"/>
      <c r="P797" s="363">
        <f t="shared" ca="1" si="366"/>
        <v>23</v>
      </c>
      <c r="Q797" s="357">
        <f t="shared" ca="1" si="367"/>
        <v>0</v>
      </c>
      <c r="R797" s="359">
        <f t="shared" ca="1" si="368"/>
        <v>0</v>
      </c>
      <c r="S797" s="360">
        <f t="shared" ca="1" si="369"/>
        <v>8.3819999999999997</v>
      </c>
      <c r="T797" s="357">
        <f t="shared" ca="1" si="349"/>
        <v>82.227419999999995</v>
      </c>
      <c r="U797" s="364">
        <f t="shared" ca="1" si="350"/>
        <v>0</v>
      </c>
      <c r="V797" s="359">
        <f t="shared" ca="1" si="351"/>
        <v>1.2261402108637098</v>
      </c>
      <c r="W797" s="357">
        <f t="shared" ca="1" si="352"/>
        <v>56.093520538041069</v>
      </c>
      <c r="X797" s="343"/>
      <c r="Y797" s="367" t="str">
        <f t="shared" ca="1" si="370"/>
        <v/>
      </c>
      <c r="Z797" s="368" t="str">
        <f t="shared" ca="1" si="371"/>
        <v/>
      </c>
      <c r="AA797" s="369" t="str">
        <f t="shared" ca="1" si="372"/>
        <v/>
      </c>
      <c r="AB797" s="344"/>
      <c r="AC797" s="363" t="e">
        <f t="shared" ca="1" si="373"/>
        <v>#N/A</v>
      </c>
      <c r="AD797" s="376" t="e">
        <f t="shared" ca="1" si="374"/>
        <v>#N/A</v>
      </c>
      <c r="AE797" s="377" t="e">
        <f t="shared" ca="1" si="353"/>
        <v>#N/A</v>
      </c>
      <c r="AF797" s="344"/>
      <c r="AG797" s="359">
        <f t="shared" ca="1" si="375"/>
        <v>3.0411992411436826</v>
      </c>
      <c r="AH797" s="357">
        <f t="shared" ca="1" si="376"/>
        <v>-6.6921006351786998</v>
      </c>
    </row>
    <row r="798" spans="1:34" x14ac:dyDescent="0.2">
      <c r="A798" s="402">
        <f t="shared" ca="1" si="354"/>
        <v>1E-4</v>
      </c>
      <c r="B798" s="357">
        <f t="shared" ca="1" si="355"/>
        <v>35.308100000000458</v>
      </c>
      <c r="C798" s="342"/>
      <c r="D798" s="359">
        <f t="shared" ca="1" si="356"/>
        <v>-0.8351986684524233</v>
      </c>
      <c r="E798" s="360">
        <f t="shared" ca="1" si="357"/>
        <v>-3.1701817911286305</v>
      </c>
      <c r="F798" s="357">
        <f t="shared" ca="1" si="358"/>
        <v>3.2783546794982743</v>
      </c>
      <c r="G798" s="359">
        <f t="shared" ca="1" si="359"/>
        <v>16.37867942982361</v>
      </c>
      <c r="H798" s="360">
        <f t="shared" ca="1" si="360"/>
        <v>-130.21126272485006</v>
      </c>
      <c r="I798" s="357">
        <f t="shared" ca="1" si="361"/>
        <v>131.23731969323686</v>
      </c>
      <c r="J798" s="359">
        <f t="shared" ca="1" si="362"/>
        <v>953.1802660510491</v>
      </c>
      <c r="K798" s="360">
        <f t="shared" ca="1" si="363"/>
        <v>-9.3165351130590466</v>
      </c>
      <c r="L798" s="357">
        <f t="shared" ca="1" si="348"/>
        <v>953.22579560965596</v>
      </c>
      <c r="M798" s="359">
        <f t="shared" ca="1" si="364"/>
        <v>-1.4456680625276976</v>
      </c>
      <c r="N798" s="357">
        <f t="shared" ca="1" si="365"/>
        <v>-82.830678559691876</v>
      </c>
      <c r="O798" s="343"/>
      <c r="P798" s="363">
        <f t="shared" ca="1" si="366"/>
        <v>23</v>
      </c>
      <c r="Q798" s="357">
        <f t="shared" ca="1" si="367"/>
        <v>0</v>
      </c>
      <c r="R798" s="359">
        <f t="shared" ca="1" si="368"/>
        <v>0</v>
      </c>
      <c r="S798" s="360">
        <f t="shared" ca="1" si="369"/>
        <v>8.3819999999999997</v>
      </c>
      <c r="T798" s="357">
        <f t="shared" ca="1" si="349"/>
        <v>82.227419999999995</v>
      </c>
      <c r="U798" s="364">
        <f t="shared" ca="1" si="350"/>
        <v>0</v>
      </c>
      <c r="V798" s="359">
        <f t="shared" ca="1" si="351"/>
        <v>1.2261418074358033</v>
      </c>
      <c r="W798" s="357">
        <f t="shared" ca="1" si="352"/>
        <v>56.09385355026815</v>
      </c>
      <c r="X798" s="343"/>
      <c r="Y798" s="367" t="str">
        <f t="shared" ca="1" si="370"/>
        <v/>
      </c>
      <c r="Z798" s="368" t="str">
        <f t="shared" ca="1" si="371"/>
        <v/>
      </c>
      <c r="AA798" s="369" t="str">
        <f t="shared" ca="1" si="372"/>
        <v/>
      </c>
      <c r="AB798" s="344"/>
      <c r="AC798" s="363" t="e">
        <f t="shared" ca="1" si="373"/>
        <v>#N/A</v>
      </c>
      <c r="AD798" s="376" t="e">
        <f t="shared" ca="1" si="374"/>
        <v>#N/A</v>
      </c>
      <c r="AE798" s="377" t="e">
        <f t="shared" ca="1" si="353"/>
        <v>#N/A</v>
      </c>
      <c r="AF798" s="344"/>
      <c r="AG798" s="359">
        <f t="shared" ca="1" si="375"/>
        <v>3.0411606536719091</v>
      </c>
      <c r="AH798" s="357">
        <f t="shared" ca="1" si="376"/>
        <v>-6.6921403648342963</v>
      </c>
    </row>
    <row r="799" spans="1:34" x14ac:dyDescent="0.2">
      <c r="A799" s="402">
        <f t="shared" ca="1" si="354"/>
        <v>1E-4</v>
      </c>
      <c r="B799" s="357">
        <f t="shared" ca="1" si="355"/>
        <v>35.308200000000461</v>
      </c>
      <c r="C799" s="342"/>
      <c r="D799" s="359">
        <f t="shared" ca="1" si="356"/>
        <v>-0.83519743246122646</v>
      </c>
      <c r="E799" s="360">
        <f t="shared" ca="1" si="357"/>
        <v>-3.1701415931430663</v>
      </c>
      <c r="F799" s="357">
        <f t="shared" ca="1" si="358"/>
        <v>3.2783154930185541</v>
      </c>
      <c r="G799" s="359">
        <f t="shared" ca="1" si="359"/>
        <v>16.378595910080364</v>
      </c>
      <c r="H799" s="360">
        <f t="shared" ca="1" si="360"/>
        <v>-130.21157973900938</v>
      </c>
      <c r="I799" s="357">
        <f t="shared" ca="1" si="361"/>
        <v>131.23762380550062</v>
      </c>
      <c r="J799" s="359">
        <f t="shared" ca="1" si="362"/>
        <v>953.1802660510491</v>
      </c>
      <c r="K799" s="360">
        <f t="shared" ca="1" si="363"/>
        <v>-9.32955625518224</v>
      </c>
      <c r="L799" s="357">
        <f t="shared" ca="1" si="348"/>
        <v>953.22592296321204</v>
      </c>
      <c r="M799" s="359">
        <f t="shared" ca="1" si="364"/>
        <v>-1.4456689954214395</v>
      </c>
      <c r="N799" s="357">
        <f t="shared" ca="1" si="365"/>
        <v>-82.83073201056601</v>
      </c>
      <c r="O799" s="343"/>
      <c r="P799" s="363">
        <f t="shared" ca="1" si="366"/>
        <v>23</v>
      </c>
      <c r="Q799" s="357">
        <f t="shared" ca="1" si="367"/>
        <v>0</v>
      </c>
      <c r="R799" s="359">
        <f t="shared" ca="1" si="368"/>
        <v>0</v>
      </c>
      <c r="S799" s="360">
        <f t="shared" ca="1" si="369"/>
        <v>8.3819999999999997</v>
      </c>
      <c r="T799" s="357">
        <f t="shared" ca="1" si="349"/>
        <v>82.227419999999995</v>
      </c>
      <c r="U799" s="364">
        <f t="shared" ca="1" si="350"/>
        <v>0</v>
      </c>
      <c r="V799" s="359">
        <f t="shared" ca="1" si="351"/>
        <v>1.2261434040138635</v>
      </c>
      <c r="W799" s="357">
        <f t="shared" ca="1" si="352"/>
        <v>56.09418656074903</v>
      </c>
      <c r="X799" s="343"/>
      <c r="Y799" s="367" t="str">
        <f t="shared" ca="1" si="370"/>
        <v/>
      </c>
      <c r="Z799" s="368" t="str">
        <f t="shared" ca="1" si="371"/>
        <v/>
      </c>
      <c r="AA799" s="369" t="str">
        <f t="shared" ca="1" si="372"/>
        <v/>
      </c>
      <c r="AB799" s="344"/>
      <c r="AC799" s="363" t="e">
        <f t="shared" ca="1" si="373"/>
        <v>#N/A</v>
      </c>
      <c r="AD799" s="376" t="e">
        <f t="shared" ca="1" si="374"/>
        <v>#N/A</v>
      </c>
      <c r="AE799" s="377" t="e">
        <f t="shared" ca="1" si="353"/>
        <v>#N/A</v>
      </c>
      <c r="AF799" s="344"/>
      <c r="AG799" s="359">
        <f t="shared" ca="1" si="375"/>
        <v>3.041122066388863</v>
      </c>
      <c r="AH799" s="357">
        <f t="shared" ca="1" si="376"/>
        <v>-6.6921800942815741</v>
      </c>
    </row>
    <row r="800" spans="1:34" x14ac:dyDescent="0.2">
      <c r="A800" s="402">
        <f t="shared" ca="1" si="354"/>
        <v>1E-4</v>
      </c>
      <c r="B800" s="357">
        <f t="shared" ca="1" si="355"/>
        <v>35.308300000000465</v>
      </c>
      <c r="C800" s="342"/>
      <c r="D800" s="359">
        <f t="shared" ca="1" si="356"/>
        <v>-0.83519619643005061</v>
      </c>
      <c r="E800" s="360">
        <f t="shared" ca="1" si="357"/>
        <v>-3.1701013953683113</v>
      </c>
      <c r="F800" s="357">
        <f t="shared" ca="1" si="358"/>
        <v>3.2782763067574607</v>
      </c>
      <c r="G800" s="359">
        <f t="shared" ca="1" si="359"/>
        <v>16.37851239046072</v>
      </c>
      <c r="H800" s="360">
        <f t="shared" ca="1" si="360"/>
        <v>-130.21189674914891</v>
      </c>
      <c r="I800" s="357">
        <f t="shared" ca="1" si="361"/>
        <v>131.23792791390562</v>
      </c>
      <c r="J800" s="359">
        <f t="shared" ca="1" si="362"/>
        <v>953.1802660510491</v>
      </c>
      <c r="K800" s="360">
        <f t="shared" ca="1" si="363"/>
        <v>-9.3425774290066474</v>
      </c>
      <c r="L800" s="357">
        <f t="shared" ca="1" si="348"/>
        <v>953.22605049493154</v>
      </c>
      <c r="M800" s="359">
        <f t="shared" ca="1" si="364"/>
        <v>-1.4456699283061007</v>
      </c>
      <c r="N800" s="357">
        <f t="shared" ca="1" si="365"/>
        <v>-82.830785460919884</v>
      </c>
      <c r="O800" s="343"/>
      <c r="P800" s="363">
        <f t="shared" ca="1" si="366"/>
        <v>23</v>
      </c>
      <c r="Q800" s="357">
        <f t="shared" ca="1" si="367"/>
        <v>0</v>
      </c>
      <c r="R800" s="359">
        <f t="shared" ca="1" si="368"/>
        <v>0</v>
      </c>
      <c r="S800" s="360">
        <f t="shared" ca="1" si="369"/>
        <v>8.3819999999999997</v>
      </c>
      <c r="T800" s="357">
        <f t="shared" ca="1" si="349"/>
        <v>82.227419999999995</v>
      </c>
      <c r="U800" s="364">
        <f t="shared" ca="1" si="350"/>
        <v>0</v>
      </c>
      <c r="V800" s="359">
        <f t="shared" ca="1" si="351"/>
        <v>1.2261450005978907</v>
      </c>
      <c r="W800" s="357">
        <f t="shared" ca="1" si="352"/>
        <v>56.094519569483666</v>
      </c>
      <c r="X800" s="343"/>
      <c r="Y800" s="367" t="str">
        <f t="shared" ca="1" si="370"/>
        <v/>
      </c>
      <c r="Z800" s="368" t="str">
        <f t="shared" ca="1" si="371"/>
        <v/>
      </c>
      <c r="AA800" s="369" t="str">
        <f t="shared" ca="1" si="372"/>
        <v/>
      </c>
      <c r="AB800" s="344"/>
      <c r="AC800" s="363" t="e">
        <f t="shared" ca="1" si="373"/>
        <v>#N/A</v>
      </c>
      <c r="AD800" s="376" t="e">
        <f t="shared" ca="1" si="374"/>
        <v>#N/A</v>
      </c>
      <c r="AE800" s="377" t="e">
        <f t="shared" ca="1" si="353"/>
        <v>#N/A</v>
      </c>
      <c r="AF800" s="344"/>
      <c r="AG800" s="359">
        <f t="shared" ca="1" si="375"/>
        <v>3.0410834792945547</v>
      </c>
      <c r="AH800" s="357">
        <f t="shared" ca="1" si="376"/>
        <v>-6.6922198235205244</v>
      </c>
    </row>
    <row r="801" spans="1:34" x14ac:dyDescent="0.2">
      <c r="A801" s="402">
        <f t="shared" ca="1" si="354"/>
        <v>1E-4</v>
      </c>
      <c r="B801" s="357">
        <f t="shared" ca="1" si="355"/>
        <v>35.308400000000468</v>
      </c>
      <c r="C801" s="342"/>
      <c r="D801" s="359">
        <f t="shared" ca="1" si="356"/>
        <v>-0.83519496035889518</v>
      </c>
      <c r="E801" s="360">
        <f t="shared" ca="1" si="357"/>
        <v>-3.1700611978043725</v>
      </c>
      <c r="F801" s="357">
        <f t="shared" ca="1" si="358"/>
        <v>3.2782371207150023</v>
      </c>
      <c r="G801" s="359">
        <f t="shared" ca="1" si="359"/>
        <v>16.378428870964683</v>
      </c>
      <c r="H801" s="360">
        <f t="shared" ca="1" si="360"/>
        <v>-130.21221375526869</v>
      </c>
      <c r="I801" s="357">
        <f t="shared" ca="1" si="361"/>
        <v>131.23823201845198</v>
      </c>
      <c r="J801" s="359">
        <f t="shared" ca="1" si="362"/>
        <v>953.1802660510491</v>
      </c>
      <c r="K801" s="360">
        <f t="shared" ca="1" si="363"/>
        <v>-9.3555986345318676</v>
      </c>
      <c r="L801" s="357">
        <f t="shared" ca="1" si="348"/>
        <v>953.22617820481582</v>
      </c>
      <c r="M801" s="359">
        <f t="shared" ca="1" si="364"/>
        <v>-1.4456708611816815</v>
      </c>
      <c r="N801" s="357">
        <f t="shared" ca="1" si="365"/>
        <v>-82.830838910753471</v>
      </c>
      <c r="O801" s="343"/>
      <c r="P801" s="363">
        <f t="shared" ca="1" si="366"/>
        <v>23</v>
      </c>
      <c r="Q801" s="357">
        <f t="shared" ca="1" si="367"/>
        <v>0</v>
      </c>
      <c r="R801" s="359">
        <f t="shared" ca="1" si="368"/>
        <v>0</v>
      </c>
      <c r="S801" s="360">
        <f t="shared" ca="1" si="369"/>
        <v>8.3819999999999997</v>
      </c>
      <c r="T801" s="357">
        <f t="shared" ca="1" si="349"/>
        <v>82.227419999999995</v>
      </c>
      <c r="U801" s="364">
        <f t="shared" ca="1" si="350"/>
        <v>0</v>
      </c>
      <c r="V801" s="359">
        <f t="shared" ca="1" si="351"/>
        <v>1.2261465971878844</v>
      </c>
      <c r="W801" s="357">
        <f t="shared" ca="1" si="352"/>
        <v>56.0948525764721</v>
      </c>
      <c r="X801" s="343"/>
      <c r="Y801" s="367" t="str">
        <f t="shared" ca="1" si="370"/>
        <v/>
      </c>
      <c r="Z801" s="368" t="str">
        <f t="shared" ca="1" si="371"/>
        <v/>
      </c>
      <c r="AA801" s="369" t="str">
        <f t="shared" ca="1" si="372"/>
        <v/>
      </c>
      <c r="AB801" s="344"/>
      <c r="AC801" s="363" t="e">
        <f t="shared" ca="1" si="373"/>
        <v>#N/A</v>
      </c>
      <c r="AD801" s="376" t="e">
        <f t="shared" ca="1" si="374"/>
        <v>#N/A</v>
      </c>
      <c r="AE801" s="377" t="e">
        <f t="shared" ca="1" si="353"/>
        <v>#N/A</v>
      </c>
      <c r="AF801" s="344"/>
      <c r="AG801" s="359">
        <f t="shared" ca="1" si="375"/>
        <v>3.0410448923889932</v>
      </c>
      <c r="AH801" s="357">
        <f t="shared" ca="1" si="376"/>
        <v>-6.6922595525511417</v>
      </c>
    </row>
    <row r="802" spans="1:34" x14ac:dyDescent="0.2">
      <c r="A802" s="402">
        <f t="shared" ca="1" si="354"/>
        <v>1E-4</v>
      </c>
      <c r="B802" s="357">
        <f t="shared" ca="1" si="355"/>
        <v>35.308500000000471</v>
      </c>
      <c r="C802" s="342"/>
      <c r="D802" s="359">
        <f t="shared" ca="1" si="356"/>
        <v>-0.83519372424776261</v>
      </c>
      <c r="E802" s="360">
        <f t="shared" ca="1" si="357"/>
        <v>-3.1700210004512446</v>
      </c>
      <c r="F802" s="357">
        <f t="shared" ca="1" si="358"/>
        <v>3.2781979348911743</v>
      </c>
      <c r="G802" s="359">
        <f t="shared" ca="1" si="359"/>
        <v>16.378345351592259</v>
      </c>
      <c r="H802" s="360">
        <f t="shared" ca="1" si="360"/>
        <v>-130.21253075736874</v>
      </c>
      <c r="I802" s="357">
        <f t="shared" ca="1" si="361"/>
        <v>131.23853611913967</v>
      </c>
      <c r="J802" s="359">
        <f t="shared" ca="1" si="362"/>
        <v>953.1802660510491</v>
      </c>
      <c r="K802" s="360">
        <f t="shared" ca="1" si="363"/>
        <v>-9.3686198717574989</v>
      </c>
      <c r="L802" s="357">
        <f t="shared" ca="1" si="348"/>
        <v>953.22630609286603</v>
      </c>
      <c r="M802" s="359">
        <f t="shared" ca="1" si="364"/>
        <v>-1.4456717940481822</v>
      </c>
      <c r="N802" s="357">
        <f t="shared" ca="1" si="365"/>
        <v>-82.830892360066812</v>
      </c>
      <c r="O802" s="343"/>
      <c r="P802" s="363">
        <f t="shared" ca="1" si="366"/>
        <v>23</v>
      </c>
      <c r="Q802" s="357">
        <f t="shared" ca="1" si="367"/>
        <v>0</v>
      </c>
      <c r="R802" s="359">
        <f t="shared" ca="1" si="368"/>
        <v>0</v>
      </c>
      <c r="S802" s="360">
        <f t="shared" ca="1" si="369"/>
        <v>8.3819999999999997</v>
      </c>
      <c r="T802" s="357">
        <f t="shared" ca="1" si="349"/>
        <v>82.227419999999995</v>
      </c>
      <c r="U802" s="364">
        <f t="shared" ca="1" si="350"/>
        <v>0</v>
      </c>
      <c r="V802" s="359">
        <f t="shared" ca="1" si="351"/>
        <v>1.2261481937838457</v>
      </c>
      <c r="W802" s="357">
        <f t="shared" ca="1" si="352"/>
        <v>56.095185581714325</v>
      </c>
      <c r="X802" s="343"/>
      <c r="Y802" s="367" t="str">
        <f t="shared" ca="1" si="370"/>
        <v/>
      </c>
      <c r="Z802" s="368" t="str">
        <f t="shared" ca="1" si="371"/>
        <v/>
      </c>
      <c r="AA802" s="369" t="str">
        <f t="shared" ca="1" si="372"/>
        <v/>
      </c>
      <c r="AB802" s="344"/>
      <c r="AC802" s="363" t="e">
        <f t="shared" ca="1" si="373"/>
        <v>#N/A</v>
      </c>
      <c r="AD802" s="376" t="e">
        <f t="shared" ca="1" si="374"/>
        <v>#N/A</v>
      </c>
      <c r="AE802" s="377" t="e">
        <f t="shared" ca="1" si="353"/>
        <v>#N/A</v>
      </c>
      <c r="AF802" s="344"/>
      <c r="AG802" s="359">
        <f t="shared" ca="1" si="375"/>
        <v>3.0410063056721715</v>
      </c>
      <c r="AH802" s="357">
        <f t="shared" ca="1" si="376"/>
        <v>-6.6922992813734314</v>
      </c>
    </row>
    <row r="803" spans="1:34" x14ac:dyDescent="0.2">
      <c r="A803" s="402">
        <f t="shared" ca="1" si="354"/>
        <v>1E-4</v>
      </c>
      <c r="B803" s="357">
        <f t="shared" ca="1" si="355"/>
        <v>35.308600000000474</v>
      </c>
      <c r="C803" s="342"/>
      <c r="D803" s="359">
        <f t="shared" ca="1" si="356"/>
        <v>-0.83519248809665125</v>
      </c>
      <c r="E803" s="360">
        <f t="shared" ca="1" si="357"/>
        <v>-3.1699808033089276</v>
      </c>
      <c r="F803" s="357">
        <f t="shared" ca="1" si="358"/>
        <v>3.2781587492859749</v>
      </c>
      <c r="G803" s="359">
        <f t="shared" ca="1" si="359"/>
        <v>16.378261832343448</v>
      </c>
      <c r="H803" s="360">
        <f t="shared" ca="1" si="360"/>
        <v>-130.21284775544908</v>
      </c>
      <c r="I803" s="357">
        <f t="shared" ca="1" si="361"/>
        <v>131.23884021596868</v>
      </c>
      <c r="J803" s="359">
        <f t="shared" ca="1" si="362"/>
        <v>953.1802660510491</v>
      </c>
      <c r="K803" s="360">
        <f t="shared" ca="1" si="363"/>
        <v>-9.3816411406831399</v>
      </c>
      <c r="L803" s="357">
        <f t="shared" ca="1" si="348"/>
        <v>953.2264341590834</v>
      </c>
      <c r="M803" s="359">
        <f t="shared" ca="1" si="364"/>
        <v>-1.4456727269056027</v>
      </c>
      <c r="N803" s="357">
        <f t="shared" ca="1" si="365"/>
        <v>-82.83094580885988</v>
      </c>
      <c r="O803" s="343"/>
      <c r="P803" s="363">
        <f t="shared" ca="1" si="366"/>
        <v>23</v>
      </c>
      <c r="Q803" s="357">
        <f t="shared" ca="1" si="367"/>
        <v>0</v>
      </c>
      <c r="R803" s="359">
        <f t="shared" ca="1" si="368"/>
        <v>0</v>
      </c>
      <c r="S803" s="360">
        <f t="shared" ca="1" si="369"/>
        <v>8.3819999999999997</v>
      </c>
      <c r="T803" s="357">
        <f t="shared" ca="1" si="349"/>
        <v>82.227419999999995</v>
      </c>
      <c r="U803" s="364">
        <f t="shared" ca="1" si="350"/>
        <v>0</v>
      </c>
      <c r="V803" s="359">
        <f t="shared" ca="1" si="351"/>
        <v>1.2261497903857732</v>
      </c>
      <c r="W803" s="357">
        <f t="shared" ca="1" si="352"/>
        <v>56.095518585210264</v>
      </c>
      <c r="X803" s="343"/>
      <c r="Y803" s="367" t="str">
        <f t="shared" ca="1" si="370"/>
        <v/>
      </c>
      <c r="Z803" s="368" t="str">
        <f t="shared" ca="1" si="371"/>
        <v/>
      </c>
      <c r="AA803" s="369" t="str">
        <f t="shared" ca="1" si="372"/>
        <v/>
      </c>
      <c r="AB803" s="344"/>
      <c r="AC803" s="363" t="e">
        <f t="shared" ca="1" si="373"/>
        <v>#N/A</v>
      </c>
      <c r="AD803" s="376" t="e">
        <f t="shared" ca="1" si="374"/>
        <v>#N/A</v>
      </c>
      <c r="AE803" s="377" t="e">
        <f t="shared" ca="1" si="353"/>
        <v>#N/A</v>
      </c>
      <c r="AF803" s="344"/>
      <c r="AG803" s="359">
        <f t="shared" ca="1" si="375"/>
        <v>3.0409677191440903</v>
      </c>
      <c r="AH803" s="357">
        <f t="shared" ca="1" si="376"/>
        <v>-6.6923390099873927</v>
      </c>
    </row>
    <row r="804" spans="1:34" x14ac:dyDescent="0.2">
      <c r="A804" s="402">
        <f t="shared" ca="1" si="354"/>
        <v>1E-4</v>
      </c>
      <c r="B804" s="357">
        <f t="shared" ca="1" si="355"/>
        <v>35.308700000000478</v>
      </c>
      <c r="C804" s="342"/>
      <c r="D804" s="359">
        <f t="shared" ca="1" si="356"/>
        <v>-0.83519125190556343</v>
      </c>
      <c r="E804" s="360">
        <f t="shared" ca="1" si="357"/>
        <v>-3.1699406063774314</v>
      </c>
      <c r="F804" s="357">
        <f t="shared" ca="1" si="358"/>
        <v>3.2781195638994167</v>
      </c>
      <c r="G804" s="359">
        <f t="shared" ca="1" si="359"/>
        <v>16.378178313218257</v>
      </c>
      <c r="H804" s="360">
        <f t="shared" ca="1" si="360"/>
        <v>-130.2131647495097</v>
      </c>
      <c r="I804" s="357">
        <f t="shared" ca="1" si="361"/>
        <v>131.23914430893905</v>
      </c>
      <c r="J804" s="359">
        <f t="shared" ca="1" si="362"/>
        <v>953.1802660510491</v>
      </c>
      <c r="K804" s="360">
        <f t="shared" ca="1" si="363"/>
        <v>-9.3946624413083875</v>
      </c>
      <c r="L804" s="357">
        <f t="shared" ca="1" si="348"/>
        <v>953.22656240346919</v>
      </c>
      <c r="M804" s="359">
        <f t="shared" ca="1" si="364"/>
        <v>-1.445673659753943</v>
      </c>
      <c r="N804" s="357">
        <f t="shared" ca="1" si="365"/>
        <v>-82.830999257132717</v>
      </c>
      <c r="O804" s="343"/>
      <c r="P804" s="363">
        <f t="shared" ca="1" si="366"/>
        <v>23</v>
      </c>
      <c r="Q804" s="357">
        <f t="shared" ca="1" si="367"/>
        <v>0</v>
      </c>
      <c r="R804" s="359">
        <f t="shared" ca="1" si="368"/>
        <v>0</v>
      </c>
      <c r="S804" s="360">
        <f t="shared" ca="1" si="369"/>
        <v>8.3819999999999997</v>
      </c>
      <c r="T804" s="357">
        <f t="shared" ca="1" si="349"/>
        <v>82.227419999999995</v>
      </c>
      <c r="U804" s="364">
        <f t="shared" ca="1" si="350"/>
        <v>0</v>
      </c>
      <c r="V804" s="359">
        <f t="shared" ca="1" si="351"/>
        <v>1.2261513869936675</v>
      </c>
      <c r="W804" s="357">
        <f t="shared" ca="1" si="352"/>
        <v>56.09585158695991</v>
      </c>
      <c r="X804" s="343"/>
      <c r="Y804" s="367" t="str">
        <f t="shared" ca="1" si="370"/>
        <v/>
      </c>
      <c r="Z804" s="368" t="str">
        <f t="shared" ca="1" si="371"/>
        <v/>
      </c>
      <c r="AA804" s="369" t="str">
        <f t="shared" ca="1" si="372"/>
        <v/>
      </c>
      <c r="AB804" s="344"/>
      <c r="AC804" s="363" t="e">
        <f t="shared" ca="1" si="373"/>
        <v>#N/A</v>
      </c>
      <c r="AD804" s="376" t="e">
        <f t="shared" ca="1" si="374"/>
        <v>#N/A</v>
      </c>
      <c r="AE804" s="377" t="e">
        <f t="shared" ca="1" si="353"/>
        <v>#N/A</v>
      </c>
      <c r="AF804" s="344"/>
      <c r="AG804" s="359">
        <f t="shared" ca="1" si="375"/>
        <v>3.0409291328047621</v>
      </c>
      <c r="AH804" s="357">
        <f t="shared" ca="1" si="376"/>
        <v>-6.6923787383930167</v>
      </c>
    </row>
    <row r="805" spans="1:34" x14ac:dyDescent="0.2">
      <c r="A805" s="402">
        <f t="shared" ca="1" si="354"/>
        <v>1E-4</v>
      </c>
      <c r="B805" s="357">
        <f t="shared" ca="1" si="355"/>
        <v>35.308800000000481</v>
      </c>
      <c r="C805" s="342"/>
      <c r="D805" s="359">
        <f t="shared" ca="1" si="356"/>
        <v>-0.83519001567449902</v>
      </c>
      <c r="E805" s="360">
        <f t="shared" ca="1" si="357"/>
        <v>-3.1699004096567558</v>
      </c>
      <c r="F805" s="357">
        <f t="shared" ca="1" si="358"/>
        <v>3.2780803787314974</v>
      </c>
      <c r="G805" s="359">
        <f t="shared" ca="1" si="359"/>
        <v>16.37809479421669</v>
      </c>
      <c r="H805" s="360">
        <f t="shared" ca="1" si="360"/>
        <v>-130.21348173955067</v>
      </c>
      <c r="I805" s="357">
        <f t="shared" ca="1" si="361"/>
        <v>131.23944839805083</v>
      </c>
      <c r="J805" s="359">
        <f t="shared" ca="1" si="362"/>
        <v>953.1802660510491</v>
      </c>
      <c r="K805" s="360">
        <f t="shared" ca="1" si="363"/>
        <v>-9.40768377363284</v>
      </c>
      <c r="L805" s="357">
        <f t="shared" ca="1" si="348"/>
        <v>953.22669082602454</v>
      </c>
      <c r="M805" s="359">
        <f t="shared" ca="1" si="364"/>
        <v>-1.4456745925932035</v>
      </c>
      <c r="N805" s="357">
        <f t="shared" ca="1" si="365"/>
        <v>-82.831052704885309</v>
      </c>
      <c r="O805" s="343"/>
      <c r="P805" s="363">
        <f t="shared" ca="1" si="366"/>
        <v>23</v>
      </c>
      <c r="Q805" s="357">
        <f t="shared" ca="1" si="367"/>
        <v>0</v>
      </c>
      <c r="R805" s="359">
        <f t="shared" ca="1" si="368"/>
        <v>0</v>
      </c>
      <c r="S805" s="360">
        <f t="shared" ca="1" si="369"/>
        <v>8.3819999999999997</v>
      </c>
      <c r="T805" s="357">
        <f t="shared" ca="1" si="349"/>
        <v>82.227419999999995</v>
      </c>
      <c r="U805" s="364">
        <f t="shared" ca="1" si="350"/>
        <v>0</v>
      </c>
      <c r="V805" s="359">
        <f t="shared" ca="1" si="351"/>
        <v>1.2261529836075289</v>
      </c>
      <c r="W805" s="357">
        <f t="shared" ca="1" si="352"/>
        <v>56.096184586963332</v>
      </c>
      <c r="X805" s="343"/>
      <c r="Y805" s="367" t="str">
        <f t="shared" ca="1" si="370"/>
        <v/>
      </c>
      <c r="Z805" s="368" t="str">
        <f t="shared" ca="1" si="371"/>
        <v/>
      </c>
      <c r="AA805" s="369" t="str">
        <f t="shared" ca="1" si="372"/>
        <v/>
      </c>
      <c r="AB805" s="344"/>
      <c r="AC805" s="363" t="e">
        <f t="shared" ca="1" si="373"/>
        <v>#N/A</v>
      </c>
      <c r="AD805" s="376" t="e">
        <f t="shared" ca="1" si="374"/>
        <v>#N/A</v>
      </c>
      <c r="AE805" s="377" t="e">
        <f t="shared" ca="1" si="353"/>
        <v>#N/A</v>
      </c>
      <c r="AF805" s="344"/>
      <c r="AG805" s="359">
        <f t="shared" ca="1" si="375"/>
        <v>3.0408905466541842</v>
      </c>
      <c r="AH805" s="357">
        <f t="shared" ca="1" si="376"/>
        <v>-6.6924184665903024</v>
      </c>
    </row>
    <row r="806" spans="1:34" x14ac:dyDescent="0.2">
      <c r="A806" s="402">
        <f t="shared" ca="1" si="354"/>
        <v>1E-4</v>
      </c>
      <c r="B806" s="357">
        <f t="shared" ca="1" si="355"/>
        <v>35.308900000000484</v>
      </c>
      <c r="C806" s="342"/>
      <c r="D806" s="359">
        <f t="shared" ca="1" si="356"/>
        <v>-0.83518877940345915</v>
      </c>
      <c r="E806" s="360">
        <f t="shared" ca="1" si="357"/>
        <v>-3.1698602131468947</v>
      </c>
      <c r="F806" s="357">
        <f t="shared" ca="1" si="358"/>
        <v>3.2780411937822134</v>
      </c>
      <c r="G806" s="359">
        <f t="shared" ca="1" si="359"/>
        <v>16.37801127533875</v>
      </c>
      <c r="H806" s="360">
        <f t="shared" ca="1" si="360"/>
        <v>-130.21379872557199</v>
      </c>
      <c r="I806" s="357">
        <f t="shared" ca="1" si="361"/>
        <v>131.23975248330399</v>
      </c>
      <c r="J806" s="359">
        <f t="shared" ca="1" si="362"/>
        <v>953.1802660510491</v>
      </c>
      <c r="K806" s="360">
        <f t="shared" ca="1" si="363"/>
        <v>-9.4207051376560962</v>
      </c>
      <c r="L806" s="357">
        <f t="shared" ca="1" si="348"/>
        <v>953.22681942675081</v>
      </c>
      <c r="M806" s="359">
        <f t="shared" ca="1" si="364"/>
        <v>-1.4456755254233842</v>
      </c>
      <c r="N806" s="357">
        <f t="shared" ca="1" si="365"/>
        <v>-82.831106152117655</v>
      </c>
      <c r="O806" s="343"/>
      <c r="P806" s="363">
        <f t="shared" ca="1" si="366"/>
        <v>23</v>
      </c>
      <c r="Q806" s="357">
        <f t="shared" ca="1" si="367"/>
        <v>0</v>
      </c>
      <c r="R806" s="359">
        <f t="shared" ca="1" si="368"/>
        <v>0</v>
      </c>
      <c r="S806" s="360">
        <f t="shared" ca="1" si="369"/>
        <v>8.3819999999999997</v>
      </c>
      <c r="T806" s="357">
        <f t="shared" ca="1" si="349"/>
        <v>82.227419999999995</v>
      </c>
      <c r="U806" s="364">
        <f t="shared" ca="1" si="350"/>
        <v>0</v>
      </c>
      <c r="V806" s="359">
        <f t="shared" ca="1" si="351"/>
        <v>1.2261545802273568</v>
      </c>
      <c r="W806" s="357">
        <f t="shared" ca="1" si="352"/>
        <v>56.096517585220411</v>
      </c>
      <c r="X806" s="343"/>
      <c r="Y806" s="367" t="str">
        <f t="shared" ca="1" si="370"/>
        <v/>
      </c>
      <c r="Z806" s="368" t="str">
        <f t="shared" ca="1" si="371"/>
        <v/>
      </c>
      <c r="AA806" s="369" t="str">
        <f t="shared" ca="1" si="372"/>
        <v/>
      </c>
      <c r="AB806" s="344"/>
      <c r="AC806" s="363" t="e">
        <f t="shared" ca="1" si="373"/>
        <v>#N/A</v>
      </c>
      <c r="AD806" s="376" t="e">
        <f t="shared" ca="1" si="374"/>
        <v>#N/A</v>
      </c>
      <c r="AE806" s="377" t="e">
        <f t="shared" ca="1" si="353"/>
        <v>#N/A</v>
      </c>
      <c r="AF806" s="344"/>
      <c r="AG806" s="359">
        <f t="shared" ca="1" si="375"/>
        <v>3.0408519606923514</v>
      </c>
      <c r="AH806" s="357">
        <f t="shared" ca="1" si="376"/>
        <v>-6.6924581945792569</v>
      </c>
    </row>
    <row r="807" spans="1:34" x14ac:dyDescent="0.2">
      <c r="A807" s="402">
        <f t="shared" ca="1" si="354"/>
        <v>1E-4</v>
      </c>
      <c r="B807" s="357">
        <f t="shared" ca="1" si="355"/>
        <v>35.309000000000488</v>
      </c>
      <c r="C807" s="342"/>
      <c r="D807" s="359">
        <f t="shared" ca="1" si="356"/>
        <v>-0.83518754309244403</v>
      </c>
      <c r="E807" s="360">
        <f t="shared" ca="1" si="357"/>
        <v>-3.1698200168478605</v>
      </c>
      <c r="F807" s="357">
        <f t="shared" ca="1" si="358"/>
        <v>3.2780020090515753</v>
      </c>
      <c r="G807" s="359">
        <f t="shared" ca="1" si="359"/>
        <v>16.377927756584441</v>
      </c>
      <c r="H807" s="360">
        <f t="shared" ca="1" si="360"/>
        <v>-130.21411570757368</v>
      </c>
      <c r="I807" s="357">
        <f t="shared" ca="1" si="361"/>
        <v>131.24005656469859</v>
      </c>
      <c r="J807" s="359">
        <f t="shared" ca="1" si="362"/>
        <v>953.1802660510491</v>
      </c>
      <c r="K807" s="360">
        <f t="shared" ca="1" si="363"/>
        <v>-9.4337265333777527</v>
      </c>
      <c r="L807" s="357">
        <f t="shared" ca="1" si="348"/>
        <v>953.22694820564914</v>
      </c>
      <c r="M807" s="359">
        <f t="shared" ca="1" si="364"/>
        <v>-1.4456764582444854</v>
      </c>
      <c r="N807" s="357">
        <f t="shared" ca="1" si="365"/>
        <v>-82.8311595988298</v>
      </c>
      <c r="O807" s="343"/>
      <c r="P807" s="363">
        <f t="shared" ca="1" si="366"/>
        <v>23</v>
      </c>
      <c r="Q807" s="357">
        <f t="shared" ca="1" si="367"/>
        <v>0</v>
      </c>
      <c r="R807" s="359">
        <f t="shared" ca="1" si="368"/>
        <v>0</v>
      </c>
      <c r="S807" s="360">
        <f t="shared" ca="1" si="369"/>
        <v>8.3819999999999997</v>
      </c>
      <c r="T807" s="357">
        <f t="shared" ca="1" si="349"/>
        <v>82.227419999999995</v>
      </c>
      <c r="U807" s="364">
        <f t="shared" ca="1" si="350"/>
        <v>0</v>
      </c>
      <c r="V807" s="359">
        <f t="shared" ca="1" si="351"/>
        <v>1.2261561768531517</v>
      </c>
      <c r="W807" s="357">
        <f t="shared" ca="1" si="352"/>
        <v>56.096850581731218</v>
      </c>
      <c r="X807" s="343"/>
      <c r="Y807" s="367" t="str">
        <f t="shared" ca="1" si="370"/>
        <v/>
      </c>
      <c r="Z807" s="368" t="str">
        <f t="shared" ca="1" si="371"/>
        <v/>
      </c>
      <c r="AA807" s="369" t="str">
        <f t="shared" ca="1" si="372"/>
        <v/>
      </c>
      <c r="AB807" s="344"/>
      <c r="AC807" s="363" t="e">
        <f t="shared" ca="1" si="373"/>
        <v>#N/A</v>
      </c>
      <c r="AD807" s="376" t="e">
        <f t="shared" ca="1" si="374"/>
        <v>#N/A</v>
      </c>
      <c r="AE807" s="377" t="e">
        <f t="shared" ca="1" si="353"/>
        <v>#N/A</v>
      </c>
      <c r="AF807" s="344"/>
      <c r="AG807" s="359">
        <f t="shared" ca="1" si="375"/>
        <v>3.0408133749192743</v>
      </c>
      <c r="AH807" s="357">
        <f t="shared" ca="1" si="376"/>
        <v>-6.692497922359868</v>
      </c>
    </row>
    <row r="808" spans="1:34" x14ac:dyDescent="0.2">
      <c r="A808" s="402">
        <f t="shared" ca="1" si="354"/>
        <v>1E-4</v>
      </c>
      <c r="B808" s="357">
        <f t="shared" ca="1" si="355"/>
        <v>35.309100000000491</v>
      </c>
      <c r="C808" s="342"/>
      <c r="D808" s="359">
        <f t="shared" ca="1" si="356"/>
        <v>-0.83518630674145311</v>
      </c>
      <c r="E808" s="360">
        <f t="shared" ca="1" si="357"/>
        <v>-3.1697798207596453</v>
      </c>
      <c r="F808" s="357">
        <f t="shared" ca="1" si="358"/>
        <v>3.2779628245395762</v>
      </c>
      <c r="G808" s="359">
        <f t="shared" ca="1" si="359"/>
        <v>16.377844237953767</v>
      </c>
      <c r="H808" s="360">
        <f t="shared" ca="1" si="360"/>
        <v>-130.21443268555575</v>
      </c>
      <c r="I808" s="357">
        <f t="shared" ca="1" si="361"/>
        <v>131.24036064223461</v>
      </c>
      <c r="J808" s="359">
        <f t="shared" ca="1" si="362"/>
        <v>953.1802660510491</v>
      </c>
      <c r="K808" s="360">
        <f t="shared" ca="1" si="363"/>
        <v>-9.4467479607974099</v>
      </c>
      <c r="L808" s="357">
        <f t="shared" ca="1" si="348"/>
        <v>953.22707716272078</v>
      </c>
      <c r="M808" s="359">
        <f t="shared" ca="1" si="364"/>
        <v>-1.4456773910565071</v>
      </c>
      <c r="N808" s="357">
        <f t="shared" ca="1" si="365"/>
        <v>-82.831213045021713</v>
      </c>
      <c r="O808" s="343"/>
      <c r="P808" s="363">
        <f t="shared" ca="1" si="366"/>
        <v>23</v>
      </c>
      <c r="Q808" s="357">
        <f t="shared" ca="1" si="367"/>
        <v>0</v>
      </c>
      <c r="R808" s="359">
        <f t="shared" ca="1" si="368"/>
        <v>0</v>
      </c>
      <c r="S808" s="360">
        <f t="shared" ca="1" si="369"/>
        <v>8.3819999999999997</v>
      </c>
      <c r="T808" s="357">
        <f t="shared" ca="1" si="349"/>
        <v>82.227419999999995</v>
      </c>
      <c r="U808" s="364">
        <f t="shared" ca="1" si="350"/>
        <v>0</v>
      </c>
      <c r="V808" s="359">
        <f t="shared" ca="1" si="351"/>
        <v>1.2261577734849129</v>
      </c>
      <c r="W808" s="357">
        <f t="shared" ca="1" si="352"/>
        <v>56.097183576495645</v>
      </c>
      <c r="X808" s="343"/>
      <c r="Y808" s="367" t="str">
        <f t="shared" ca="1" si="370"/>
        <v/>
      </c>
      <c r="Z808" s="368" t="str">
        <f t="shared" ca="1" si="371"/>
        <v/>
      </c>
      <c r="AA808" s="369" t="str">
        <f t="shared" ca="1" si="372"/>
        <v/>
      </c>
      <c r="AB808" s="344"/>
      <c r="AC808" s="363" t="e">
        <f t="shared" ca="1" si="373"/>
        <v>#N/A</v>
      </c>
      <c r="AD808" s="376" t="e">
        <f t="shared" ca="1" si="374"/>
        <v>#N/A</v>
      </c>
      <c r="AE808" s="377" t="e">
        <f t="shared" ca="1" si="353"/>
        <v>#N/A</v>
      </c>
      <c r="AF808" s="344"/>
      <c r="AG808" s="359">
        <f t="shared" ca="1" si="375"/>
        <v>3.040774789334951</v>
      </c>
      <c r="AH808" s="357">
        <f t="shared" ca="1" si="376"/>
        <v>-6.6925376499321425</v>
      </c>
    </row>
    <row r="809" spans="1:34" x14ac:dyDescent="0.2">
      <c r="A809" s="402">
        <f t="shared" ca="1" si="354"/>
        <v>1E-4</v>
      </c>
      <c r="B809" s="357">
        <f t="shared" ca="1" si="355"/>
        <v>35.309200000000494</v>
      </c>
      <c r="C809" s="342"/>
      <c r="D809" s="359">
        <f t="shared" ca="1" si="356"/>
        <v>-0.83518507035048828</v>
      </c>
      <c r="E809" s="360">
        <f t="shared" ca="1" si="357"/>
        <v>-3.1697396248822614</v>
      </c>
      <c r="F809" s="357">
        <f t="shared" ca="1" si="358"/>
        <v>3.2779236402462288</v>
      </c>
      <c r="G809" s="359">
        <f t="shared" ca="1" si="359"/>
        <v>16.37776071944673</v>
      </c>
      <c r="H809" s="360">
        <f t="shared" ca="1" si="360"/>
        <v>-130.21474965951825</v>
      </c>
      <c r="I809" s="357">
        <f t="shared" ca="1" si="361"/>
        <v>131.24066471591212</v>
      </c>
      <c r="J809" s="359">
        <f t="shared" ca="1" si="362"/>
        <v>953.1802660510491</v>
      </c>
      <c r="K809" s="360">
        <f t="shared" ca="1" si="363"/>
        <v>-9.4597694199146627</v>
      </c>
      <c r="L809" s="357">
        <f t="shared" ca="1" si="348"/>
        <v>953.22720629796686</v>
      </c>
      <c r="M809" s="359">
        <f t="shared" ca="1" si="364"/>
        <v>-1.4456783238594495</v>
      </c>
      <c r="N809" s="357">
        <f t="shared" ca="1" si="365"/>
        <v>-82.831266490693437</v>
      </c>
      <c r="O809" s="343"/>
      <c r="P809" s="363">
        <f t="shared" ca="1" si="366"/>
        <v>23</v>
      </c>
      <c r="Q809" s="357">
        <f t="shared" ca="1" si="367"/>
        <v>0</v>
      </c>
      <c r="R809" s="359">
        <f t="shared" ca="1" si="368"/>
        <v>0</v>
      </c>
      <c r="S809" s="360">
        <f t="shared" ca="1" si="369"/>
        <v>8.3819999999999997</v>
      </c>
      <c r="T809" s="357">
        <f t="shared" ca="1" si="349"/>
        <v>82.227419999999995</v>
      </c>
      <c r="U809" s="364">
        <f t="shared" ca="1" si="350"/>
        <v>0</v>
      </c>
      <c r="V809" s="359">
        <f t="shared" ca="1" si="351"/>
        <v>1.2261593701226412</v>
      </c>
      <c r="W809" s="357">
        <f t="shared" ca="1" si="352"/>
        <v>56.097516569513793</v>
      </c>
      <c r="X809" s="343"/>
      <c r="Y809" s="367" t="str">
        <f t="shared" ca="1" si="370"/>
        <v/>
      </c>
      <c r="Z809" s="368" t="str">
        <f t="shared" ca="1" si="371"/>
        <v/>
      </c>
      <c r="AA809" s="369" t="str">
        <f t="shared" ca="1" si="372"/>
        <v/>
      </c>
      <c r="AB809" s="344"/>
      <c r="AC809" s="363" t="e">
        <f t="shared" ca="1" si="373"/>
        <v>#N/A</v>
      </c>
      <c r="AD809" s="376" t="e">
        <f t="shared" ca="1" si="374"/>
        <v>#N/A</v>
      </c>
      <c r="AE809" s="377" t="e">
        <f t="shared" ca="1" si="353"/>
        <v>#N/A</v>
      </c>
      <c r="AF809" s="344"/>
      <c r="AG809" s="359">
        <f t="shared" ca="1" si="375"/>
        <v>3.0407362039393915</v>
      </c>
      <c r="AH809" s="357">
        <f t="shared" ca="1" si="376"/>
        <v>-6.6925773772960691</v>
      </c>
    </row>
    <row r="810" spans="1:34" x14ac:dyDescent="0.2">
      <c r="A810" s="402">
        <f t="shared" ca="1" si="354"/>
        <v>1E-4</v>
      </c>
      <c r="B810" s="357">
        <f t="shared" ca="1" si="355"/>
        <v>35.309300000000498</v>
      </c>
      <c r="C810" s="342"/>
      <c r="D810" s="359">
        <f t="shared" ca="1" si="356"/>
        <v>-0.83518383391954931</v>
      </c>
      <c r="E810" s="360">
        <f t="shared" ca="1" si="357"/>
        <v>-3.1696994292156981</v>
      </c>
      <c r="F810" s="357">
        <f t="shared" ca="1" si="358"/>
        <v>3.277884456171523</v>
      </c>
      <c r="G810" s="359">
        <f t="shared" ca="1" si="359"/>
        <v>16.377677201063339</v>
      </c>
      <c r="H810" s="360">
        <f t="shared" ca="1" si="360"/>
        <v>-130.21506662946118</v>
      </c>
      <c r="I810" s="357">
        <f t="shared" ca="1" si="361"/>
        <v>131.2409687857311</v>
      </c>
      <c r="J810" s="359">
        <f t="shared" ca="1" si="362"/>
        <v>953.1802660510491</v>
      </c>
      <c r="K810" s="360">
        <f t="shared" ca="1" si="363"/>
        <v>-9.4727909107291115</v>
      </c>
      <c r="L810" s="357">
        <f t="shared" ca="1" si="348"/>
        <v>953.22733561138875</v>
      </c>
      <c r="M810" s="359">
        <f t="shared" ca="1" si="364"/>
        <v>-1.4456792566533125</v>
      </c>
      <c r="N810" s="357">
        <f t="shared" ca="1" si="365"/>
        <v>-82.831319935844945</v>
      </c>
      <c r="O810" s="343"/>
      <c r="P810" s="363">
        <f t="shared" ca="1" si="366"/>
        <v>23</v>
      </c>
      <c r="Q810" s="357">
        <f t="shared" ca="1" si="367"/>
        <v>0</v>
      </c>
      <c r="R810" s="359">
        <f t="shared" ca="1" si="368"/>
        <v>0</v>
      </c>
      <c r="S810" s="360">
        <f t="shared" ca="1" si="369"/>
        <v>8.3819999999999997</v>
      </c>
      <c r="T810" s="357">
        <f t="shared" ca="1" si="349"/>
        <v>82.227419999999995</v>
      </c>
      <c r="U810" s="364">
        <f t="shared" ca="1" si="350"/>
        <v>0</v>
      </c>
      <c r="V810" s="359">
        <f t="shared" ca="1" si="351"/>
        <v>1.2261609667663358</v>
      </c>
      <c r="W810" s="357">
        <f t="shared" ca="1" si="352"/>
        <v>56.097849560785562</v>
      </c>
      <c r="X810" s="343"/>
      <c r="Y810" s="367" t="str">
        <f t="shared" ca="1" si="370"/>
        <v/>
      </c>
      <c r="Z810" s="368" t="str">
        <f t="shared" ca="1" si="371"/>
        <v/>
      </c>
      <c r="AA810" s="369" t="str">
        <f t="shared" ca="1" si="372"/>
        <v/>
      </c>
      <c r="AB810" s="344"/>
      <c r="AC810" s="363" t="e">
        <f t="shared" ca="1" si="373"/>
        <v>#N/A</v>
      </c>
      <c r="AD810" s="376" t="e">
        <f t="shared" ca="1" si="374"/>
        <v>#N/A</v>
      </c>
      <c r="AE810" s="377" t="e">
        <f t="shared" ca="1" si="353"/>
        <v>#N/A</v>
      </c>
      <c r="AF810" s="344"/>
      <c r="AG810" s="359">
        <f t="shared" ca="1" si="375"/>
        <v>3.040697618732584</v>
      </c>
      <c r="AH810" s="357">
        <f t="shared" ca="1" si="376"/>
        <v>-6.6926171044516574</v>
      </c>
    </row>
    <row r="811" spans="1:34" x14ac:dyDescent="0.2">
      <c r="A811" s="402">
        <f t="shared" ca="1" si="354"/>
        <v>1E-4</v>
      </c>
      <c r="B811" s="357">
        <f t="shared" ca="1" si="355"/>
        <v>35.309400000000501</v>
      </c>
      <c r="C811" s="342"/>
      <c r="D811" s="359">
        <f t="shared" ca="1" si="356"/>
        <v>-0.83518259744863821</v>
      </c>
      <c r="E811" s="360">
        <f t="shared" ca="1" si="357"/>
        <v>-3.1696592337599654</v>
      </c>
      <c r="F811" s="357">
        <f t="shared" ca="1" si="358"/>
        <v>3.2778452723154681</v>
      </c>
      <c r="G811" s="359">
        <f t="shared" ca="1" si="359"/>
        <v>16.377593682803592</v>
      </c>
      <c r="H811" s="360">
        <f t="shared" ca="1" si="360"/>
        <v>-130.21538359538457</v>
      </c>
      <c r="I811" s="357">
        <f t="shared" ca="1" si="361"/>
        <v>131.24127285169158</v>
      </c>
      <c r="J811" s="359">
        <f t="shared" ca="1" si="362"/>
        <v>953.1802660510491</v>
      </c>
      <c r="K811" s="360">
        <f t="shared" ca="1" si="363"/>
        <v>-9.4858124332403531</v>
      </c>
      <c r="L811" s="357">
        <f t="shared" ca="1" si="348"/>
        <v>953.22746510298759</v>
      </c>
      <c r="M811" s="359">
        <f t="shared" ca="1" si="364"/>
        <v>-1.4456801894380966</v>
      </c>
      <c r="N811" s="357">
        <f t="shared" ca="1" si="365"/>
        <v>-82.831373380476265</v>
      </c>
      <c r="O811" s="343"/>
      <c r="P811" s="363">
        <f t="shared" ca="1" si="366"/>
        <v>23</v>
      </c>
      <c r="Q811" s="357">
        <f t="shared" ca="1" si="367"/>
        <v>0</v>
      </c>
      <c r="R811" s="359">
        <f t="shared" ca="1" si="368"/>
        <v>0</v>
      </c>
      <c r="S811" s="360">
        <f t="shared" ca="1" si="369"/>
        <v>8.3819999999999997</v>
      </c>
      <c r="T811" s="357">
        <f t="shared" ca="1" si="349"/>
        <v>82.227419999999995</v>
      </c>
      <c r="U811" s="364">
        <f t="shared" ca="1" si="350"/>
        <v>0</v>
      </c>
      <c r="V811" s="359">
        <f t="shared" ca="1" si="351"/>
        <v>1.2261625634159972</v>
      </c>
      <c r="W811" s="357">
        <f t="shared" ca="1" si="352"/>
        <v>56.098182550310959</v>
      </c>
      <c r="X811" s="343"/>
      <c r="Y811" s="367" t="str">
        <f t="shared" ca="1" si="370"/>
        <v/>
      </c>
      <c r="Z811" s="368" t="str">
        <f t="shared" ca="1" si="371"/>
        <v/>
      </c>
      <c r="AA811" s="369" t="str">
        <f t="shared" ca="1" si="372"/>
        <v/>
      </c>
      <c r="AB811" s="344"/>
      <c r="AC811" s="363" t="e">
        <f t="shared" ca="1" si="373"/>
        <v>#N/A</v>
      </c>
      <c r="AD811" s="376" t="e">
        <f t="shared" ca="1" si="374"/>
        <v>#N/A</v>
      </c>
      <c r="AE811" s="377" t="e">
        <f t="shared" ca="1" si="353"/>
        <v>#N/A</v>
      </c>
      <c r="AF811" s="344"/>
      <c r="AG811" s="359">
        <f t="shared" ca="1" si="375"/>
        <v>3.0406590337145412</v>
      </c>
      <c r="AH811" s="357">
        <f t="shared" ca="1" si="376"/>
        <v>-6.6926568313988986</v>
      </c>
    </row>
    <row r="812" spans="1:34" x14ac:dyDescent="0.2">
      <c r="A812" s="402">
        <f t="shared" ca="1" si="354"/>
        <v>1E-4</v>
      </c>
      <c r="B812" s="357">
        <f t="shared" ca="1" si="355"/>
        <v>35.309500000000504</v>
      </c>
      <c r="C812" s="342"/>
      <c r="D812" s="359">
        <f t="shared" ca="1" si="356"/>
        <v>-0.83518136093775375</v>
      </c>
      <c r="E812" s="360">
        <f t="shared" ca="1" si="357"/>
        <v>-3.1696190385150658</v>
      </c>
      <c r="F812" s="357">
        <f t="shared" ca="1" si="358"/>
        <v>3.2778060886780671</v>
      </c>
      <c r="G812" s="359">
        <f t="shared" ca="1" si="359"/>
        <v>16.377510164667498</v>
      </c>
      <c r="H812" s="360">
        <f t="shared" ca="1" si="360"/>
        <v>-130.21570055728841</v>
      </c>
      <c r="I812" s="357">
        <f t="shared" ca="1" si="361"/>
        <v>131.24157691379355</v>
      </c>
      <c r="J812" s="359">
        <f t="shared" ca="1" si="362"/>
        <v>953.1802660510491</v>
      </c>
      <c r="K812" s="360">
        <f t="shared" ca="1" si="363"/>
        <v>-9.4988339874479859</v>
      </c>
      <c r="L812" s="357">
        <f t="shared" ca="1" si="348"/>
        <v>953.22759477276452</v>
      </c>
      <c r="M812" s="359">
        <f t="shared" ca="1" si="364"/>
        <v>-1.4456811222138017</v>
      </c>
      <c r="N812" s="357">
        <f t="shared" ca="1" si="365"/>
        <v>-82.83142682458741</v>
      </c>
      <c r="O812" s="343"/>
      <c r="P812" s="363">
        <f t="shared" ca="1" si="366"/>
        <v>23</v>
      </c>
      <c r="Q812" s="357">
        <f t="shared" ca="1" si="367"/>
        <v>0</v>
      </c>
      <c r="R812" s="359">
        <f t="shared" ca="1" si="368"/>
        <v>0</v>
      </c>
      <c r="S812" s="360">
        <f t="shared" ca="1" si="369"/>
        <v>8.3819999999999997</v>
      </c>
      <c r="T812" s="357">
        <f t="shared" ca="1" si="349"/>
        <v>82.227419999999995</v>
      </c>
      <c r="U812" s="364">
        <f t="shared" ca="1" si="350"/>
        <v>0</v>
      </c>
      <c r="V812" s="359">
        <f t="shared" ca="1" si="351"/>
        <v>1.2261641600716251</v>
      </c>
      <c r="W812" s="357">
        <f t="shared" ca="1" si="352"/>
        <v>56.09851553808997</v>
      </c>
      <c r="X812" s="343"/>
      <c r="Y812" s="367" t="str">
        <f t="shared" ca="1" si="370"/>
        <v/>
      </c>
      <c r="Z812" s="368" t="str">
        <f t="shared" ca="1" si="371"/>
        <v/>
      </c>
      <c r="AA812" s="369" t="str">
        <f t="shared" ca="1" si="372"/>
        <v/>
      </c>
      <c r="AB812" s="344"/>
      <c r="AC812" s="363" t="e">
        <f t="shared" ca="1" si="373"/>
        <v>#N/A</v>
      </c>
      <c r="AD812" s="376" t="e">
        <f t="shared" ca="1" si="374"/>
        <v>#N/A</v>
      </c>
      <c r="AE812" s="377" t="e">
        <f t="shared" ca="1" si="353"/>
        <v>#N/A</v>
      </c>
      <c r="AF812" s="344"/>
      <c r="AG812" s="359">
        <f t="shared" ca="1" si="375"/>
        <v>3.0406204488852611</v>
      </c>
      <c r="AH812" s="357">
        <f t="shared" ca="1" si="376"/>
        <v>-6.6926965581377909</v>
      </c>
    </row>
    <row r="813" spans="1:34" x14ac:dyDescent="0.2">
      <c r="A813" s="402">
        <f t="shared" ca="1" si="354"/>
        <v>1E-4</v>
      </c>
      <c r="B813" s="357">
        <f t="shared" ca="1" si="355"/>
        <v>35.309600000000508</v>
      </c>
      <c r="C813" s="342"/>
      <c r="D813" s="359">
        <f t="shared" ca="1" si="356"/>
        <v>-0.83518012438689704</v>
      </c>
      <c r="E813" s="360">
        <f t="shared" ca="1" si="357"/>
        <v>-3.1695788434809975</v>
      </c>
      <c r="F813" s="357">
        <f t="shared" ca="1" si="358"/>
        <v>3.2777669052593184</v>
      </c>
      <c r="G813" s="359">
        <f t="shared" ca="1" si="359"/>
        <v>16.37742664665506</v>
      </c>
      <c r="H813" s="360">
        <f t="shared" ca="1" si="360"/>
        <v>-130.21601751517275</v>
      </c>
      <c r="I813" s="357">
        <f t="shared" ca="1" si="361"/>
        <v>131.24188097203705</v>
      </c>
      <c r="J813" s="359">
        <f t="shared" ca="1" si="362"/>
        <v>953.1802660510491</v>
      </c>
      <c r="K813" s="360">
        <f t="shared" ca="1" si="363"/>
        <v>-9.5118555733516086</v>
      </c>
      <c r="L813" s="357">
        <f t="shared" ca="1" si="348"/>
        <v>953.22772462072101</v>
      </c>
      <c r="M813" s="359">
        <f t="shared" ca="1" si="364"/>
        <v>-1.4456820549804281</v>
      </c>
      <c r="N813" s="357">
        <f t="shared" ca="1" si="365"/>
        <v>-82.831480268178368</v>
      </c>
      <c r="O813" s="343"/>
      <c r="P813" s="363">
        <f t="shared" ca="1" si="366"/>
        <v>23</v>
      </c>
      <c r="Q813" s="357">
        <f t="shared" ca="1" si="367"/>
        <v>0</v>
      </c>
      <c r="R813" s="359">
        <f t="shared" ca="1" si="368"/>
        <v>0</v>
      </c>
      <c r="S813" s="360">
        <f t="shared" ca="1" si="369"/>
        <v>8.3819999999999997</v>
      </c>
      <c r="T813" s="357">
        <f t="shared" ca="1" si="349"/>
        <v>82.227419999999995</v>
      </c>
      <c r="U813" s="364">
        <f t="shared" ca="1" si="350"/>
        <v>0</v>
      </c>
      <c r="V813" s="359">
        <f t="shared" ca="1" si="351"/>
        <v>1.2261657567332198</v>
      </c>
      <c r="W813" s="357">
        <f t="shared" ca="1" si="352"/>
        <v>56.098848524122559</v>
      </c>
      <c r="X813" s="343"/>
      <c r="Y813" s="367" t="str">
        <f t="shared" ca="1" si="370"/>
        <v/>
      </c>
      <c r="Z813" s="368" t="str">
        <f t="shared" ca="1" si="371"/>
        <v/>
      </c>
      <c r="AA813" s="369" t="str">
        <f t="shared" ca="1" si="372"/>
        <v/>
      </c>
      <c r="AB813" s="344"/>
      <c r="AC813" s="363" t="e">
        <f t="shared" ca="1" si="373"/>
        <v>#N/A</v>
      </c>
      <c r="AD813" s="376" t="e">
        <f t="shared" ca="1" si="374"/>
        <v>#N/A</v>
      </c>
      <c r="AE813" s="377" t="e">
        <f t="shared" ca="1" si="353"/>
        <v>#N/A</v>
      </c>
      <c r="AF813" s="344"/>
      <c r="AG813" s="359">
        <f t="shared" ca="1" si="375"/>
        <v>3.0405818642447517</v>
      </c>
      <c r="AH813" s="357">
        <f t="shared" ca="1" si="376"/>
        <v>-6.6927362846683334</v>
      </c>
    </row>
    <row r="814" spans="1:34" x14ac:dyDescent="0.2">
      <c r="A814" s="402">
        <f t="shared" ca="1" si="354"/>
        <v>1E-4</v>
      </c>
      <c r="B814" s="357">
        <f t="shared" ca="1" si="355"/>
        <v>35.309700000000511</v>
      </c>
      <c r="C814" s="342"/>
      <c r="D814" s="359">
        <f t="shared" ca="1" si="356"/>
        <v>-0.8351788877960683</v>
      </c>
      <c r="E814" s="360">
        <f t="shared" ca="1" si="357"/>
        <v>-3.1695386486577659</v>
      </c>
      <c r="F814" s="357">
        <f t="shared" ca="1" si="358"/>
        <v>3.277727722059228</v>
      </c>
      <c r="G814" s="359">
        <f t="shared" ca="1" si="359"/>
        <v>16.377343128766281</v>
      </c>
      <c r="H814" s="360">
        <f t="shared" ca="1" si="360"/>
        <v>-130.21633446903761</v>
      </c>
      <c r="I814" s="357">
        <f t="shared" ca="1" si="361"/>
        <v>131.24218502642213</v>
      </c>
      <c r="J814" s="359">
        <f t="shared" ca="1" si="362"/>
        <v>953.1802660510491</v>
      </c>
      <c r="K814" s="360">
        <f t="shared" ca="1" si="363"/>
        <v>-9.5248771909508196</v>
      </c>
      <c r="L814" s="357">
        <f t="shared" ca="1" si="348"/>
        <v>953.22785464685796</v>
      </c>
      <c r="M814" s="359">
        <f t="shared" ca="1" si="364"/>
        <v>-1.4456829877379758</v>
      </c>
      <c r="N814" s="357">
        <f t="shared" ca="1" si="365"/>
        <v>-82.831533711249151</v>
      </c>
      <c r="O814" s="343"/>
      <c r="P814" s="363">
        <f t="shared" ca="1" si="366"/>
        <v>23</v>
      </c>
      <c r="Q814" s="357">
        <f t="shared" ca="1" si="367"/>
        <v>0</v>
      </c>
      <c r="R814" s="359">
        <f t="shared" ca="1" si="368"/>
        <v>0</v>
      </c>
      <c r="S814" s="360">
        <f t="shared" ca="1" si="369"/>
        <v>8.3819999999999997</v>
      </c>
      <c r="T814" s="357">
        <f t="shared" ca="1" si="349"/>
        <v>82.227419999999995</v>
      </c>
      <c r="U814" s="364">
        <f t="shared" ca="1" si="350"/>
        <v>0</v>
      </c>
      <c r="V814" s="359">
        <f t="shared" ca="1" si="351"/>
        <v>1.2261673534007806</v>
      </c>
      <c r="W814" s="357">
        <f t="shared" ca="1" si="352"/>
        <v>56.099181508408755</v>
      </c>
      <c r="X814" s="343"/>
      <c r="Y814" s="367" t="str">
        <f t="shared" ca="1" si="370"/>
        <v/>
      </c>
      <c r="Z814" s="368" t="str">
        <f t="shared" ca="1" si="371"/>
        <v/>
      </c>
      <c r="AA814" s="369" t="str">
        <f t="shared" ca="1" si="372"/>
        <v/>
      </c>
      <c r="AB814" s="344"/>
      <c r="AC814" s="363" t="e">
        <f t="shared" ca="1" si="373"/>
        <v>#N/A</v>
      </c>
      <c r="AD814" s="376" t="e">
        <f t="shared" ca="1" si="374"/>
        <v>#N/A</v>
      </c>
      <c r="AE814" s="377" t="e">
        <f t="shared" ca="1" si="353"/>
        <v>#N/A</v>
      </c>
      <c r="AF814" s="344"/>
      <c r="AG814" s="359">
        <f t="shared" ca="1" si="375"/>
        <v>3.0405432797930114</v>
      </c>
      <c r="AH814" s="357">
        <f t="shared" ca="1" si="376"/>
        <v>-6.6927760109905226</v>
      </c>
    </row>
    <row r="815" spans="1:34" x14ac:dyDescent="0.2">
      <c r="A815" s="402">
        <f t="shared" ca="1" si="354"/>
        <v>1E-4</v>
      </c>
      <c r="B815" s="357">
        <f t="shared" ca="1" si="355"/>
        <v>35.309800000000514</v>
      </c>
      <c r="C815" s="342"/>
      <c r="D815" s="359">
        <f t="shared" ca="1" si="356"/>
        <v>-0.83517765116526921</v>
      </c>
      <c r="E815" s="360">
        <f t="shared" ca="1" si="357"/>
        <v>-3.1694984540453683</v>
      </c>
      <c r="F815" s="357">
        <f t="shared" ca="1" si="358"/>
        <v>3.277688539077793</v>
      </c>
      <c r="G815" s="359">
        <f t="shared" ca="1" si="359"/>
        <v>16.377259611001165</v>
      </c>
      <c r="H815" s="360">
        <f t="shared" ca="1" si="360"/>
        <v>-130.216651418883</v>
      </c>
      <c r="I815" s="357">
        <f t="shared" ca="1" si="361"/>
        <v>131.24248907694877</v>
      </c>
      <c r="J815" s="359">
        <f t="shared" ca="1" si="362"/>
        <v>953.1802660510491</v>
      </c>
      <c r="K815" s="360">
        <f t="shared" ca="1" si="363"/>
        <v>-9.5378988402452158</v>
      </c>
      <c r="L815" s="357">
        <f t="shared" ca="1" si="348"/>
        <v>953.22798485117687</v>
      </c>
      <c r="M815" s="359">
        <f t="shared" ca="1" si="364"/>
        <v>-1.4456839204864449</v>
      </c>
      <c r="N815" s="357">
        <f t="shared" ca="1" si="365"/>
        <v>-82.831587153799788</v>
      </c>
      <c r="O815" s="343"/>
      <c r="P815" s="363">
        <f t="shared" ca="1" si="366"/>
        <v>23</v>
      </c>
      <c r="Q815" s="357">
        <f t="shared" ca="1" si="367"/>
        <v>0</v>
      </c>
      <c r="R815" s="359">
        <f t="shared" ca="1" si="368"/>
        <v>0</v>
      </c>
      <c r="S815" s="360">
        <f t="shared" ca="1" si="369"/>
        <v>8.3819999999999997</v>
      </c>
      <c r="T815" s="357">
        <f t="shared" ca="1" si="349"/>
        <v>82.227419999999995</v>
      </c>
      <c r="U815" s="364">
        <f t="shared" ca="1" si="350"/>
        <v>0</v>
      </c>
      <c r="V815" s="359">
        <f t="shared" ca="1" si="351"/>
        <v>1.226168950074308</v>
      </c>
      <c r="W815" s="357">
        <f t="shared" ca="1" si="352"/>
        <v>56.099514490948508</v>
      </c>
      <c r="X815" s="343"/>
      <c r="Y815" s="367" t="str">
        <f t="shared" ca="1" si="370"/>
        <v/>
      </c>
      <c r="Z815" s="368" t="str">
        <f t="shared" ca="1" si="371"/>
        <v/>
      </c>
      <c r="AA815" s="369" t="str">
        <f t="shared" ca="1" si="372"/>
        <v/>
      </c>
      <c r="AB815" s="344"/>
      <c r="AC815" s="363" t="e">
        <f t="shared" ca="1" si="373"/>
        <v>#N/A</v>
      </c>
      <c r="AD815" s="376" t="e">
        <f t="shared" ca="1" si="374"/>
        <v>#N/A</v>
      </c>
      <c r="AE815" s="377" t="e">
        <f t="shared" ca="1" si="353"/>
        <v>#N/A</v>
      </c>
      <c r="AF815" s="344"/>
      <c r="AG815" s="359">
        <f t="shared" ca="1" si="375"/>
        <v>3.0405046955300374</v>
      </c>
      <c r="AH815" s="357">
        <f t="shared" ca="1" si="376"/>
        <v>-6.6928157371043611</v>
      </c>
    </row>
    <row r="816" spans="1:34" x14ac:dyDescent="0.2">
      <c r="A816" s="402">
        <f t="shared" ca="1" si="354"/>
        <v>1E-4</v>
      </c>
      <c r="B816" s="357">
        <f t="shared" ca="1" si="355"/>
        <v>35.309900000000518</v>
      </c>
      <c r="C816" s="342"/>
      <c r="D816" s="359">
        <f t="shared" ca="1" si="356"/>
        <v>-0.83517641449449942</v>
      </c>
      <c r="E816" s="360">
        <f t="shared" ca="1" si="357"/>
        <v>-3.1694582596438101</v>
      </c>
      <c r="F816" s="357">
        <f t="shared" ca="1" si="358"/>
        <v>3.2776493563150191</v>
      </c>
      <c r="G816" s="359">
        <f t="shared" ca="1" si="359"/>
        <v>16.377176093359715</v>
      </c>
      <c r="H816" s="360">
        <f t="shared" ca="1" si="360"/>
        <v>-130.21696836470898</v>
      </c>
      <c r="I816" s="357">
        <f t="shared" ca="1" si="361"/>
        <v>131.24279312361702</v>
      </c>
      <c r="J816" s="359">
        <f t="shared" ca="1" si="362"/>
        <v>953.1802660510491</v>
      </c>
      <c r="K816" s="360">
        <f t="shared" ca="1" si="363"/>
        <v>-9.5509205212343957</v>
      </c>
      <c r="L816" s="357">
        <f t="shared" ca="1" si="348"/>
        <v>953.22811523367886</v>
      </c>
      <c r="M816" s="359">
        <f t="shared" ca="1" si="364"/>
        <v>-1.4456848532258355</v>
      </c>
      <c r="N816" s="357">
        <f t="shared" ca="1" si="365"/>
        <v>-82.831640595830251</v>
      </c>
      <c r="O816" s="343"/>
      <c r="P816" s="363">
        <f t="shared" ca="1" si="366"/>
        <v>23</v>
      </c>
      <c r="Q816" s="357">
        <f t="shared" ca="1" si="367"/>
        <v>0</v>
      </c>
      <c r="R816" s="359">
        <f t="shared" ca="1" si="368"/>
        <v>0</v>
      </c>
      <c r="S816" s="360">
        <f t="shared" ca="1" si="369"/>
        <v>8.3819999999999997</v>
      </c>
      <c r="T816" s="357">
        <f t="shared" ca="1" si="349"/>
        <v>82.227419999999995</v>
      </c>
      <c r="U816" s="364">
        <f t="shared" ca="1" si="350"/>
        <v>0</v>
      </c>
      <c r="V816" s="359">
        <f t="shared" ca="1" si="351"/>
        <v>1.2261705467538018</v>
      </c>
      <c r="W816" s="357">
        <f t="shared" ca="1" si="352"/>
        <v>56.099847471741825</v>
      </c>
      <c r="X816" s="343"/>
      <c r="Y816" s="367" t="str">
        <f t="shared" ca="1" si="370"/>
        <v/>
      </c>
      <c r="Z816" s="368" t="str">
        <f t="shared" ca="1" si="371"/>
        <v/>
      </c>
      <c r="AA816" s="369" t="str">
        <f t="shared" ca="1" si="372"/>
        <v/>
      </c>
      <c r="AB816" s="344"/>
      <c r="AC816" s="363" t="e">
        <f t="shared" ca="1" si="373"/>
        <v>#N/A</v>
      </c>
      <c r="AD816" s="376" t="e">
        <f t="shared" ca="1" si="374"/>
        <v>#N/A</v>
      </c>
      <c r="AE816" s="377" t="e">
        <f t="shared" ca="1" si="353"/>
        <v>#N/A</v>
      </c>
      <c r="AF816" s="344"/>
      <c r="AG816" s="359">
        <f t="shared" ca="1" si="375"/>
        <v>3.0404661114558404</v>
      </c>
      <c r="AH816" s="357">
        <f t="shared" ca="1" si="376"/>
        <v>-6.6928554630098436</v>
      </c>
    </row>
    <row r="817" spans="1:34" x14ac:dyDescent="0.2">
      <c r="A817" s="402">
        <f t="shared" ca="1" si="354"/>
        <v>1E-4</v>
      </c>
      <c r="B817" s="357">
        <f t="shared" ca="1" si="355"/>
        <v>35.310000000000521</v>
      </c>
      <c r="C817" s="342"/>
      <c r="D817" s="359">
        <f t="shared" ca="1" si="356"/>
        <v>-0.83517517778376049</v>
      </c>
      <c r="E817" s="360">
        <f t="shared" ca="1" si="357"/>
        <v>-3.1694180654530912</v>
      </c>
      <c r="F817" s="357">
        <f t="shared" ca="1" si="358"/>
        <v>3.2776101737709067</v>
      </c>
      <c r="G817" s="359">
        <f t="shared" ca="1" si="359"/>
        <v>16.377092575841935</v>
      </c>
      <c r="H817" s="360">
        <f t="shared" ca="1" si="360"/>
        <v>-130.21728530651552</v>
      </c>
      <c r="I817" s="357">
        <f t="shared" ca="1" si="361"/>
        <v>131.24309716642685</v>
      </c>
      <c r="J817" s="359">
        <f t="shared" ca="1" si="362"/>
        <v>953.1802660510491</v>
      </c>
      <c r="K817" s="360">
        <f t="shared" ca="1" si="363"/>
        <v>-9.5639422339179561</v>
      </c>
      <c r="L817" s="357">
        <f t="shared" ca="1" si="348"/>
        <v>953.22824579436508</v>
      </c>
      <c r="M817" s="359">
        <f t="shared" ca="1" si="364"/>
        <v>-1.4456857859561481</v>
      </c>
      <c r="N817" s="357">
        <f t="shared" ca="1" si="365"/>
        <v>-82.831694037340583</v>
      </c>
      <c r="O817" s="343"/>
      <c r="P817" s="363">
        <f t="shared" ca="1" si="366"/>
        <v>23</v>
      </c>
      <c r="Q817" s="357">
        <f t="shared" ca="1" si="367"/>
        <v>0</v>
      </c>
      <c r="R817" s="359">
        <f t="shared" ca="1" si="368"/>
        <v>0</v>
      </c>
      <c r="S817" s="360">
        <f t="shared" ca="1" si="369"/>
        <v>8.3819999999999997</v>
      </c>
      <c r="T817" s="357">
        <f t="shared" ca="1" si="349"/>
        <v>82.227419999999995</v>
      </c>
      <c r="U817" s="364">
        <f t="shared" ca="1" si="350"/>
        <v>0</v>
      </c>
      <c r="V817" s="359">
        <f t="shared" ca="1" si="351"/>
        <v>1.2261721434392623</v>
      </c>
      <c r="W817" s="357">
        <f t="shared" ca="1" si="352"/>
        <v>56.100180450788663</v>
      </c>
      <c r="X817" s="343"/>
      <c r="Y817" s="367" t="str">
        <f t="shared" ca="1" si="370"/>
        <v/>
      </c>
      <c r="Z817" s="368" t="str">
        <f t="shared" ca="1" si="371"/>
        <v/>
      </c>
      <c r="AA817" s="369" t="str">
        <f t="shared" ca="1" si="372"/>
        <v/>
      </c>
      <c r="AB817" s="344"/>
      <c r="AC817" s="363" t="e">
        <f t="shared" ca="1" si="373"/>
        <v>#N/A</v>
      </c>
      <c r="AD817" s="376" t="e">
        <f t="shared" ca="1" si="374"/>
        <v>#N/A</v>
      </c>
      <c r="AE817" s="377" t="e">
        <f t="shared" ca="1" si="353"/>
        <v>#N/A</v>
      </c>
      <c r="AF817" s="344"/>
      <c r="AG817" s="359">
        <f t="shared" ca="1" si="375"/>
        <v>3.0404275275704169</v>
      </c>
      <c r="AH817" s="357">
        <f t="shared" ca="1" si="376"/>
        <v>-6.6928951887069701</v>
      </c>
    </row>
    <row r="818" spans="1:34" x14ac:dyDescent="0.2">
      <c r="A818" s="402">
        <f t="shared" ca="1" si="354"/>
        <v>1E-4</v>
      </c>
      <c r="B818" s="357">
        <f t="shared" ca="1" si="355"/>
        <v>35.310100000000524</v>
      </c>
      <c r="C818" s="342"/>
      <c r="D818" s="359">
        <f t="shared" ca="1" si="356"/>
        <v>-0.83517394103305087</v>
      </c>
      <c r="E818" s="360">
        <f t="shared" ca="1" si="357"/>
        <v>-3.1693778714732153</v>
      </c>
      <c r="F818" s="357">
        <f t="shared" ca="1" si="358"/>
        <v>3.2775709914454585</v>
      </c>
      <c r="G818" s="359">
        <f t="shared" ca="1" si="359"/>
        <v>16.377009058447833</v>
      </c>
      <c r="H818" s="360">
        <f t="shared" ca="1" si="360"/>
        <v>-130.21760224430267</v>
      </c>
      <c r="I818" s="357">
        <f t="shared" ca="1" si="361"/>
        <v>131.24340120537832</v>
      </c>
      <c r="J818" s="359">
        <f t="shared" ca="1" si="362"/>
        <v>953.1802660510491</v>
      </c>
      <c r="K818" s="360">
        <f t="shared" ca="1" si="363"/>
        <v>-9.5769639782954972</v>
      </c>
      <c r="L818" s="357">
        <f t="shared" ca="1" si="348"/>
        <v>953.22837653323688</v>
      </c>
      <c r="M818" s="359">
        <f t="shared" ca="1" si="364"/>
        <v>-1.4456867186773825</v>
      </c>
      <c r="N818" s="357">
        <f t="shared" ca="1" si="365"/>
        <v>-82.831747478330783</v>
      </c>
      <c r="O818" s="343"/>
      <c r="P818" s="363">
        <f t="shared" ca="1" si="366"/>
        <v>23</v>
      </c>
      <c r="Q818" s="357">
        <f t="shared" ca="1" si="367"/>
        <v>0</v>
      </c>
      <c r="R818" s="359">
        <f t="shared" ca="1" si="368"/>
        <v>0</v>
      </c>
      <c r="S818" s="360">
        <f t="shared" ca="1" si="369"/>
        <v>8.3819999999999997</v>
      </c>
      <c r="T818" s="357">
        <f t="shared" ca="1" si="349"/>
        <v>82.227419999999995</v>
      </c>
      <c r="U818" s="364">
        <f t="shared" ca="1" si="350"/>
        <v>0</v>
      </c>
      <c r="V818" s="359">
        <f t="shared" ca="1" si="351"/>
        <v>1.2261737401306889</v>
      </c>
      <c r="W818" s="357">
        <f t="shared" ca="1" si="352"/>
        <v>56.100513428089037</v>
      </c>
      <c r="X818" s="343"/>
      <c r="Y818" s="367" t="str">
        <f t="shared" ca="1" si="370"/>
        <v/>
      </c>
      <c r="Z818" s="368" t="str">
        <f t="shared" ca="1" si="371"/>
        <v/>
      </c>
      <c r="AA818" s="369" t="str">
        <f t="shared" ca="1" si="372"/>
        <v/>
      </c>
      <c r="AB818" s="344"/>
      <c r="AC818" s="363" t="e">
        <f t="shared" ca="1" si="373"/>
        <v>#N/A</v>
      </c>
      <c r="AD818" s="376" t="e">
        <f t="shared" ca="1" si="374"/>
        <v>#N/A</v>
      </c>
      <c r="AE818" s="377" t="e">
        <f t="shared" ca="1" si="353"/>
        <v>#N/A</v>
      </c>
      <c r="AF818" s="344"/>
      <c r="AG818" s="359">
        <f t="shared" ca="1" si="375"/>
        <v>3.0403889438737721</v>
      </c>
      <c r="AH818" s="357">
        <f t="shared" ca="1" si="376"/>
        <v>-6.6929349141957371</v>
      </c>
    </row>
    <row r="819" spans="1:34" x14ac:dyDescent="0.2">
      <c r="A819" s="402">
        <f t="shared" ca="1" si="354"/>
        <v>1E-4</v>
      </c>
      <c r="B819" s="357">
        <f t="shared" ca="1" si="355"/>
        <v>35.310200000000528</v>
      </c>
      <c r="C819" s="342"/>
      <c r="D819" s="359">
        <f t="shared" ca="1" si="356"/>
        <v>-0.83517270424237211</v>
      </c>
      <c r="E819" s="360">
        <f t="shared" ca="1" si="357"/>
        <v>-3.1693376777041813</v>
      </c>
      <c r="F819" s="357">
        <f t="shared" ca="1" si="358"/>
        <v>3.2775318093386749</v>
      </c>
      <c r="G819" s="359">
        <f t="shared" ca="1" si="359"/>
        <v>16.376925541177407</v>
      </c>
      <c r="H819" s="360">
        <f t="shared" ca="1" si="360"/>
        <v>-130.21791917807045</v>
      </c>
      <c r="I819" s="357">
        <f t="shared" ca="1" si="361"/>
        <v>131.24370524047146</v>
      </c>
      <c r="J819" s="359">
        <f t="shared" ca="1" si="362"/>
        <v>953.1802660510491</v>
      </c>
      <c r="K819" s="360">
        <f t="shared" ca="1" si="363"/>
        <v>-9.5899857543666158</v>
      </c>
      <c r="L819" s="357">
        <f t="shared" ca="1" si="348"/>
        <v>953.2285074502953</v>
      </c>
      <c r="M819" s="359">
        <f t="shared" ca="1" si="364"/>
        <v>-1.4456876513895389</v>
      </c>
      <c r="N819" s="357">
        <f t="shared" ca="1" si="365"/>
        <v>-82.831800918800838</v>
      </c>
      <c r="O819" s="343"/>
      <c r="P819" s="363">
        <f t="shared" ca="1" si="366"/>
        <v>23</v>
      </c>
      <c r="Q819" s="357">
        <f t="shared" ca="1" si="367"/>
        <v>0</v>
      </c>
      <c r="R819" s="359">
        <f t="shared" ca="1" si="368"/>
        <v>0</v>
      </c>
      <c r="S819" s="360">
        <f t="shared" ca="1" si="369"/>
        <v>8.3819999999999997</v>
      </c>
      <c r="T819" s="357">
        <f t="shared" ca="1" si="349"/>
        <v>82.227419999999995</v>
      </c>
      <c r="U819" s="364">
        <f t="shared" ca="1" si="350"/>
        <v>0</v>
      </c>
      <c r="V819" s="359">
        <f t="shared" ca="1" si="351"/>
        <v>1.2261753368280819</v>
      </c>
      <c r="W819" s="357">
        <f t="shared" ca="1" si="352"/>
        <v>56.100846403642926</v>
      </c>
      <c r="X819" s="343"/>
      <c r="Y819" s="367" t="str">
        <f t="shared" ca="1" si="370"/>
        <v/>
      </c>
      <c r="Z819" s="368" t="str">
        <f t="shared" ca="1" si="371"/>
        <v/>
      </c>
      <c r="AA819" s="369" t="str">
        <f t="shared" ca="1" si="372"/>
        <v/>
      </c>
      <c r="AB819" s="344"/>
      <c r="AC819" s="363" t="e">
        <f t="shared" ca="1" si="373"/>
        <v>#N/A</v>
      </c>
      <c r="AD819" s="376" t="e">
        <f t="shared" ca="1" si="374"/>
        <v>#N/A</v>
      </c>
      <c r="AE819" s="377" t="e">
        <f t="shared" ca="1" si="353"/>
        <v>#N/A</v>
      </c>
      <c r="AF819" s="344"/>
      <c r="AG819" s="359">
        <f t="shared" ca="1" si="375"/>
        <v>3.0403503603659061</v>
      </c>
      <c r="AH819" s="357">
        <f t="shared" ca="1" si="376"/>
        <v>-6.6929746394761445</v>
      </c>
    </row>
    <row r="820" spans="1:34" x14ac:dyDescent="0.2">
      <c r="A820" s="402">
        <f t="shared" ca="1" si="354"/>
        <v>1E-4</v>
      </c>
      <c r="B820" s="357">
        <f t="shared" ca="1" si="355"/>
        <v>35.310300000000531</v>
      </c>
      <c r="C820" s="342"/>
      <c r="D820" s="359">
        <f t="shared" ca="1" si="356"/>
        <v>-0.83517146741172554</v>
      </c>
      <c r="E820" s="360">
        <f t="shared" ca="1" si="357"/>
        <v>-3.1692974841459929</v>
      </c>
      <c r="F820" s="357">
        <f t="shared" ca="1" si="358"/>
        <v>3.27749262745056</v>
      </c>
      <c r="G820" s="359">
        <f t="shared" ca="1" si="359"/>
        <v>16.376842024030665</v>
      </c>
      <c r="H820" s="360">
        <f t="shared" ca="1" si="360"/>
        <v>-130.21823610781885</v>
      </c>
      <c r="I820" s="357">
        <f t="shared" ca="1" si="361"/>
        <v>131.24400927170623</v>
      </c>
      <c r="J820" s="359">
        <f t="shared" ca="1" si="362"/>
        <v>953.1802660510491</v>
      </c>
      <c r="K820" s="360">
        <f t="shared" ca="1" si="363"/>
        <v>-9.6030075621309106</v>
      </c>
      <c r="L820" s="357">
        <f t="shared" ca="1" si="348"/>
        <v>953.2286385455418</v>
      </c>
      <c r="M820" s="359">
        <f t="shared" ca="1" si="364"/>
        <v>-1.4456885840926175</v>
      </c>
      <c r="N820" s="357">
        <f t="shared" ca="1" si="365"/>
        <v>-82.831854358750789</v>
      </c>
      <c r="O820" s="343"/>
      <c r="P820" s="363">
        <f t="shared" ca="1" si="366"/>
        <v>23</v>
      </c>
      <c r="Q820" s="357">
        <f t="shared" ca="1" si="367"/>
        <v>0</v>
      </c>
      <c r="R820" s="359">
        <f t="shared" ca="1" si="368"/>
        <v>0</v>
      </c>
      <c r="S820" s="360">
        <f t="shared" ca="1" si="369"/>
        <v>8.3819999999999997</v>
      </c>
      <c r="T820" s="357">
        <f t="shared" ca="1" si="349"/>
        <v>82.227419999999995</v>
      </c>
      <c r="U820" s="364">
        <f t="shared" ca="1" si="350"/>
        <v>0</v>
      </c>
      <c r="V820" s="359">
        <f t="shared" ca="1" si="351"/>
        <v>1.2261769335314414</v>
      </c>
      <c r="W820" s="357">
        <f t="shared" ca="1" si="352"/>
        <v>56.101179377450293</v>
      </c>
      <c r="X820" s="343"/>
      <c r="Y820" s="367" t="str">
        <f t="shared" ca="1" si="370"/>
        <v/>
      </c>
      <c r="Z820" s="368" t="str">
        <f t="shared" ca="1" si="371"/>
        <v/>
      </c>
      <c r="AA820" s="369" t="str">
        <f t="shared" ca="1" si="372"/>
        <v/>
      </c>
      <c r="AB820" s="344"/>
      <c r="AC820" s="363" t="e">
        <f t="shared" ca="1" si="373"/>
        <v>#N/A</v>
      </c>
      <c r="AD820" s="376" t="e">
        <f t="shared" ca="1" si="374"/>
        <v>#N/A</v>
      </c>
      <c r="AE820" s="377" t="e">
        <f t="shared" ca="1" si="353"/>
        <v>#N/A</v>
      </c>
      <c r="AF820" s="344"/>
      <c r="AG820" s="359">
        <f t="shared" ca="1" si="375"/>
        <v>3.0403117770468215</v>
      </c>
      <c r="AH820" s="357">
        <f t="shared" ca="1" si="376"/>
        <v>-6.6930143645481897</v>
      </c>
    </row>
    <row r="821" spans="1:34" x14ac:dyDescent="0.2">
      <c r="A821" s="402">
        <f t="shared" ca="1" si="354"/>
        <v>1E-4</v>
      </c>
      <c r="B821" s="357">
        <f t="shared" ca="1" si="355"/>
        <v>35.310400000000534</v>
      </c>
      <c r="C821" s="342"/>
      <c r="D821" s="359">
        <f t="shared" ca="1" si="356"/>
        <v>-0.83517023054111106</v>
      </c>
      <c r="E821" s="360">
        <f t="shared" ca="1" si="357"/>
        <v>-3.1692572907986518</v>
      </c>
      <c r="F821" s="357">
        <f t="shared" ca="1" si="358"/>
        <v>3.2774534457811146</v>
      </c>
      <c r="G821" s="359">
        <f t="shared" ca="1" si="359"/>
        <v>16.376758507007612</v>
      </c>
      <c r="H821" s="360">
        <f t="shared" ca="1" si="360"/>
        <v>-130.21855303354792</v>
      </c>
      <c r="I821" s="357">
        <f t="shared" ca="1" si="361"/>
        <v>131.24431329908271</v>
      </c>
      <c r="J821" s="359">
        <f t="shared" ca="1" si="362"/>
        <v>953.1802660510491</v>
      </c>
      <c r="K821" s="360">
        <f t="shared" ca="1" si="363"/>
        <v>-9.6160294015879781</v>
      </c>
      <c r="L821" s="357">
        <f t="shared" ca="1" si="348"/>
        <v>953.22876981897741</v>
      </c>
      <c r="M821" s="359">
        <f t="shared" ca="1" si="364"/>
        <v>-1.4456895167866184</v>
      </c>
      <c r="N821" s="357">
        <f t="shared" ca="1" si="365"/>
        <v>-82.831907798180609</v>
      </c>
      <c r="O821" s="343"/>
      <c r="P821" s="363">
        <f t="shared" ca="1" si="366"/>
        <v>23</v>
      </c>
      <c r="Q821" s="357">
        <f t="shared" ca="1" si="367"/>
        <v>0</v>
      </c>
      <c r="R821" s="359">
        <f t="shared" ca="1" si="368"/>
        <v>0</v>
      </c>
      <c r="S821" s="360">
        <f t="shared" ca="1" si="369"/>
        <v>8.3819999999999997</v>
      </c>
      <c r="T821" s="357">
        <f t="shared" ca="1" si="349"/>
        <v>82.227419999999995</v>
      </c>
      <c r="U821" s="364">
        <f t="shared" ca="1" si="350"/>
        <v>0</v>
      </c>
      <c r="V821" s="359">
        <f t="shared" ca="1" si="351"/>
        <v>1.2261785302407666</v>
      </c>
      <c r="W821" s="357">
        <f t="shared" ca="1" si="352"/>
        <v>56.10151234951114</v>
      </c>
      <c r="X821" s="343"/>
      <c r="Y821" s="367" t="str">
        <f t="shared" ca="1" si="370"/>
        <v/>
      </c>
      <c r="Z821" s="368" t="str">
        <f t="shared" ca="1" si="371"/>
        <v/>
      </c>
      <c r="AA821" s="369" t="str">
        <f t="shared" ca="1" si="372"/>
        <v/>
      </c>
      <c r="AB821" s="344"/>
      <c r="AC821" s="363" t="e">
        <f t="shared" ca="1" si="373"/>
        <v>#N/A</v>
      </c>
      <c r="AD821" s="376" t="e">
        <f t="shared" ca="1" si="374"/>
        <v>#N/A</v>
      </c>
      <c r="AE821" s="377" t="e">
        <f t="shared" ca="1" si="353"/>
        <v>#N/A</v>
      </c>
      <c r="AF821" s="344"/>
      <c r="AG821" s="359">
        <f t="shared" ca="1" si="375"/>
        <v>3.0402731939165228</v>
      </c>
      <c r="AH821" s="357">
        <f t="shared" ca="1" si="376"/>
        <v>-6.69305408941187</v>
      </c>
    </row>
    <row r="822" spans="1:34" x14ac:dyDescent="0.2">
      <c r="A822" s="402">
        <f t="shared" ca="1" si="354"/>
        <v>1E-4</v>
      </c>
      <c r="B822" s="357">
        <f t="shared" ca="1" si="355"/>
        <v>35.310500000000538</v>
      </c>
      <c r="C822" s="342"/>
      <c r="D822" s="359">
        <f t="shared" ca="1" si="356"/>
        <v>-0.83516899363052866</v>
      </c>
      <c r="E822" s="360">
        <f t="shared" ca="1" si="357"/>
        <v>-3.1692170976621608</v>
      </c>
      <c r="F822" s="357">
        <f t="shared" ca="1" si="358"/>
        <v>3.2774142643303423</v>
      </c>
      <c r="G822" s="359">
        <f t="shared" ca="1" si="359"/>
        <v>16.376674990108249</v>
      </c>
      <c r="H822" s="360">
        <f t="shared" ca="1" si="360"/>
        <v>-130.21886995525767</v>
      </c>
      <c r="I822" s="357">
        <f t="shared" ca="1" si="361"/>
        <v>131.24461732260087</v>
      </c>
      <c r="J822" s="359">
        <f t="shared" ca="1" si="362"/>
        <v>953.1802660510491</v>
      </c>
      <c r="K822" s="360">
        <f t="shared" ca="1" si="363"/>
        <v>-9.6290512727374189</v>
      </c>
      <c r="L822" s="357">
        <f t="shared" ca="1" si="348"/>
        <v>953.22890127060339</v>
      </c>
      <c r="M822" s="359">
        <f t="shared" ca="1" si="364"/>
        <v>-1.4456904494715415</v>
      </c>
      <c r="N822" s="357">
        <f t="shared" ca="1" si="365"/>
        <v>-82.831961237090326</v>
      </c>
      <c r="O822" s="343"/>
      <c r="P822" s="363">
        <f t="shared" ca="1" si="366"/>
        <v>23</v>
      </c>
      <c r="Q822" s="357">
        <f t="shared" ca="1" si="367"/>
        <v>0</v>
      </c>
      <c r="R822" s="359">
        <f t="shared" ca="1" si="368"/>
        <v>0</v>
      </c>
      <c r="S822" s="360">
        <f t="shared" ca="1" si="369"/>
        <v>8.3819999999999997</v>
      </c>
      <c r="T822" s="357">
        <f t="shared" ca="1" si="349"/>
        <v>82.227419999999995</v>
      </c>
      <c r="U822" s="364">
        <f t="shared" ca="1" si="350"/>
        <v>0</v>
      </c>
      <c r="V822" s="359">
        <f t="shared" ca="1" si="351"/>
        <v>1.226180126956059</v>
      </c>
      <c r="W822" s="357">
        <f t="shared" ca="1" si="352"/>
        <v>56.101845319825465</v>
      </c>
      <c r="X822" s="343"/>
      <c r="Y822" s="367" t="str">
        <f t="shared" ca="1" si="370"/>
        <v/>
      </c>
      <c r="Z822" s="368" t="str">
        <f t="shared" ca="1" si="371"/>
        <v/>
      </c>
      <c r="AA822" s="369" t="str">
        <f t="shared" ca="1" si="372"/>
        <v/>
      </c>
      <c r="AB822" s="344"/>
      <c r="AC822" s="363" t="e">
        <f t="shared" ca="1" si="373"/>
        <v>#N/A</v>
      </c>
      <c r="AD822" s="376" t="e">
        <f t="shared" ca="1" si="374"/>
        <v>#N/A</v>
      </c>
      <c r="AE822" s="377" t="e">
        <f t="shared" ca="1" si="353"/>
        <v>#N/A</v>
      </c>
      <c r="AF822" s="344"/>
      <c r="AG822" s="359">
        <f t="shared" ca="1" si="375"/>
        <v>3.0402346109750109</v>
      </c>
      <c r="AH822" s="357">
        <f t="shared" ca="1" si="376"/>
        <v>-6.6930938140671845</v>
      </c>
    </row>
    <row r="823" spans="1:34" x14ac:dyDescent="0.2">
      <c r="A823" s="402">
        <f t="shared" ca="1" si="354"/>
        <v>1E-4</v>
      </c>
      <c r="B823" s="357">
        <f t="shared" ca="1" si="355"/>
        <v>35.310600000000541</v>
      </c>
      <c r="C823" s="342"/>
      <c r="D823" s="359">
        <f t="shared" ca="1" si="356"/>
        <v>-0.83516775667998155</v>
      </c>
      <c r="E823" s="360">
        <f t="shared" ca="1" si="357"/>
        <v>-3.1691769047365188</v>
      </c>
      <c r="F823" s="357">
        <f t="shared" ca="1" si="358"/>
        <v>3.2773750830982431</v>
      </c>
      <c r="G823" s="359">
        <f t="shared" ca="1" si="359"/>
        <v>16.376591473332581</v>
      </c>
      <c r="H823" s="360">
        <f t="shared" ca="1" si="360"/>
        <v>-130.21918687294814</v>
      </c>
      <c r="I823" s="357">
        <f t="shared" ca="1" si="361"/>
        <v>131.2449213422608</v>
      </c>
      <c r="J823" s="359">
        <f t="shared" ca="1" si="362"/>
        <v>953.1802660510491</v>
      </c>
      <c r="K823" s="360">
        <f t="shared" ca="1" si="363"/>
        <v>-9.6420731755788296</v>
      </c>
      <c r="L823" s="357">
        <f t="shared" ca="1" si="348"/>
        <v>953.22903290042098</v>
      </c>
      <c r="M823" s="359">
        <f t="shared" ca="1" si="364"/>
        <v>-1.4456913821473873</v>
      </c>
      <c r="N823" s="357">
        <f t="shared" ca="1" si="365"/>
        <v>-82.83201467547994</v>
      </c>
      <c r="O823" s="343"/>
      <c r="P823" s="363">
        <f t="shared" ca="1" si="366"/>
        <v>23</v>
      </c>
      <c r="Q823" s="357">
        <f t="shared" ca="1" si="367"/>
        <v>0</v>
      </c>
      <c r="R823" s="359">
        <f t="shared" ca="1" si="368"/>
        <v>0</v>
      </c>
      <c r="S823" s="360">
        <f t="shared" ca="1" si="369"/>
        <v>8.3819999999999997</v>
      </c>
      <c r="T823" s="357">
        <f t="shared" ca="1" si="349"/>
        <v>82.227419999999995</v>
      </c>
      <c r="U823" s="364">
        <f t="shared" ca="1" si="350"/>
        <v>0</v>
      </c>
      <c r="V823" s="359">
        <f t="shared" ca="1" si="351"/>
        <v>1.2261817236773169</v>
      </c>
      <c r="W823" s="357">
        <f t="shared" ca="1" si="352"/>
        <v>56.10217828839324</v>
      </c>
      <c r="X823" s="343"/>
      <c r="Y823" s="367" t="str">
        <f t="shared" ca="1" si="370"/>
        <v/>
      </c>
      <c r="Z823" s="368" t="str">
        <f t="shared" ca="1" si="371"/>
        <v/>
      </c>
      <c r="AA823" s="369" t="str">
        <f t="shared" ca="1" si="372"/>
        <v/>
      </c>
      <c r="AB823" s="344"/>
      <c r="AC823" s="363" t="e">
        <f t="shared" ca="1" si="373"/>
        <v>#N/A</v>
      </c>
      <c r="AD823" s="376" t="e">
        <f t="shared" ca="1" si="374"/>
        <v>#N/A</v>
      </c>
      <c r="AE823" s="377" t="e">
        <f t="shared" ca="1" si="353"/>
        <v>#N/A</v>
      </c>
      <c r="AF823" s="344"/>
      <c r="AG823" s="359">
        <f t="shared" ca="1" si="375"/>
        <v>3.040196028222284</v>
      </c>
      <c r="AH823" s="357">
        <f t="shared" ca="1" si="376"/>
        <v>-6.6931335385141333</v>
      </c>
    </row>
    <row r="824" spans="1:34" x14ac:dyDescent="0.2">
      <c r="A824" s="402">
        <f t="shared" ca="1" si="354"/>
        <v>1E-4</v>
      </c>
      <c r="B824" s="357">
        <f t="shared" ca="1" si="355"/>
        <v>35.310700000000544</v>
      </c>
      <c r="C824" s="342"/>
      <c r="D824" s="359">
        <f t="shared" ca="1" si="356"/>
        <v>-0.83516651968946665</v>
      </c>
      <c r="E824" s="360">
        <f t="shared" ca="1" si="357"/>
        <v>-3.1691367120217278</v>
      </c>
      <c r="F824" s="357">
        <f t="shared" ca="1" si="358"/>
        <v>3.2773359020848174</v>
      </c>
      <c r="G824" s="359">
        <f t="shared" ca="1" si="359"/>
        <v>16.376507956680612</v>
      </c>
      <c r="H824" s="360">
        <f t="shared" ca="1" si="360"/>
        <v>-130.21950378661936</v>
      </c>
      <c r="I824" s="357">
        <f t="shared" ca="1" si="361"/>
        <v>131.24522535806244</v>
      </c>
      <c r="J824" s="359">
        <f t="shared" ca="1" si="362"/>
        <v>953.1802660510491</v>
      </c>
      <c r="K824" s="360">
        <f t="shared" ca="1" si="363"/>
        <v>-9.6550951101118088</v>
      </c>
      <c r="L824" s="357">
        <f t="shared" ca="1" si="348"/>
        <v>953.22916470843154</v>
      </c>
      <c r="M824" s="359">
        <f t="shared" ca="1" si="364"/>
        <v>-1.4456923148141561</v>
      </c>
      <c r="N824" s="357">
        <f t="shared" ca="1" si="365"/>
        <v>-82.832068113349479</v>
      </c>
      <c r="O824" s="343"/>
      <c r="P824" s="363">
        <f t="shared" ca="1" si="366"/>
        <v>23</v>
      </c>
      <c r="Q824" s="357">
        <f t="shared" ca="1" si="367"/>
        <v>0</v>
      </c>
      <c r="R824" s="359">
        <f t="shared" ca="1" si="368"/>
        <v>0</v>
      </c>
      <c r="S824" s="360">
        <f t="shared" ca="1" si="369"/>
        <v>8.3819999999999997</v>
      </c>
      <c r="T824" s="357">
        <f t="shared" ca="1" si="349"/>
        <v>82.227419999999995</v>
      </c>
      <c r="U824" s="364">
        <f t="shared" ca="1" si="350"/>
        <v>0</v>
      </c>
      <c r="V824" s="359">
        <f t="shared" ca="1" si="351"/>
        <v>1.2261833204045414</v>
      </c>
      <c r="W824" s="357">
        <f t="shared" ca="1" si="352"/>
        <v>56.102511255214445</v>
      </c>
      <c r="X824" s="343"/>
      <c r="Y824" s="367" t="str">
        <f t="shared" ca="1" si="370"/>
        <v/>
      </c>
      <c r="Z824" s="368" t="str">
        <f t="shared" ca="1" si="371"/>
        <v/>
      </c>
      <c r="AA824" s="369" t="str">
        <f t="shared" ca="1" si="372"/>
        <v/>
      </c>
      <c r="AB824" s="344"/>
      <c r="AC824" s="363" t="e">
        <f t="shared" ca="1" si="373"/>
        <v>#N/A</v>
      </c>
      <c r="AD824" s="376" t="e">
        <f t="shared" ca="1" si="374"/>
        <v>#N/A</v>
      </c>
      <c r="AE824" s="377" t="e">
        <f t="shared" ca="1" si="353"/>
        <v>#N/A</v>
      </c>
      <c r="AF824" s="344"/>
      <c r="AG824" s="359">
        <f t="shared" ca="1" si="375"/>
        <v>3.04015744565835</v>
      </c>
      <c r="AH824" s="357">
        <f t="shared" ca="1" si="376"/>
        <v>-6.6931732627527136</v>
      </c>
    </row>
    <row r="825" spans="1:34" x14ac:dyDescent="0.2">
      <c r="A825" s="402">
        <f t="shared" ca="1" si="354"/>
        <v>1E-4</v>
      </c>
      <c r="B825" s="357">
        <f t="shared" ca="1" si="355"/>
        <v>35.310800000000548</v>
      </c>
      <c r="C825" s="342"/>
      <c r="D825" s="359">
        <f t="shared" ca="1" si="356"/>
        <v>-0.83516528265898515</v>
      </c>
      <c r="E825" s="360">
        <f t="shared" ca="1" si="357"/>
        <v>-3.1690965195177938</v>
      </c>
      <c r="F825" s="357">
        <f t="shared" ca="1" si="358"/>
        <v>3.2772967212900723</v>
      </c>
      <c r="G825" s="359">
        <f t="shared" ca="1" si="359"/>
        <v>16.376424440152345</v>
      </c>
      <c r="H825" s="360">
        <f t="shared" ca="1" si="360"/>
        <v>-130.21982069627131</v>
      </c>
      <c r="I825" s="357">
        <f t="shared" ca="1" si="361"/>
        <v>131.24552937000587</v>
      </c>
      <c r="J825" s="359">
        <f t="shared" ca="1" si="362"/>
        <v>953.1802660510491</v>
      </c>
      <c r="K825" s="360">
        <f t="shared" ca="1" si="363"/>
        <v>-9.6681170763359532</v>
      </c>
      <c r="L825" s="357">
        <f t="shared" ca="1" si="348"/>
        <v>953.22929669463599</v>
      </c>
      <c r="M825" s="359">
        <f t="shared" ca="1" si="364"/>
        <v>-1.4456932474718474</v>
      </c>
      <c r="N825" s="357">
        <f t="shared" ca="1" si="365"/>
        <v>-82.832121550698929</v>
      </c>
      <c r="O825" s="343"/>
      <c r="P825" s="363">
        <f t="shared" ca="1" si="366"/>
        <v>23</v>
      </c>
      <c r="Q825" s="357">
        <f t="shared" ca="1" si="367"/>
        <v>0</v>
      </c>
      <c r="R825" s="359">
        <f t="shared" ca="1" si="368"/>
        <v>0</v>
      </c>
      <c r="S825" s="360">
        <f t="shared" ca="1" si="369"/>
        <v>8.3819999999999997</v>
      </c>
      <c r="T825" s="357">
        <f t="shared" ca="1" si="349"/>
        <v>82.227419999999995</v>
      </c>
      <c r="U825" s="364">
        <f t="shared" ca="1" si="350"/>
        <v>0</v>
      </c>
      <c r="V825" s="359">
        <f t="shared" ca="1" si="351"/>
        <v>1.2261849171377319</v>
      </c>
      <c r="W825" s="357">
        <f t="shared" ca="1" si="352"/>
        <v>56.102844220289079</v>
      </c>
      <c r="X825" s="343"/>
      <c r="Y825" s="367" t="str">
        <f t="shared" ca="1" si="370"/>
        <v/>
      </c>
      <c r="Z825" s="368" t="str">
        <f t="shared" ca="1" si="371"/>
        <v/>
      </c>
      <c r="AA825" s="369" t="str">
        <f t="shared" ca="1" si="372"/>
        <v/>
      </c>
      <c r="AB825" s="344"/>
      <c r="AC825" s="363" t="e">
        <f t="shared" ca="1" si="373"/>
        <v>#N/A</v>
      </c>
      <c r="AD825" s="376" t="e">
        <f t="shared" ca="1" si="374"/>
        <v>#N/A</v>
      </c>
      <c r="AE825" s="377" t="e">
        <f t="shared" ca="1" si="353"/>
        <v>#N/A</v>
      </c>
      <c r="AF825" s="344"/>
      <c r="AG825" s="359">
        <f t="shared" ca="1" si="375"/>
        <v>3.0401188632832064</v>
      </c>
      <c r="AH825" s="357">
        <f t="shared" ca="1" si="376"/>
        <v>-6.6932129867829211</v>
      </c>
    </row>
    <row r="826" spans="1:34" x14ac:dyDescent="0.2">
      <c r="A826" s="402">
        <f t="shared" ca="1" si="354"/>
        <v>1E-4</v>
      </c>
      <c r="B826" s="357">
        <f t="shared" ca="1" si="355"/>
        <v>35.310900000000551</v>
      </c>
      <c r="C826" s="342"/>
      <c r="D826" s="359">
        <f t="shared" ca="1" si="356"/>
        <v>-0.8351640455885404</v>
      </c>
      <c r="E826" s="360">
        <f t="shared" ca="1" si="357"/>
        <v>-3.1690563272247125</v>
      </c>
      <c r="F826" s="357">
        <f t="shared" ca="1" si="358"/>
        <v>3.2772575407140043</v>
      </c>
      <c r="G826" s="359">
        <f t="shared" ca="1" si="359"/>
        <v>16.376340923747787</v>
      </c>
      <c r="H826" s="360">
        <f t="shared" ca="1" si="360"/>
        <v>-130.22013760190404</v>
      </c>
      <c r="I826" s="357">
        <f t="shared" ca="1" si="361"/>
        <v>131.24583337809105</v>
      </c>
      <c r="J826" s="359">
        <f t="shared" ca="1" si="362"/>
        <v>953.1802660510491</v>
      </c>
      <c r="K826" s="360">
        <f t="shared" ca="1" si="363"/>
        <v>-9.6811390742508614</v>
      </c>
      <c r="L826" s="357">
        <f t="shared" ca="1" si="348"/>
        <v>953.22942885903592</v>
      </c>
      <c r="M826" s="359">
        <f t="shared" ca="1" si="364"/>
        <v>-1.4456941801204617</v>
      </c>
      <c r="N826" s="357">
        <f t="shared" ca="1" si="365"/>
        <v>-82.83217498752829</v>
      </c>
      <c r="O826" s="343"/>
      <c r="P826" s="363">
        <f t="shared" ca="1" si="366"/>
        <v>23</v>
      </c>
      <c r="Q826" s="357">
        <f t="shared" ca="1" si="367"/>
        <v>0</v>
      </c>
      <c r="R826" s="359">
        <f t="shared" ca="1" si="368"/>
        <v>0</v>
      </c>
      <c r="S826" s="360">
        <f t="shared" ca="1" si="369"/>
        <v>8.3819999999999997</v>
      </c>
      <c r="T826" s="357">
        <f t="shared" ca="1" si="349"/>
        <v>82.227419999999995</v>
      </c>
      <c r="U826" s="364">
        <f t="shared" ca="1" si="350"/>
        <v>0</v>
      </c>
      <c r="V826" s="359">
        <f t="shared" ca="1" si="351"/>
        <v>1.2261865138768886</v>
      </c>
      <c r="W826" s="357">
        <f t="shared" ca="1" si="352"/>
        <v>56.103177183617106</v>
      </c>
      <c r="X826" s="343"/>
      <c r="Y826" s="367" t="str">
        <f t="shared" ca="1" si="370"/>
        <v/>
      </c>
      <c r="Z826" s="368" t="str">
        <f t="shared" ca="1" si="371"/>
        <v/>
      </c>
      <c r="AA826" s="369" t="str">
        <f t="shared" ca="1" si="372"/>
        <v/>
      </c>
      <c r="AB826" s="344"/>
      <c r="AC826" s="363" t="e">
        <f t="shared" ca="1" si="373"/>
        <v>#N/A</v>
      </c>
      <c r="AD826" s="376" t="e">
        <f t="shared" ca="1" si="374"/>
        <v>#N/A</v>
      </c>
      <c r="AE826" s="377" t="e">
        <f t="shared" ca="1" si="353"/>
        <v>#N/A</v>
      </c>
      <c r="AF826" s="344"/>
      <c r="AG826" s="359">
        <f t="shared" ca="1" si="375"/>
        <v>3.0400802810968575</v>
      </c>
      <c r="AH826" s="357">
        <f t="shared" ca="1" si="376"/>
        <v>-6.6932527106047583</v>
      </c>
    </row>
    <row r="827" spans="1:34" x14ac:dyDescent="0.2">
      <c r="A827" s="402">
        <f t="shared" ca="1" si="354"/>
        <v>1E-4</v>
      </c>
      <c r="B827" s="357">
        <f t="shared" ca="1" si="355"/>
        <v>35.311000000000554</v>
      </c>
      <c r="C827" s="342"/>
      <c r="D827" s="359">
        <f t="shared" ca="1" si="356"/>
        <v>-0.83516280847813018</v>
      </c>
      <c r="E827" s="360">
        <f t="shared" ca="1" si="357"/>
        <v>-3.1690161351424919</v>
      </c>
      <c r="F827" s="357">
        <f t="shared" ca="1" si="358"/>
        <v>3.2772183603566201</v>
      </c>
      <c r="G827" s="359">
        <f t="shared" ca="1" si="359"/>
        <v>16.376257407466937</v>
      </c>
      <c r="H827" s="360">
        <f t="shared" ca="1" si="360"/>
        <v>-130.22045450351754</v>
      </c>
      <c r="I827" s="357">
        <f t="shared" ca="1" si="361"/>
        <v>131.24613738231804</v>
      </c>
      <c r="J827" s="359">
        <f t="shared" ca="1" si="362"/>
        <v>953.1802660510491</v>
      </c>
      <c r="K827" s="360">
        <f t="shared" ca="1" si="363"/>
        <v>-9.6941611038561319</v>
      </c>
      <c r="L827" s="357">
        <f t="shared" ca="1" si="348"/>
        <v>953.22956120163224</v>
      </c>
      <c r="M827" s="359">
        <f t="shared" ca="1" si="364"/>
        <v>-1.4456951127599991</v>
      </c>
      <c r="N827" s="357">
        <f t="shared" ca="1" si="365"/>
        <v>-82.832228423837591</v>
      </c>
      <c r="O827" s="343"/>
      <c r="P827" s="363">
        <f t="shared" ca="1" si="366"/>
        <v>23</v>
      </c>
      <c r="Q827" s="357">
        <f t="shared" ca="1" si="367"/>
        <v>0</v>
      </c>
      <c r="R827" s="359">
        <f t="shared" ca="1" si="368"/>
        <v>0</v>
      </c>
      <c r="S827" s="360">
        <f t="shared" ca="1" si="369"/>
        <v>8.3819999999999997</v>
      </c>
      <c r="T827" s="357">
        <f t="shared" ca="1" si="349"/>
        <v>82.227419999999995</v>
      </c>
      <c r="U827" s="364">
        <f t="shared" ca="1" si="350"/>
        <v>0</v>
      </c>
      <c r="V827" s="359">
        <f t="shared" ca="1" si="351"/>
        <v>1.2261881106220114</v>
      </c>
      <c r="W827" s="357">
        <f t="shared" ca="1" si="352"/>
        <v>56.103510145198527</v>
      </c>
      <c r="X827" s="343"/>
      <c r="Y827" s="367" t="str">
        <f t="shared" ca="1" si="370"/>
        <v/>
      </c>
      <c r="Z827" s="368" t="str">
        <f t="shared" ca="1" si="371"/>
        <v/>
      </c>
      <c r="AA827" s="369" t="str">
        <f t="shared" ca="1" si="372"/>
        <v/>
      </c>
      <c r="AB827" s="344"/>
      <c r="AC827" s="363" t="e">
        <f t="shared" ca="1" si="373"/>
        <v>#N/A</v>
      </c>
      <c r="AD827" s="376" t="e">
        <f t="shared" ca="1" si="374"/>
        <v>#N/A</v>
      </c>
      <c r="AE827" s="377" t="e">
        <f t="shared" ca="1" si="353"/>
        <v>#N/A</v>
      </c>
      <c r="AF827" s="344"/>
      <c r="AG827" s="359">
        <f t="shared" ca="1" si="375"/>
        <v>3.0400416990993104</v>
      </c>
      <c r="AH827" s="357">
        <f t="shared" ca="1" si="376"/>
        <v>-6.6932924342182183</v>
      </c>
    </row>
    <row r="828" spans="1:34" x14ac:dyDescent="0.2">
      <c r="A828" s="402">
        <f t="shared" ca="1" si="354"/>
        <v>1E-4</v>
      </c>
      <c r="B828" s="357">
        <f t="shared" ca="1" si="355"/>
        <v>35.311100000000557</v>
      </c>
      <c r="C828" s="342"/>
      <c r="D828" s="359">
        <f t="shared" ca="1" si="356"/>
        <v>-0.83516157132775659</v>
      </c>
      <c r="E828" s="360">
        <f t="shared" ca="1" si="357"/>
        <v>-3.1689759432711302</v>
      </c>
      <c r="F828" s="357">
        <f t="shared" ca="1" si="358"/>
        <v>3.2771791802179195</v>
      </c>
      <c r="G828" s="359">
        <f t="shared" ca="1" si="359"/>
        <v>16.376173891309804</v>
      </c>
      <c r="H828" s="360">
        <f t="shared" ca="1" si="360"/>
        <v>-130.22077140111188</v>
      </c>
      <c r="I828" s="357">
        <f t="shared" ca="1" si="361"/>
        <v>131.24644138268684</v>
      </c>
      <c r="J828" s="359">
        <f t="shared" ca="1" si="362"/>
        <v>953.1802660510491</v>
      </c>
      <c r="K828" s="360">
        <f t="shared" ca="1" si="363"/>
        <v>-9.7071831651513634</v>
      </c>
      <c r="L828" s="357">
        <f t="shared" ca="1" si="348"/>
        <v>953.2296937224263</v>
      </c>
      <c r="M828" s="359">
        <f t="shared" ca="1" si="364"/>
        <v>-1.4456960453904599</v>
      </c>
      <c r="N828" s="357">
        <f t="shared" ca="1" si="365"/>
        <v>-82.832281859626846</v>
      </c>
      <c r="O828" s="343"/>
      <c r="P828" s="363">
        <f t="shared" ca="1" si="366"/>
        <v>23</v>
      </c>
      <c r="Q828" s="357">
        <f t="shared" ca="1" si="367"/>
        <v>0</v>
      </c>
      <c r="R828" s="359">
        <f t="shared" ca="1" si="368"/>
        <v>0</v>
      </c>
      <c r="S828" s="360">
        <f t="shared" ca="1" si="369"/>
        <v>8.3819999999999997</v>
      </c>
      <c r="T828" s="357">
        <f t="shared" ca="1" si="349"/>
        <v>82.227419999999995</v>
      </c>
      <c r="U828" s="364">
        <f t="shared" ca="1" si="350"/>
        <v>0</v>
      </c>
      <c r="V828" s="359">
        <f t="shared" ca="1" si="351"/>
        <v>1.2261897073731003</v>
      </c>
      <c r="W828" s="357">
        <f t="shared" ca="1" si="352"/>
        <v>56.103843105033327</v>
      </c>
      <c r="X828" s="343"/>
      <c r="Y828" s="367" t="str">
        <f t="shared" ca="1" si="370"/>
        <v/>
      </c>
      <c r="Z828" s="368" t="str">
        <f t="shared" ca="1" si="371"/>
        <v/>
      </c>
      <c r="AA828" s="369" t="str">
        <f t="shared" ca="1" si="372"/>
        <v/>
      </c>
      <c r="AB828" s="344"/>
      <c r="AC828" s="363" t="e">
        <f t="shared" ca="1" si="373"/>
        <v>#N/A</v>
      </c>
      <c r="AD828" s="376" t="e">
        <f t="shared" ca="1" si="374"/>
        <v>#N/A</v>
      </c>
      <c r="AE828" s="377" t="e">
        <f t="shared" ca="1" si="353"/>
        <v>#N/A</v>
      </c>
      <c r="AF828" s="344"/>
      <c r="AG828" s="359">
        <f t="shared" ca="1" si="375"/>
        <v>3.0400031172905591</v>
      </c>
      <c r="AH828" s="357">
        <f t="shared" ca="1" si="376"/>
        <v>-6.6933321576233036</v>
      </c>
    </row>
    <row r="829" spans="1:34" x14ac:dyDescent="0.2">
      <c r="A829" s="402">
        <f t="shared" ca="1" si="354"/>
        <v>1E-4</v>
      </c>
      <c r="B829" s="357">
        <f t="shared" ca="1" si="355"/>
        <v>35.311200000000561</v>
      </c>
      <c r="C829" s="342"/>
      <c r="D829" s="359">
        <f t="shared" ca="1" si="356"/>
        <v>-0.83516033413741797</v>
      </c>
      <c r="E829" s="360">
        <f t="shared" ca="1" si="357"/>
        <v>-3.1689357516106291</v>
      </c>
      <c r="F829" s="357">
        <f t="shared" ca="1" si="358"/>
        <v>3.2771400002979041</v>
      </c>
      <c r="G829" s="359">
        <f t="shared" ca="1" si="359"/>
        <v>16.376090375276391</v>
      </c>
      <c r="H829" s="360">
        <f t="shared" ca="1" si="360"/>
        <v>-130.22108829468704</v>
      </c>
      <c r="I829" s="357">
        <f t="shared" ca="1" si="361"/>
        <v>131.24674537919748</v>
      </c>
      <c r="J829" s="359">
        <f t="shared" ca="1" si="362"/>
        <v>953.1802660510491</v>
      </c>
      <c r="K829" s="360">
        <f t="shared" ca="1" si="363"/>
        <v>-9.7202052581361524</v>
      </c>
      <c r="L829" s="357">
        <f t="shared" ca="1" si="348"/>
        <v>953.22982642141926</v>
      </c>
      <c r="M829" s="359">
        <f t="shared" ca="1" si="364"/>
        <v>-1.4456969780118438</v>
      </c>
      <c r="N829" s="357">
        <f t="shared" ca="1" si="365"/>
        <v>-82.832335294896026</v>
      </c>
      <c r="O829" s="343"/>
      <c r="P829" s="363">
        <f t="shared" ca="1" si="366"/>
        <v>23</v>
      </c>
      <c r="Q829" s="357">
        <f t="shared" ca="1" si="367"/>
        <v>0</v>
      </c>
      <c r="R829" s="359">
        <f t="shared" ca="1" si="368"/>
        <v>0</v>
      </c>
      <c r="S829" s="360">
        <f t="shared" ca="1" si="369"/>
        <v>8.3819999999999997</v>
      </c>
      <c r="T829" s="357">
        <f t="shared" ca="1" si="349"/>
        <v>82.227419999999995</v>
      </c>
      <c r="U829" s="364">
        <f t="shared" ca="1" si="350"/>
        <v>0</v>
      </c>
      <c r="V829" s="359">
        <f t="shared" ca="1" si="351"/>
        <v>1.2261913041301555</v>
      </c>
      <c r="W829" s="357">
        <f t="shared" ca="1" si="352"/>
        <v>56.104176063121486</v>
      </c>
      <c r="X829" s="343"/>
      <c r="Y829" s="367" t="str">
        <f t="shared" ca="1" si="370"/>
        <v/>
      </c>
      <c r="Z829" s="368" t="str">
        <f t="shared" ca="1" si="371"/>
        <v/>
      </c>
      <c r="AA829" s="369" t="str">
        <f t="shared" ca="1" si="372"/>
        <v/>
      </c>
      <c r="AB829" s="344"/>
      <c r="AC829" s="363" t="e">
        <f t="shared" ca="1" si="373"/>
        <v>#N/A</v>
      </c>
      <c r="AD829" s="376" t="e">
        <f t="shared" ca="1" si="374"/>
        <v>#N/A</v>
      </c>
      <c r="AE829" s="377" t="e">
        <f t="shared" ca="1" si="353"/>
        <v>#N/A</v>
      </c>
      <c r="AF829" s="344"/>
      <c r="AG829" s="359">
        <f t="shared" ca="1" si="375"/>
        <v>3.0399645356706104</v>
      </c>
      <c r="AH829" s="357">
        <f t="shared" ca="1" si="376"/>
        <v>-6.6933718808200107</v>
      </c>
    </row>
    <row r="830" spans="1:34" x14ac:dyDescent="0.2">
      <c r="A830" s="402">
        <f t="shared" ca="1" si="354"/>
        <v>1E-4</v>
      </c>
      <c r="B830" s="357">
        <f t="shared" ca="1" si="355"/>
        <v>35.311300000000564</v>
      </c>
      <c r="C830" s="342"/>
      <c r="D830" s="359">
        <f t="shared" ca="1" si="356"/>
        <v>-0.83515909690711854</v>
      </c>
      <c r="E830" s="360">
        <f t="shared" ca="1" si="357"/>
        <v>-3.1688955601609923</v>
      </c>
      <c r="F830" s="357">
        <f t="shared" ca="1" si="358"/>
        <v>3.2771008205965777</v>
      </c>
      <c r="G830" s="359">
        <f t="shared" ca="1" si="359"/>
        <v>16.376006859366701</v>
      </c>
      <c r="H830" s="360">
        <f t="shared" ca="1" si="360"/>
        <v>-130.22140518424305</v>
      </c>
      <c r="I830" s="357">
        <f t="shared" ca="1" si="361"/>
        <v>131.24704937184998</v>
      </c>
      <c r="J830" s="359">
        <f t="shared" ca="1" si="362"/>
        <v>953.1802660510491</v>
      </c>
      <c r="K830" s="360">
        <f t="shared" ca="1" si="363"/>
        <v>-9.7332273828100995</v>
      </c>
      <c r="L830" s="357">
        <f t="shared" ca="1" si="348"/>
        <v>953.22995929861247</v>
      </c>
      <c r="M830" s="359">
        <f t="shared" ca="1" si="364"/>
        <v>-1.4456979106241514</v>
      </c>
      <c r="N830" s="357">
        <f t="shared" ca="1" si="365"/>
        <v>-82.832388729645174</v>
      </c>
      <c r="O830" s="343"/>
      <c r="P830" s="363">
        <f t="shared" ca="1" si="366"/>
        <v>23</v>
      </c>
      <c r="Q830" s="357">
        <f t="shared" ca="1" si="367"/>
        <v>0</v>
      </c>
      <c r="R830" s="359">
        <f t="shared" ca="1" si="368"/>
        <v>0</v>
      </c>
      <c r="S830" s="360">
        <f t="shared" ca="1" si="369"/>
        <v>8.3819999999999997</v>
      </c>
      <c r="T830" s="357">
        <f t="shared" ca="1" si="349"/>
        <v>82.227419999999995</v>
      </c>
      <c r="U830" s="364">
        <f t="shared" ca="1" si="350"/>
        <v>0</v>
      </c>
      <c r="V830" s="359">
        <f t="shared" ca="1" si="351"/>
        <v>1.2261929008931765</v>
      </c>
      <c r="W830" s="357">
        <f t="shared" ca="1" si="352"/>
        <v>56.104509019462995</v>
      </c>
      <c r="X830" s="343"/>
      <c r="Y830" s="367" t="str">
        <f t="shared" ca="1" si="370"/>
        <v/>
      </c>
      <c r="Z830" s="368" t="str">
        <f t="shared" ca="1" si="371"/>
        <v/>
      </c>
      <c r="AA830" s="369" t="str">
        <f t="shared" ca="1" si="372"/>
        <v/>
      </c>
      <c r="AB830" s="344"/>
      <c r="AC830" s="363" t="e">
        <f t="shared" ca="1" si="373"/>
        <v>#N/A</v>
      </c>
      <c r="AD830" s="376" t="e">
        <f t="shared" ca="1" si="374"/>
        <v>#N/A</v>
      </c>
      <c r="AE830" s="377" t="e">
        <f t="shared" ca="1" si="353"/>
        <v>#N/A</v>
      </c>
      <c r="AF830" s="344"/>
      <c r="AG830" s="359">
        <f t="shared" ca="1" si="375"/>
        <v>3.0399259542394645</v>
      </c>
      <c r="AH830" s="357">
        <f t="shared" ca="1" si="376"/>
        <v>-6.6934116038083378</v>
      </c>
    </row>
    <row r="831" spans="1:34" x14ac:dyDescent="0.2">
      <c r="A831" s="402">
        <f t="shared" ca="1" si="354"/>
        <v>1E-4</v>
      </c>
      <c r="B831" s="357">
        <f t="shared" ca="1" si="355"/>
        <v>35.311400000000567</v>
      </c>
      <c r="C831" s="342"/>
      <c r="D831" s="359">
        <f t="shared" ca="1" si="356"/>
        <v>-0.83515785963685552</v>
      </c>
      <c r="E831" s="360">
        <f t="shared" ca="1" si="357"/>
        <v>-3.1688553689222188</v>
      </c>
      <c r="F831" s="357">
        <f t="shared" ca="1" si="358"/>
        <v>3.2770616411139391</v>
      </c>
      <c r="G831" s="359">
        <f t="shared" ca="1" si="359"/>
        <v>16.375923343580737</v>
      </c>
      <c r="H831" s="360">
        <f t="shared" ca="1" si="360"/>
        <v>-130.22172206977996</v>
      </c>
      <c r="I831" s="357">
        <f t="shared" ca="1" si="361"/>
        <v>131.24735336064438</v>
      </c>
      <c r="J831" s="359">
        <f t="shared" ca="1" si="362"/>
        <v>953.1802660510491</v>
      </c>
      <c r="K831" s="360">
        <f t="shared" ca="1" si="363"/>
        <v>-9.7462495391728012</v>
      </c>
      <c r="L831" s="357">
        <f t="shared" ca="1" si="348"/>
        <v>953.23009235400696</v>
      </c>
      <c r="M831" s="359">
        <f t="shared" ca="1" si="364"/>
        <v>-1.4456988432273827</v>
      </c>
      <c r="N831" s="357">
        <f t="shared" ca="1" si="365"/>
        <v>-82.83244216387429</v>
      </c>
      <c r="O831" s="343"/>
      <c r="P831" s="363">
        <f t="shared" ca="1" si="366"/>
        <v>23</v>
      </c>
      <c r="Q831" s="357">
        <f t="shared" ca="1" si="367"/>
        <v>0</v>
      </c>
      <c r="R831" s="359">
        <f t="shared" ca="1" si="368"/>
        <v>0</v>
      </c>
      <c r="S831" s="360">
        <f t="shared" ca="1" si="369"/>
        <v>8.3819999999999997</v>
      </c>
      <c r="T831" s="357">
        <f t="shared" ca="1" si="349"/>
        <v>82.227419999999995</v>
      </c>
      <c r="U831" s="364">
        <f t="shared" ca="1" si="350"/>
        <v>0</v>
      </c>
      <c r="V831" s="359">
        <f t="shared" ca="1" si="351"/>
        <v>1.2261944976621633</v>
      </c>
      <c r="W831" s="357">
        <f t="shared" ca="1" si="352"/>
        <v>56.104841974057834</v>
      </c>
      <c r="X831" s="343"/>
      <c r="Y831" s="367" t="str">
        <f t="shared" ca="1" si="370"/>
        <v/>
      </c>
      <c r="Z831" s="368" t="str">
        <f t="shared" ca="1" si="371"/>
        <v/>
      </c>
      <c r="AA831" s="369" t="str">
        <f t="shared" ca="1" si="372"/>
        <v/>
      </c>
      <c r="AB831" s="344"/>
      <c r="AC831" s="363" t="e">
        <f t="shared" ca="1" si="373"/>
        <v>#N/A</v>
      </c>
      <c r="AD831" s="376" t="e">
        <f t="shared" ca="1" si="374"/>
        <v>#N/A</v>
      </c>
      <c r="AE831" s="377" t="e">
        <f t="shared" ca="1" si="353"/>
        <v>#N/A</v>
      </c>
      <c r="AF831" s="344"/>
      <c r="AG831" s="359">
        <f t="shared" ca="1" si="375"/>
        <v>3.0398873729971259</v>
      </c>
      <c r="AH831" s="357">
        <f t="shared" ca="1" si="376"/>
        <v>-6.693451326588284</v>
      </c>
    </row>
    <row r="832" spans="1:34" x14ac:dyDescent="0.2">
      <c r="A832" s="402">
        <f t="shared" ca="1" si="354"/>
        <v>1E-4</v>
      </c>
      <c r="B832" s="357">
        <f t="shared" ca="1" si="355"/>
        <v>35.311500000000571</v>
      </c>
      <c r="C832" s="342"/>
      <c r="D832" s="359">
        <f t="shared" ca="1" si="356"/>
        <v>-0.83515662232663024</v>
      </c>
      <c r="E832" s="360">
        <f t="shared" ca="1" si="357"/>
        <v>-3.1688151778943121</v>
      </c>
      <c r="F832" s="357">
        <f t="shared" ca="1" si="358"/>
        <v>3.277022461849993</v>
      </c>
      <c r="G832" s="359">
        <f t="shared" ca="1" si="359"/>
        <v>16.375839827918504</v>
      </c>
      <c r="H832" s="360">
        <f t="shared" ca="1" si="360"/>
        <v>-130.22203895129775</v>
      </c>
      <c r="I832" s="357">
        <f t="shared" ca="1" si="361"/>
        <v>131.24765734558065</v>
      </c>
      <c r="J832" s="359">
        <f t="shared" ca="1" si="362"/>
        <v>953.1802660510491</v>
      </c>
      <c r="K832" s="360">
        <f t="shared" ca="1" si="363"/>
        <v>-9.7592717272238545</v>
      </c>
      <c r="L832" s="357">
        <f t="shared" ca="1" si="348"/>
        <v>953.23022558760408</v>
      </c>
      <c r="M832" s="359">
        <f t="shared" ca="1" si="364"/>
        <v>-1.4456997758215377</v>
      </c>
      <c r="N832" s="357">
        <f t="shared" ca="1" si="365"/>
        <v>-82.832495597583375</v>
      </c>
      <c r="O832" s="343"/>
      <c r="P832" s="363">
        <f t="shared" ca="1" si="366"/>
        <v>23</v>
      </c>
      <c r="Q832" s="357">
        <f t="shared" ca="1" si="367"/>
        <v>0</v>
      </c>
      <c r="R832" s="359">
        <f t="shared" ca="1" si="368"/>
        <v>0</v>
      </c>
      <c r="S832" s="360">
        <f t="shared" ca="1" si="369"/>
        <v>8.3819999999999997</v>
      </c>
      <c r="T832" s="357">
        <f t="shared" ca="1" si="349"/>
        <v>82.227419999999995</v>
      </c>
      <c r="U832" s="364">
        <f t="shared" ca="1" si="350"/>
        <v>0</v>
      </c>
      <c r="V832" s="359">
        <f t="shared" ca="1" si="351"/>
        <v>1.2261960944371162</v>
      </c>
      <c r="W832" s="357">
        <f t="shared" ca="1" si="352"/>
        <v>56.105174926905974</v>
      </c>
      <c r="X832" s="343"/>
      <c r="Y832" s="367" t="str">
        <f t="shared" ca="1" si="370"/>
        <v/>
      </c>
      <c r="Z832" s="368" t="str">
        <f t="shared" ca="1" si="371"/>
        <v/>
      </c>
      <c r="AA832" s="369" t="str">
        <f t="shared" ca="1" si="372"/>
        <v/>
      </c>
      <c r="AB832" s="344"/>
      <c r="AC832" s="363" t="e">
        <f t="shared" ca="1" si="373"/>
        <v>#N/A</v>
      </c>
      <c r="AD832" s="376" t="e">
        <f t="shared" ca="1" si="374"/>
        <v>#N/A</v>
      </c>
      <c r="AE832" s="377" t="e">
        <f t="shared" ca="1" si="353"/>
        <v>#N/A</v>
      </c>
      <c r="AF832" s="344"/>
      <c r="AG832" s="359">
        <f t="shared" ca="1" si="375"/>
        <v>3.0398487919435935</v>
      </c>
      <c r="AH832" s="357">
        <f t="shared" ca="1" si="376"/>
        <v>-6.6934910491598467</v>
      </c>
    </row>
    <row r="833" spans="1:34" x14ac:dyDescent="0.2">
      <c r="A833" s="402">
        <f t="shared" ca="1" si="354"/>
        <v>1E-4</v>
      </c>
      <c r="B833" s="357">
        <f t="shared" ca="1" si="355"/>
        <v>35.311600000000574</v>
      </c>
      <c r="C833" s="342"/>
      <c r="D833" s="359">
        <f t="shared" ca="1" si="356"/>
        <v>-0.83515538497644404</v>
      </c>
      <c r="E833" s="360">
        <f t="shared" ca="1" si="357"/>
        <v>-3.1687749870772768</v>
      </c>
      <c r="F833" s="357">
        <f t="shared" ca="1" si="358"/>
        <v>3.2769832828047423</v>
      </c>
      <c r="G833" s="359">
        <f t="shared" ca="1" si="359"/>
        <v>16.375756312380005</v>
      </c>
      <c r="H833" s="360">
        <f t="shared" ca="1" si="360"/>
        <v>-130.22235582879645</v>
      </c>
      <c r="I833" s="357">
        <f t="shared" ca="1" si="361"/>
        <v>131.24796132665884</v>
      </c>
      <c r="J833" s="359">
        <f t="shared" ca="1" si="362"/>
        <v>953.1802660510491</v>
      </c>
      <c r="K833" s="360">
        <f t="shared" ca="1" si="363"/>
        <v>-9.7722939469628596</v>
      </c>
      <c r="L833" s="357">
        <f t="shared" ca="1" si="348"/>
        <v>953.2303589994051</v>
      </c>
      <c r="M833" s="359">
        <f t="shared" ca="1" si="364"/>
        <v>-1.4457007084066167</v>
      </c>
      <c r="N833" s="357">
        <f t="shared" ca="1" si="365"/>
        <v>-82.832549030772427</v>
      </c>
      <c r="O833" s="343"/>
      <c r="P833" s="363">
        <f t="shared" ca="1" si="366"/>
        <v>23</v>
      </c>
      <c r="Q833" s="357">
        <f t="shared" ca="1" si="367"/>
        <v>0</v>
      </c>
      <c r="R833" s="359">
        <f t="shared" ca="1" si="368"/>
        <v>0</v>
      </c>
      <c r="S833" s="360">
        <f t="shared" ca="1" si="369"/>
        <v>8.3819999999999997</v>
      </c>
      <c r="T833" s="357">
        <f t="shared" ca="1" si="349"/>
        <v>82.227419999999995</v>
      </c>
      <c r="U833" s="364">
        <f t="shared" ca="1" si="350"/>
        <v>0</v>
      </c>
      <c r="V833" s="359">
        <f t="shared" ca="1" si="351"/>
        <v>1.2261976912180352</v>
      </c>
      <c r="W833" s="357">
        <f t="shared" ca="1" si="352"/>
        <v>56.105507878007444</v>
      </c>
      <c r="X833" s="343"/>
      <c r="Y833" s="367" t="str">
        <f t="shared" ca="1" si="370"/>
        <v/>
      </c>
      <c r="Z833" s="368" t="str">
        <f t="shared" ca="1" si="371"/>
        <v/>
      </c>
      <c r="AA833" s="369" t="str">
        <f t="shared" ca="1" si="372"/>
        <v/>
      </c>
      <c r="AB833" s="344"/>
      <c r="AC833" s="363" t="e">
        <f t="shared" ca="1" si="373"/>
        <v>#N/A</v>
      </c>
      <c r="AD833" s="376" t="e">
        <f t="shared" ca="1" si="374"/>
        <v>#N/A</v>
      </c>
      <c r="AE833" s="377" t="e">
        <f t="shared" ca="1" si="353"/>
        <v>#N/A</v>
      </c>
      <c r="AF833" s="344"/>
      <c r="AG833" s="359">
        <f t="shared" ca="1" si="375"/>
        <v>3.0398102110788727</v>
      </c>
      <c r="AH833" s="357">
        <f t="shared" ca="1" si="376"/>
        <v>-6.6935307715230223</v>
      </c>
    </row>
    <row r="834" spans="1:34" x14ac:dyDescent="0.2">
      <c r="A834" s="402">
        <f t="shared" ca="1" si="354"/>
        <v>1E-4</v>
      </c>
      <c r="B834" s="357">
        <f t="shared" ca="1" si="355"/>
        <v>35.311700000000577</v>
      </c>
      <c r="C834" s="342"/>
      <c r="D834" s="359">
        <f t="shared" ca="1" si="356"/>
        <v>-0.83515414758629736</v>
      </c>
      <c r="E834" s="360">
        <f t="shared" ca="1" si="357"/>
        <v>-3.1687347964711066</v>
      </c>
      <c r="F834" s="357">
        <f t="shared" ca="1" si="358"/>
        <v>3.2769441039781837</v>
      </c>
      <c r="G834" s="359">
        <f t="shared" ca="1" si="359"/>
        <v>16.375672796965247</v>
      </c>
      <c r="H834" s="360">
        <f t="shared" ca="1" si="360"/>
        <v>-130.2226727022761</v>
      </c>
      <c r="I834" s="357">
        <f t="shared" ca="1" si="361"/>
        <v>131.24826530387895</v>
      </c>
      <c r="J834" s="359">
        <f t="shared" ca="1" si="362"/>
        <v>953.1802660510491</v>
      </c>
      <c r="K834" s="360">
        <f t="shared" ca="1" si="363"/>
        <v>-9.7853161983894132</v>
      </c>
      <c r="L834" s="357">
        <f t="shared" ca="1" si="348"/>
        <v>953.23049258941103</v>
      </c>
      <c r="M834" s="359">
        <f t="shared" ca="1" si="364"/>
        <v>-1.4457016409826198</v>
      </c>
      <c r="N834" s="357">
        <f t="shared" ca="1" si="365"/>
        <v>-82.832602463441475</v>
      </c>
      <c r="O834" s="343"/>
      <c r="P834" s="363">
        <f t="shared" ca="1" si="366"/>
        <v>23</v>
      </c>
      <c r="Q834" s="357">
        <f t="shared" ca="1" si="367"/>
        <v>0</v>
      </c>
      <c r="R834" s="359">
        <f t="shared" ca="1" si="368"/>
        <v>0</v>
      </c>
      <c r="S834" s="360">
        <f t="shared" ca="1" si="369"/>
        <v>8.3819999999999997</v>
      </c>
      <c r="T834" s="357">
        <f t="shared" ca="1" si="349"/>
        <v>82.227419999999995</v>
      </c>
      <c r="U834" s="364">
        <f t="shared" ca="1" si="350"/>
        <v>0</v>
      </c>
      <c r="V834" s="359">
        <f t="shared" ca="1" si="351"/>
        <v>1.22619928800492</v>
      </c>
      <c r="W834" s="357">
        <f t="shared" ca="1" si="352"/>
        <v>56.105840827362179</v>
      </c>
      <c r="X834" s="343"/>
      <c r="Y834" s="367" t="str">
        <f t="shared" ca="1" si="370"/>
        <v/>
      </c>
      <c r="Z834" s="368" t="str">
        <f t="shared" ca="1" si="371"/>
        <v/>
      </c>
      <c r="AA834" s="369" t="str">
        <f t="shared" ca="1" si="372"/>
        <v/>
      </c>
      <c r="AB834" s="344"/>
      <c r="AC834" s="363" t="e">
        <f t="shared" ca="1" si="373"/>
        <v>#N/A</v>
      </c>
      <c r="AD834" s="376" t="e">
        <f t="shared" ca="1" si="374"/>
        <v>#N/A</v>
      </c>
      <c r="AE834" s="377" t="e">
        <f t="shared" ca="1" si="353"/>
        <v>#N/A</v>
      </c>
      <c r="AF834" s="344"/>
      <c r="AG834" s="359">
        <f t="shared" ca="1" si="375"/>
        <v>3.0397716304029627</v>
      </c>
      <c r="AH834" s="357">
        <f t="shared" ca="1" si="376"/>
        <v>-6.6935704936778153</v>
      </c>
    </row>
    <row r="835" spans="1:34" x14ac:dyDescent="0.2">
      <c r="A835" s="402">
        <f t="shared" ca="1" si="354"/>
        <v>1E-4</v>
      </c>
      <c r="B835" s="357">
        <f t="shared" ca="1" si="355"/>
        <v>35.311800000000581</v>
      </c>
      <c r="C835" s="342"/>
      <c r="D835" s="359">
        <f t="shared" ca="1" si="356"/>
        <v>-0.83515291015618953</v>
      </c>
      <c r="E835" s="360">
        <f t="shared" ca="1" si="357"/>
        <v>-3.1686946060758112</v>
      </c>
      <c r="F835" s="357">
        <f t="shared" ca="1" si="358"/>
        <v>3.2769049253703244</v>
      </c>
      <c r="G835" s="359">
        <f t="shared" ca="1" si="359"/>
        <v>16.37558928167423</v>
      </c>
      <c r="H835" s="360">
        <f t="shared" ca="1" si="360"/>
        <v>-130.22298957173672</v>
      </c>
      <c r="I835" s="357">
        <f t="shared" ca="1" si="361"/>
        <v>131.24856927724102</v>
      </c>
      <c r="J835" s="359">
        <f t="shared" ca="1" si="362"/>
        <v>953.1802660510491</v>
      </c>
      <c r="K835" s="360">
        <f t="shared" ca="1" si="363"/>
        <v>-9.798338481503114</v>
      </c>
      <c r="L835" s="357">
        <f t="shared" ca="1" si="348"/>
        <v>953.23062635762335</v>
      </c>
      <c r="M835" s="359">
        <f t="shared" ca="1" si="364"/>
        <v>-1.445702573549547</v>
      </c>
      <c r="N835" s="357">
        <f t="shared" ca="1" si="365"/>
        <v>-82.83265589559052</v>
      </c>
      <c r="O835" s="343"/>
      <c r="P835" s="363">
        <f t="shared" ca="1" si="366"/>
        <v>23</v>
      </c>
      <c r="Q835" s="357">
        <f t="shared" ca="1" si="367"/>
        <v>0</v>
      </c>
      <c r="R835" s="359">
        <f t="shared" ca="1" si="368"/>
        <v>0</v>
      </c>
      <c r="S835" s="360">
        <f t="shared" ca="1" si="369"/>
        <v>8.3819999999999997</v>
      </c>
      <c r="T835" s="357">
        <f t="shared" ca="1" si="349"/>
        <v>82.227419999999995</v>
      </c>
      <c r="U835" s="364">
        <f t="shared" ca="1" si="350"/>
        <v>0</v>
      </c>
      <c r="V835" s="359">
        <f t="shared" ca="1" si="351"/>
        <v>1.2262008847977703</v>
      </c>
      <c r="W835" s="357">
        <f t="shared" ca="1" si="352"/>
        <v>56.106173774970173</v>
      </c>
      <c r="X835" s="343"/>
      <c r="Y835" s="367" t="str">
        <f t="shared" ca="1" si="370"/>
        <v/>
      </c>
      <c r="Z835" s="368" t="str">
        <f t="shared" ca="1" si="371"/>
        <v/>
      </c>
      <c r="AA835" s="369" t="str">
        <f t="shared" ca="1" si="372"/>
        <v/>
      </c>
      <c r="AB835" s="344"/>
      <c r="AC835" s="363" t="e">
        <f t="shared" ca="1" si="373"/>
        <v>#N/A</v>
      </c>
      <c r="AD835" s="376" t="e">
        <f t="shared" ca="1" si="374"/>
        <v>#N/A</v>
      </c>
      <c r="AE835" s="377" t="e">
        <f t="shared" ca="1" si="353"/>
        <v>#N/A</v>
      </c>
      <c r="AF835" s="344"/>
      <c r="AG835" s="359">
        <f t="shared" ca="1" si="375"/>
        <v>3.0397330499158688</v>
      </c>
      <c r="AH835" s="357">
        <f t="shared" ca="1" si="376"/>
        <v>-6.6936102156242168</v>
      </c>
    </row>
    <row r="836" spans="1:34" x14ac:dyDescent="0.2">
      <c r="A836" s="402">
        <f t="shared" ca="1" si="354"/>
        <v>1E-4</v>
      </c>
      <c r="B836" s="357">
        <f t="shared" ca="1" si="355"/>
        <v>35.311900000000584</v>
      </c>
      <c r="C836" s="342"/>
      <c r="D836" s="359">
        <f t="shared" ca="1" si="356"/>
        <v>-0.83515167268612212</v>
      </c>
      <c r="E836" s="360">
        <f t="shared" ca="1" si="357"/>
        <v>-3.1686544158913934</v>
      </c>
      <c r="F836" s="357">
        <f t="shared" ca="1" si="358"/>
        <v>3.2768657469811688</v>
      </c>
      <c r="G836" s="359">
        <f t="shared" ca="1" si="359"/>
        <v>16.375505766506961</v>
      </c>
      <c r="H836" s="360">
        <f t="shared" ca="1" si="360"/>
        <v>-130.22330643717831</v>
      </c>
      <c r="I836" s="357">
        <f t="shared" ca="1" si="361"/>
        <v>131.24887324674506</v>
      </c>
      <c r="J836" s="359">
        <f t="shared" ca="1" si="362"/>
        <v>953.1802660510491</v>
      </c>
      <c r="K836" s="360">
        <f t="shared" ca="1" si="363"/>
        <v>-9.8113607963035605</v>
      </c>
      <c r="L836" s="357">
        <f t="shared" ref="L836:L899" ca="1" si="377">SQRT(pos_x^2+pos_z^2)</f>
        <v>953.23076030404309</v>
      </c>
      <c r="M836" s="359">
        <f t="shared" ca="1" si="364"/>
        <v>-1.4457035061073984</v>
      </c>
      <c r="N836" s="357">
        <f t="shared" ca="1" si="365"/>
        <v>-82.832709327219561</v>
      </c>
      <c r="O836" s="343"/>
      <c r="P836" s="363">
        <f t="shared" ca="1" si="366"/>
        <v>23</v>
      </c>
      <c r="Q836" s="357">
        <f t="shared" ca="1" si="367"/>
        <v>0</v>
      </c>
      <c r="R836" s="359">
        <f t="shared" ca="1" si="368"/>
        <v>0</v>
      </c>
      <c r="S836" s="360">
        <f t="shared" ca="1" si="369"/>
        <v>8.3819999999999997</v>
      </c>
      <c r="T836" s="357">
        <f t="shared" ref="T836:T899" ca="1" si="378">m*g</f>
        <v>82.227419999999995</v>
      </c>
      <c r="U836" s="364">
        <f t="shared" ref="U836:U899" ca="1" si="379">IF(pos_xz&lt;L_rampe,Poids*COS(Beta),0)</f>
        <v>0</v>
      </c>
      <c r="V836" s="359">
        <f t="shared" ref="V836:V899" ca="1" si="380">Rho_moyen*(20000-Alt_rampe-pos_z)/(20000+Alt_rampe+pos_z)</f>
        <v>1.2262024815965868</v>
      </c>
      <c r="W836" s="357">
        <f t="shared" ref="W836:W899" ca="1" si="381">1/2*Rho*Sref*Cx*vit_xz^2</f>
        <v>56.106506720831447</v>
      </c>
      <c r="X836" s="343"/>
      <c r="Y836" s="367" t="str">
        <f t="shared" ca="1" si="370"/>
        <v/>
      </c>
      <c r="Z836" s="368" t="str">
        <f t="shared" ca="1" si="371"/>
        <v/>
      </c>
      <c r="AA836" s="369" t="str">
        <f t="shared" ca="1" si="372"/>
        <v/>
      </c>
      <c r="AB836" s="344"/>
      <c r="AC836" s="363" t="e">
        <f t="shared" ca="1" si="373"/>
        <v>#N/A</v>
      </c>
      <c r="AD836" s="376" t="e">
        <f t="shared" ca="1" si="374"/>
        <v>#N/A</v>
      </c>
      <c r="AE836" s="377" t="e">
        <f t="shared" ref="AE836:AE899" ca="1" si="382">IF(t&lt;T_para, pos_z, NA())</f>
        <v>#N/A</v>
      </c>
      <c r="AF836" s="344"/>
      <c r="AG836" s="359">
        <f t="shared" ca="1" si="375"/>
        <v>3.0396944696175936</v>
      </c>
      <c r="AH836" s="357">
        <f t="shared" ca="1" si="376"/>
        <v>-6.6936499373622258</v>
      </c>
    </row>
    <row r="837" spans="1:34" x14ac:dyDescent="0.2">
      <c r="A837" s="402">
        <f t="shared" ref="A837:A900" ca="1" si="383">IF(B836+0.01&lt;=T_ini+ROUNDUP(Temps_fin_propu,0), 0.01, IF(K836&gt;0, 0.1, 0.0001))</f>
        <v>1E-4</v>
      </c>
      <c r="B837" s="357">
        <f t="shared" ref="B837:B900" ca="1" si="384">B836+pas</f>
        <v>35.312000000000587</v>
      </c>
      <c r="C837" s="342"/>
      <c r="D837" s="359">
        <f t="shared" ref="D837:D900" ca="1" si="385">IF(AND(L836&lt;L_rampe,Poussee&lt;Poids*SIN(M836)),0,(-W836+Poussee)/m*COS(M836)-U836/m*SIN(M836))</f>
        <v>-0.83515043517609711</v>
      </c>
      <c r="E837" s="360">
        <f t="shared" ref="E837:E900" ca="1" si="386">IF(AND(L836&lt;L_rampe,Poussee&lt;Poids*SIN(M836)),0,(-W836+Poussee)/m*SIN(M836)+U836/m*COS(M836)-Poids/m)</f>
        <v>-3.168614225917846</v>
      </c>
      <c r="F837" s="357">
        <f t="shared" ref="F837:F900" ca="1" si="387">SQRT(acc_x^2+acc_z^2)</f>
        <v>3.2768265688107108</v>
      </c>
      <c r="G837" s="359">
        <f t="shared" ref="G837:G900" ca="1" si="388">G836+acc_x*pas</f>
        <v>16.375422251463444</v>
      </c>
      <c r="H837" s="360">
        <f t="shared" ref="H837:H900" ca="1" si="389">H836+acc_z*pas</f>
        <v>-130.2236232986009</v>
      </c>
      <c r="I837" s="357">
        <f t="shared" ref="I837:I900" ca="1" si="390">SQRT(vit_x^2+vit_z^2)</f>
        <v>131.24917721239109</v>
      </c>
      <c r="J837" s="359">
        <f t="shared" ref="J837:J900" ca="1" si="391">J836+0.5*(vit_x+G836)*pas*(K836&gt;=0)</f>
        <v>953.1802660510491</v>
      </c>
      <c r="K837" s="360">
        <f t="shared" ref="K837:K900" ca="1" si="392">K836+0.5*(vit_z+H836)*pas</f>
        <v>-9.8243831427903494</v>
      </c>
      <c r="L837" s="357">
        <f t="shared" ca="1" si="377"/>
        <v>953.23089442867149</v>
      </c>
      <c r="M837" s="359">
        <f t="shared" ref="M837:M900" ca="1" si="393">IF(AND(L836&gt;L_rampe,G837&gt;0),ATAN2(G837,H837),$M$4)</f>
        <v>-1.4457044386561746</v>
      </c>
      <c r="N837" s="357">
        <f t="shared" ref="N837:N900" ca="1" si="394">DEGREES(Beta)</f>
        <v>-82.832762758328627</v>
      </c>
      <c r="O837" s="343"/>
      <c r="P837" s="363">
        <f t="shared" ref="P837:P900" ca="1" si="395">MATCH(t-pas/2-T_ini,CdP_t)</f>
        <v>23</v>
      </c>
      <c r="Q837" s="357">
        <f t="shared" ref="Q837:Q900" ca="1" si="396">(INDEX(CdP,2,i_P+1)-INDEX(CdP,2,i_P+0))/(INDEX(CdP,1,i_P+1)-INDEX(CdP,1,i_P+0))*(t-pas/2-T_ini-INDEX(CdP,1,i_P+0))+INDEX(CdP,2,i_P+0)</f>
        <v>0</v>
      </c>
      <c r="R837" s="359">
        <f t="shared" ref="R837:R900" ca="1" si="397">Poussee/(g*ISP)</f>
        <v>0</v>
      </c>
      <c r="S837" s="360">
        <f t="shared" ref="S837:S900" ca="1" si="398">S836-Débit*pas</f>
        <v>8.3819999999999997</v>
      </c>
      <c r="T837" s="357">
        <f t="shared" ca="1" si="378"/>
        <v>82.227419999999995</v>
      </c>
      <c r="U837" s="364">
        <f t="shared" ca="1" si="379"/>
        <v>0</v>
      </c>
      <c r="V837" s="359">
        <f t="shared" ca="1" si="380"/>
        <v>1.2262040784013692</v>
      </c>
      <c r="W837" s="357">
        <f t="shared" ca="1" si="381"/>
        <v>56.106839664945966</v>
      </c>
      <c r="X837" s="343"/>
      <c r="Y837" s="367" t="str">
        <f t="shared" ref="Y837:Y900" ca="1" si="399">IF(AND(pos_z&lt;=0,K836&gt;0),"Impact balistique","") &amp; IF(AND(H838&lt;0,vit_z&gt;=0),"Apogée","") &amp; IF(AND(Poussee=0,Q836&gt;0),"Fin de propulsion","") &amp; IF(AND(L838&gt;L_rampe,pos_xz&lt;=L_rampe),"Sortie de rampe","")</f>
        <v/>
      </c>
      <c r="Z837" s="368" t="str">
        <f t="shared" ref="Z837:Z900" ca="1" si="400">IF(ABS(t-T_para)&lt;pas/2,"Para","")</f>
        <v/>
      </c>
      <c r="AA837" s="369" t="str">
        <f t="shared" ref="AA837:AA900" ca="1" si="401">IF(ABS(t-T_satellite)&lt;pas/2,"Satellite","")</f>
        <v/>
      </c>
      <c r="AB837" s="344"/>
      <c r="AC837" s="363" t="e">
        <f t="shared" ref="AC837:AC900" ca="1" si="402">IF(ABS(t-ROUND(t,0))&lt;0.001,t,NA())</f>
        <v>#N/A</v>
      </c>
      <c r="AD837" s="376" t="e">
        <f t="shared" ref="AD837:AD900" ca="1" si="403">IF(ABS(t-ROUND(t,0))&lt;0.001,pos_x,NA())</f>
        <v>#N/A</v>
      </c>
      <c r="AE837" s="377" t="e">
        <f t="shared" ca="1" si="382"/>
        <v>#N/A</v>
      </c>
      <c r="AF837" s="344"/>
      <c r="AG837" s="359">
        <f t="shared" ref="AG837:AG900" ca="1" si="404">IF(AND(L836&lt;L_rampe,Poussee&lt;Poids*SIN(M836)),0,(-W836+Poussee)/m-Poids*SIN(M836)/m)</f>
        <v>3.0396558895081354</v>
      </c>
      <c r="AH837" s="357">
        <f t="shared" ref="AH837:AH900" ca="1" si="405">IF(AND(L836&lt;L_rampe,Poussee&lt;Poids*SIN(M836)), g*SIN(M836), (-W836+Poussee)/m)</f>
        <v>-6.693689658891846</v>
      </c>
    </row>
    <row r="838" spans="1:34" x14ac:dyDescent="0.2">
      <c r="A838" s="402">
        <f t="shared" ca="1" si="383"/>
        <v>1E-4</v>
      </c>
      <c r="B838" s="357">
        <f t="shared" ca="1" si="384"/>
        <v>35.312100000000591</v>
      </c>
      <c r="C838" s="342"/>
      <c r="D838" s="359">
        <f t="shared" ca="1" si="385"/>
        <v>-0.83514919762611106</v>
      </c>
      <c r="E838" s="360">
        <f t="shared" ca="1" si="386"/>
        <v>-3.1685740361551771</v>
      </c>
      <c r="F838" s="357">
        <f t="shared" ca="1" si="387"/>
        <v>3.2767873908589564</v>
      </c>
      <c r="G838" s="359">
        <f t="shared" ca="1" si="388"/>
        <v>16.375338736543682</v>
      </c>
      <c r="H838" s="360">
        <f t="shared" ca="1" si="389"/>
        <v>-130.22394015600452</v>
      </c>
      <c r="I838" s="357">
        <f t="shared" ca="1" si="390"/>
        <v>131.2494811741791</v>
      </c>
      <c r="J838" s="359">
        <f t="shared" ca="1" si="391"/>
        <v>953.1802660510491</v>
      </c>
      <c r="K838" s="360">
        <f t="shared" ca="1" si="392"/>
        <v>-9.8374055209630793</v>
      </c>
      <c r="L838" s="357">
        <f t="shared" ca="1" si="377"/>
        <v>953.23102873150992</v>
      </c>
      <c r="M838" s="359">
        <f t="shared" ca="1" si="393"/>
        <v>-1.4457053711958752</v>
      </c>
      <c r="N838" s="357">
        <f t="shared" ca="1" si="394"/>
        <v>-82.832816188917704</v>
      </c>
      <c r="O838" s="343"/>
      <c r="P838" s="363">
        <f t="shared" ca="1" si="395"/>
        <v>23</v>
      </c>
      <c r="Q838" s="357">
        <f t="shared" ca="1" si="396"/>
        <v>0</v>
      </c>
      <c r="R838" s="359">
        <f t="shared" ca="1" si="397"/>
        <v>0</v>
      </c>
      <c r="S838" s="360">
        <f t="shared" ca="1" si="398"/>
        <v>8.3819999999999997</v>
      </c>
      <c r="T838" s="357">
        <f t="shared" ca="1" si="378"/>
        <v>82.227419999999995</v>
      </c>
      <c r="U838" s="364">
        <f t="shared" ca="1" si="379"/>
        <v>0</v>
      </c>
      <c r="V838" s="359">
        <f t="shared" ca="1" si="380"/>
        <v>1.2262056752121175</v>
      </c>
      <c r="W838" s="357">
        <f t="shared" ca="1" si="381"/>
        <v>56.107172607313693</v>
      </c>
      <c r="X838" s="343"/>
      <c r="Y838" s="367" t="str">
        <f t="shared" ca="1" si="399"/>
        <v/>
      </c>
      <c r="Z838" s="368" t="str">
        <f t="shared" ca="1" si="400"/>
        <v/>
      </c>
      <c r="AA838" s="369" t="str">
        <f t="shared" ca="1" si="401"/>
        <v/>
      </c>
      <c r="AB838" s="344"/>
      <c r="AC838" s="363" t="e">
        <f t="shared" ca="1" si="402"/>
        <v>#N/A</v>
      </c>
      <c r="AD838" s="376" t="e">
        <f t="shared" ca="1" si="403"/>
        <v>#N/A</v>
      </c>
      <c r="AE838" s="377" t="e">
        <f t="shared" ca="1" si="382"/>
        <v>#N/A</v>
      </c>
      <c r="AF838" s="344"/>
      <c r="AG838" s="359">
        <f t="shared" ca="1" si="404"/>
        <v>3.0396173095874959</v>
      </c>
      <c r="AH838" s="357">
        <f t="shared" ca="1" si="405"/>
        <v>-6.693729380213072</v>
      </c>
    </row>
    <row r="839" spans="1:34" x14ac:dyDescent="0.2">
      <c r="A839" s="402">
        <f t="shared" ca="1" si="383"/>
        <v>1E-4</v>
      </c>
      <c r="B839" s="357">
        <f t="shared" ca="1" si="384"/>
        <v>35.312200000000594</v>
      </c>
      <c r="C839" s="342"/>
      <c r="D839" s="359">
        <f t="shared" ca="1" si="385"/>
        <v>-0.83514796003616831</v>
      </c>
      <c r="E839" s="360">
        <f t="shared" ca="1" si="386"/>
        <v>-3.1685338466033892</v>
      </c>
      <c r="F839" s="357">
        <f t="shared" ca="1" si="387"/>
        <v>3.2767482131259098</v>
      </c>
      <c r="G839" s="359">
        <f t="shared" ca="1" si="388"/>
        <v>16.375255221747679</v>
      </c>
      <c r="H839" s="360">
        <f t="shared" ca="1" si="389"/>
        <v>-130.22425700938916</v>
      </c>
      <c r="I839" s="357">
        <f t="shared" ca="1" si="390"/>
        <v>131.24978513210914</v>
      </c>
      <c r="J839" s="359">
        <f t="shared" ca="1" si="391"/>
        <v>953.1802660510491</v>
      </c>
      <c r="K839" s="360">
        <f t="shared" ca="1" si="392"/>
        <v>-9.8504279308213487</v>
      </c>
      <c r="L839" s="357">
        <f t="shared" ca="1" si="377"/>
        <v>953.23116321255941</v>
      </c>
      <c r="M839" s="359">
        <f t="shared" ca="1" si="393"/>
        <v>-1.4457063037265003</v>
      </c>
      <c r="N839" s="357">
        <f t="shared" ca="1" si="394"/>
        <v>-82.832869618986791</v>
      </c>
      <c r="O839" s="343"/>
      <c r="P839" s="363">
        <f t="shared" ca="1" si="395"/>
        <v>23</v>
      </c>
      <c r="Q839" s="357">
        <f t="shared" ca="1" si="396"/>
        <v>0</v>
      </c>
      <c r="R839" s="359">
        <f t="shared" ca="1" si="397"/>
        <v>0</v>
      </c>
      <c r="S839" s="360">
        <f t="shared" ca="1" si="398"/>
        <v>8.3819999999999997</v>
      </c>
      <c r="T839" s="357">
        <f t="shared" ca="1" si="378"/>
        <v>82.227419999999995</v>
      </c>
      <c r="U839" s="364">
        <f t="shared" ca="1" si="379"/>
        <v>0</v>
      </c>
      <c r="V839" s="359">
        <f t="shared" ca="1" si="380"/>
        <v>1.2262072720288313</v>
      </c>
      <c r="W839" s="357">
        <f t="shared" ca="1" si="381"/>
        <v>56.107505547934615</v>
      </c>
      <c r="X839" s="343"/>
      <c r="Y839" s="367" t="str">
        <f t="shared" ca="1" si="399"/>
        <v/>
      </c>
      <c r="Z839" s="368" t="str">
        <f t="shared" ca="1" si="400"/>
        <v/>
      </c>
      <c r="AA839" s="369" t="str">
        <f t="shared" ca="1" si="401"/>
        <v/>
      </c>
      <c r="AB839" s="344"/>
      <c r="AC839" s="363" t="e">
        <f t="shared" ca="1" si="402"/>
        <v>#N/A</v>
      </c>
      <c r="AD839" s="376" t="e">
        <f t="shared" ca="1" si="403"/>
        <v>#N/A</v>
      </c>
      <c r="AE839" s="377" t="e">
        <f t="shared" ca="1" si="382"/>
        <v>#N/A</v>
      </c>
      <c r="AF839" s="344"/>
      <c r="AG839" s="359">
        <f t="shared" ca="1" si="404"/>
        <v>3.039578729855684</v>
      </c>
      <c r="AH839" s="357">
        <f t="shared" ca="1" si="405"/>
        <v>-6.6937691013259002</v>
      </c>
    </row>
    <row r="840" spans="1:34" x14ac:dyDescent="0.2">
      <c r="A840" s="402">
        <f t="shared" ca="1" si="383"/>
        <v>1E-4</v>
      </c>
      <c r="B840" s="357">
        <f t="shared" ca="1" si="384"/>
        <v>35.312300000000597</v>
      </c>
      <c r="C840" s="342"/>
      <c r="D840" s="359">
        <f t="shared" ca="1" si="385"/>
        <v>-0.83514672240626864</v>
      </c>
      <c r="E840" s="360">
        <f t="shared" ca="1" si="386"/>
        <v>-3.1684936572624851</v>
      </c>
      <c r="F840" s="357">
        <f t="shared" ca="1" si="387"/>
        <v>3.276709035611574</v>
      </c>
      <c r="G840" s="359">
        <f t="shared" ca="1" si="388"/>
        <v>16.375171707075438</v>
      </c>
      <c r="H840" s="360">
        <f t="shared" ca="1" si="389"/>
        <v>-130.22457385875489</v>
      </c>
      <c r="I840" s="357">
        <f t="shared" ca="1" si="390"/>
        <v>131.25008908618125</v>
      </c>
      <c r="J840" s="359">
        <f t="shared" ca="1" si="391"/>
        <v>953.1802660510491</v>
      </c>
      <c r="K840" s="360">
        <f t="shared" ca="1" si="392"/>
        <v>-9.8634503723647562</v>
      </c>
      <c r="L840" s="357">
        <f t="shared" ca="1" si="377"/>
        <v>953.23129787182131</v>
      </c>
      <c r="M840" s="359">
        <f t="shared" ca="1" si="393"/>
        <v>-1.4457072362480508</v>
      </c>
      <c r="N840" s="357">
        <f t="shared" ca="1" si="394"/>
        <v>-82.832923048535932</v>
      </c>
      <c r="O840" s="343"/>
      <c r="P840" s="363">
        <f t="shared" ca="1" si="395"/>
        <v>23</v>
      </c>
      <c r="Q840" s="357">
        <f t="shared" ca="1" si="396"/>
        <v>0</v>
      </c>
      <c r="R840" s="359">
        <f t="shared" ca="1" si="397"/>
        <v>0</v>
      </c>
      <c r="S840" s="360">
        <f t="shared" ca="1" si="398"/>
        <v>8.3819999999999997</v>
      </c>
      <c r="T840" s="357">
        <f t="shared" ca="1" si="378"/>
        <v>82.227419999999995</v>
      </c>
      <c r="U840" s="364">
        <f t="shared" ca="1" si="379"/>
        <v>0</v>
      </c>
      <c r="V840" s="359">
        <f t="shared" ca="1" si="380"/>
        <v>1.2262088688515111</v>
      </c>
      <c r="W840" s="357">
        <f t="shared" ca="1" si="381"/>
        <v>56.107838486808774</v>
      </c>
      <c r="X840" s="343"/>
      <c r="Y840" s="367" t="str">
        <f t="shared" ca="1" si="399"/>
        <v/>
      </c>
      <c r="Z840" s="368" t="str">
        <f t="shared" ca="1" si="400"/>
        <v/>
      </c>
      <c r="AA840" s="369" t="str">
        <f t="shared" ca="1" si="401"/>
        <v/>
      </c>
      <c r="AB840" s="344"/>
      <c r="AC840" s="363" t="e">
        <f t="shared" ca="1" si="402"/>
        <v>#N/A</v>
      </c>
      <c r="AD840" s="376" t="e">
        <f t="shared" ca="1" si="403"/>
        <v>#N/A</v>
      </c>
      <c r="AE840" s="377" t="e">
        <f t="shared" ca="1" si="382"/>
        <v>#N/A</v>
      </c>
      <c r="AF840" s="344"/>
      <c r="AG840" s="359">
        <f t="shared" ca="1" si="404"/>
        <v>3.039540150312698</v>
      </c>
      <c r="AH840" s="357">
        <f t="shared" ca="1" si="405"/>
        <v>-6.6938088222303289</v>
      </c>
    </row>
    <row r="841" spans="1:34" x14ac:dyDescent="0.2">
      <c r="A841" s="402">
        <f t="shared" ca="1" si="383"/>
        <v>1E-4</v>
      </c>
      <c r="B841" s="357">
        <f t="shared" ca="1" si="384"/>
        <v>35.312400000000601</v>
      </c>
      <c r="C841" s="342"/>
      <c r="D841" s="359">
        <f t="shared" ca="1" si="385"/>
        <v>-0.83514548473641015</v>
      </c>
      <c r="E841" s="360">
        <f t="shared" ca="1" si="386"/>
        <v>-3.1684534681324577</v>
      </c>
      <c r="F841" s="357">
        <f t="shared" ca="1" si="387"/>
        <v>3.2766698583159415</v>
      </c>
      <c r="G841" s="359">
        <f t="shared" ca="1" si="388"/>
        <v>16.375088192526963</v>
      </c>
      <c r="H841" s="360">
        <f t="shared" ca="1" si="389"/>
        <v>-130.22489070410171</v>
      </c>
      <c r="I841" s="357">
        <f t="shared" ca="1" si="390"/>
        <v>131.25039303639542</v>
      </c>
      <c r="J841" s="359">
        <f t="shared" ca="1" si="391"/>
        <v>953.1802660510491</v>
      </c>
      <c r="K841" s="360">
        <f t="shared" ca="1" si="392"/>
        <v>-9.8764728455928985</v>
      </c>
      <c r="L841" s="357">
        <f t="shared" ca="1" si="377"/>
        <v>953.23143270929677</v>
      </c>
      <c r="M841" s="359">
        <f t="shared" ca="1" si="393"/>
        <v>-1.445708168760526</v>
      </c>
      <c r="N841" s="357">
        <f t="shared" ca="1" si="394"/>
        <v>-82.832976477565111</v>
      </c>
      <c r="O841" s="343"/>
      <c r="P841" s="363">
        <f t="shared" ca="1" si="395"/>
        <v>23</v>
      </c>
      <c r="Q841" s="357">
        <f t="shared" ca="1" si="396"/>
        <v>0</v>
      </c>
      <c r="R841" s="359">
        <f t="shared" ca="1" si="397"/>
        <v>0</v>
      </c>
      <c r="S841" s="360">
        <f t="shared" ca="1" si="398"/>
        <v>8.3819999999999997</v>
      </c>
      <c r="T841" s="357">
        <f t="shared" ca="1" si="378"/>
        <v>82.227419999999995</v>
      </c>
      <c r="U841" s="364">
        <f t="shared" ca="1" si="379"/>
        <v>0</v>
      </c>
      <c r="V841" s="359">
        <f t="shared" ca="1" si="380"/>
        <v>1.2262104656801562</v>
      </c>
      <c r="W841" s="357">
        <f t="shared" ca="1" si="381"/>
        <v>56.108171423936099</v>
      </c>
      <c r="X841" s="343"/>
      <c r="Y841" s="367" t="str">
        <f t="shared" ca="1" si="399"/>
        <v/>
      </c>
      <c r="Z841" s="368" t="str">
        <f t="shared" ca="1" si="400"/>
        <v/>
      </c>
      <c r="AA841" s="369" t="str">
        <f t="shared" ca="1" si="401"/>
        <v/>
      </c>
      <c r="AB841" s="344"/>
      <c r="AC841" s="363" t="e">
        <f t="shared" ca="1" si="402"/>
        <v>#N/A</v>
      </c>
      <c r="AD841" s="376" t="e">
        <f t="shared" ca="1" si="403"/>
        <v>#N/A</v>
      </c>
      <c r="AE841" s="377" t="e">
        <f t="shared" ca="1" si="382"/>
        <v>#N/A</v>
      </c>
      <c r="AF841" s="344"/>
      <c r="AG841" s="359">
        <f t="shared" ca="1" si="404"/>
        <v>3.0395015709585378</v>
      </c>
      <c r="AH841" s="357">
        <f t="shared" ca="1" si="405"/>
        <v>-6.6938485429263634</v>
      </c>
    </row>
    <row r="842" spans="1:34" x14ac:dyDescent="0.2">
      <c r="A842" s="402">
        <f t="shared" ca="1" si="383"/>
        <v>1E-4</v>
      </c>
      <c r="B842" s="357">
        <f t="shared" ca="1" si="384"/>
        <v>35.312500000000604</v>
      </c>
      <c r="C842" s="342"/>
      <c r="D842" s="359">
        <f t="shared" ca="1" si="385"/>
        <v>-0.83514424702659595</v>
      </c>
      <c r="E842" s="360">
        <f t="shared" ca="1" si="386"/>
        <v>-3.1684132792133184</v>
      </c>
      <c r="F842" s="357">
        <f t="shared" ca="1" si="387"/>
        <v>3.2766306812390247</v>
      </c>
      <c r="G842" s="359">
        <f t="shared" ca="1" si="388"/>
        <v>16.375004678102261</v>
      </c>
      <c r="H842" s="360">
        <f t="shared" ca="1" si="389"/>
        <v>-130.22520754542964</v>
      </c>
      <c r="I842" s="357">
        <f t="shared" ca="1" si="390"/>
        <v>131.25069698275166</v>
      </c>
      <c r="J842" s="359">
        <f t="shared" ca="1" si="391"/>
        <v>953.1802660510491</v>
      </c>
      <c r="K842" s="360">
        <f t="shared" ca="1" si="392"/>
        <v>-9.8894953505053742</v>
      </c>
      <c r="L842" s="357">
        <f t="shared" ca="1" si="377"/>
        <v>953.23156772498703</v>
      </c>
      <c r="M842" s="359">
        <f t="shared" ca="1" si="393"/>
        <v>-1.4457091012639263</v>
      </c>
      <c r="N842" s="357">
        <f t="shared" ca="1" si="394"/>
        <v>-82.83302990607433</v>
      </c>
      <c r="O842" s="343"/>
      <c r="P842" s="363">
        <f t="shared" ca="1" si="395"/>
        <v>23</v>
      </c>
      <c r="Q842" s="357">
        <f t="shared" ca="1" si="396"/>
        <v>0</v>
      </c>
      <c r="R842" s="359">
        <f t="shared" ca="1" si="397"/>
        <v>0</v>
      </c>
      <c r="S842" s="360">
        <f t="shared" ca="1" si="398"/>
        <v>8.3819999999999997</v>
      </c>
      <c r="T842" s="357">
        <f t="shared" ca="1" si="378"/>
        <v>82.227419999999995</v>
      </c>
      <c r="U842" s="364">
        <f t="shared" ca="1" si="379"/>
        <v>0</v>
      </c>
      <c r="V842" s="359">
        <f t="shared" ca="1" si="380"/>
        <v>1.226212062514767</v>
      </c>
      <c r="W842" s="357">
        <f t="shared" ca="1" si="381"/>
        <v>56.108504359316562</v>
      </c>
      <c r="X842" s="343"/>
      <c r="Y842" s="367" t="str">
        <f t="shared" ca="1" si="399"/>
        <v/>
      </c>
      <c r="Z842" s="368" t="str">
        <f t="shared" ca="1" si="400"/>
        <v/>
      </c>
      <c r="AA842" s="369" t="str">
        <f t="shared" ca="1" si="401"/>
        <v/>
      </c>
      <c r="AB842" s="344"/>
      <c r="AC842" s="363" t="e">
        <f t="shared" ca="1" si="402"/>
        <v>#N/A</v>
      </c>
      <c r="AD842" s="376" t="e">
        <f t="shared" ca="1" si="403"/>
        <v>#N/A</v>
      </c>
      <c r="AE842" s="377" t="e">
        <f t="shared" ca="1" si="382"/>
        <v>#N/A</v>
      </c>
      <c r="AF842" s="344"/>
      <c r="AG842" s="359">
        <f t="shared" ca="1" si="404"/>
        <v>3.0394629917932061</v>
      </c>
      <c r="AH842" s="357">
        <f t="shared" ca="1" si="405"/>
        <v>-6.693888263413994</v>
      </c>
    </row>
    <row r="843" spans="1:34" x14ac:dyDescent="0.2">
      <c r="A843" s="402">
        <f t="shared" ca="1" si="383"/>
        <v>1E-4</v>
      </c>
      <c r="B843" s="357">
        <f t="shared" ca="1" si="384"/>
        <v>35.312600000000607</v>
      </c>
      <c r="C843" s="342"/>
      <c r="D843" s="359">
        <f t="shared" ca="1" si="385"/>
        <v>-0.8351430092768265</v>
      </c>
      <c r="E843" s="360">
        <f t="shared" ca="1" si="386"/>
        <v>-3.1683730905050673</v>
      </c>
      <c r="F843" s="357">
        <f t="shared" ca="1" si="387"/>
        <v>3.2765915043808231</v>
      </c>
      <c r="G843" s="359">
        <f t="shared" ca="1" si="388"/>
        <v>16.374921163801332</v>
      </c>
      <c r="H843" s="360">
        <f t="shared" ca="1" si="389"/>
        <v>-130.22552438273868</v>
      </c>
      <c r="I843" s="357">
        <f t="shared" ca="1" si="390"/>
        <v>131.25100092525</v>
      </c>
      <c r="J843" s="359">
        <f t="shared" ca="1" si="391"/>
        <v>953.1802660510491</v>
      </c>
      <c r="K843" s="360">
        <f t="shared" ca="1" si="392"/>
        <v>-9.9025178871017818</v>
      </c>
      <c r="L843" s="357">
        <f t="shared" ca="1" si="377"/>
        <v>953.23170291889323</v>
      </c>
      <c r="M843" s="359">
        <f t="shared" ca="1" si="393"/>
        <v>-1.445710033758252</v>
      </c>
      <c r="N843" s="357">
        <f t="shared" ca="1" si="394"/>
        <v>-82.833083334063616</v>
      </c>
      <c r="O843" s="343"/>
      <c r="P843" s="363">
        <f t="shared" ca="1" si="395"/>
        <v>23</v>
      </c>
      <c r="Q843" s="357">
        <f t="shared" ca="1" si="396"/>
        <v>0</v>
      </c>
      <c r="R843" s="359">
        <f t="shared" ca="1" si="397"/>
        <v>0</v>
      </c>
      <c r="S843" s="360">
        <f t="shared" ca="1" si="398"/>
        <v>8.3819999999999997</v>
      </c>
      <c r="T843" s="357">
        <f t="shared" ca="1" si="378"/>
        <v>82.227419999999995</v>
      </c>
      <c r="U843" s="364">
        <f t="shared" ca="1" si="379"/>
        <v>0</v>
      </c>
      <c r="V843" s="359">
        <f t="shared" ca="1" si="380"/>
        <v>1.2262136593553439</v>
      </c>
      <c r="W843" s="357">
        <f t="shared" ca="1" si="381"/>
        <v>56.10883729295022</v>
      </c>
      <c r="X843" s="343"/>
      <c r="Y843" s="367" t="str">
        <f t="shared" ca="1" si="399"/>
        <v/>
      </c>
      <c r="Z843" s="368" t="str">
        <f t="shared" ca="1" si="400"/>
        <v/>
      </c>
      <c r="AA843" s="369" t="str">
        <f t="shared" ca="1" si="401"/>
        <v/>
      </c>
      <c r="AB843" s="344"/>
      <c r="AC843" s="363" t="e">
        <f t="shared" ca="1" si="402"/>
        <v>#N/A</v>
      </c>
      <c r="AD843" s="376" t="e">
        <f t="shared" ca="1" si="403"/>
        <v>#N/A</v>
      </c>
      <c r="AE843" s="377" t="e">
        <f t="shared" ca="1" si="382"/>
        <v>#N/A</v>
      </c>
      <c r="AF843" s="344"/>
      <c r="AG843" s="359">
        <f t="shared" ca="1" si="404"/>
        <v>3.0394244128167109</v>
      </c>
      <c r="AH843" s="357">
        <f t="shared" ca="1" si="405"/>
        <v>-6.6939279836932197</v>
      </c>
    </row>
    <row r="844" spans="1:34" x14ac:dyDescent="0.2">
      <c r="A844" s="402">
        <f t="shared" ca="1" si="383"/>
        <v>1E-4</v>
      </c>
      <c r="B844" s="357">
        <f t="shared" ca="1" si="384"/>
        <v>35.312700000000611</v>
      </c>
      <c r="C844" s="342"/>
      <c r="D844" s="359">
        <f t="shared" ca="1" si="385"/>
        <v>-0.83514177148710078</v>
      </c>
      <c r="E844" s="360">
        <f t="shared" ca="1" si="386"/>
        <v>-3.1683329020077</v>
      </c>
      <c r="F844" s="357">
        <f t="shared" ca="1" si="387"/>
        <v>3.2765523277413329</v>
      </c>
      <c r="G844" s="359">
        <f t="shared" ca="1" si="388"/>
        <v>16.374837649624183</v>
      </c>
      <c r="H844" s="360">
        <f t="shared" ca="1" si="389"/>
        <v>-130.2258412160289</v>
      </c>
      <c r="I844" s="357">
        <f t="shared" ca="1" si="390"/>
        <v>131.25130486389048</v>
      </c>
      <c r="J844" s="359">
        <f t="shared" ca="1" si="391"/>
        <v>953.1802660510491</v>
      </c>
      <c r="K844" s="360">
        <f t="shared" ca="1" si="392"/>
        <v>-9.9155404553817199</v>
      </c>
      <c r="L844" s="357">
        <f t="shared" ca="1" si="377"/>
        <v>953.23183829101674</v>
      </c>
      <c r="M844" s="359">
        <f t="shared" ca="1" si="393"/>
        <v>-1.445710966243503</v>
      </c>
      <c r="N844" s="357">
        <f t="shared" ca="1" si="394"/>
        <v>-82.833136761532955</v>
      </c>
      <c r="O844" s="343"/>
      <c r="P844" s="363">
        <f t="shared" ca="1" si="395"/>
        <v>23</v>
      </c>
      <c r="Q844" s="357">
        <f t="shared" ca="1" si="396"/>
        <v>0</v>
      </c>
      <c r="R844" s="359">
        <f t="shared" ca="1" si="397"/>
        <v>0</v>
      </c>
      <c r="S844" s="360">
        <f t="shared" ca="1" si="398"/>
        <v>8.3819999999999997</v>
      </c>
      <c r="T844" s="357">
        <f t="shared" ca="1" si="378"/>
        <v>82.227419999999995</v>
      </c>
      <c r="U844" s="364">
        <f t="shared" ca="1" si="379"/>
        <v>0</v>
      </c>
      <c r="V844" s="359">
        <f t="shared" ca="1" si="380"/>
        <v>1.226215256201886</v>
      </c>
      <c r="W844" s="357">
        <f t="shared" ca="1" si="381"/>
        <v>56.109170224837001</v>
      </c>
      <c r="X844" s="343"/>
      <c r="Y844" s="367" t="str">
        <f t="shared" ca="1" si="399"/>
        <v/>
      </c>
      <c r="Z844" s="368" t="str">
        <f t="shared" ca="1" si="400"/>
        <v/>
      </c>
      <c r="AA844" s="369" t="str">
        <f t="shared" ca="1" si="401"/>
        <v/>
      </c>
      <c r="AB844" s="344"/>
      <c r="AC844" s="363" t="e">
        <f t="shared" ca="1" si="402"/>
        <v>#N/A</v>
      </c>
      <c r="AD844" s="376" t="e">
        <f t="shared" ca="1" si="403"/>
        <v>#N/A</v>
      </c>
      <c r="AE844" s="377" t="e">
        <f t="shared" ca="1" si="382"/>
        <v>#N/A</v>
      </c>
      <c r="AF844" s="344"/>
      <c r="AG844" s="359">
        <f t="shared" ca="1" si="404"/>
        <v>3.0393858340290478</v>
      </c>
      <c r="AH844" s="357">
        <f t="shared" ca="1" si="405"/>
        <v>-6.693967703764045</v>
      </c>
    </row>
    <row r="845" spans="1:34" x14ac:dyDescent="0.2">
      <c r="A845" s="402">
        <f t="shared" ca="1" si="383"/>
        <v>1E-4</v>
      </c>
      <c r="B845" s="357">
        <f t="shared" ca="1" si="384"/>
        <v>35.312800000000614</v>
      </c>
      <c r="C845" s="342"/>
      <c r="D845" s="359">
        <f t="shared" ca="1" si="385"/>
        <v>-0.83514053365742091</v>
      </c>
      <c r="E845" s="360">
        <f t="shared" ca="1" si="386"/>
        <v>-3.1682927137212245</v>
      </c>
      <c r="F845" s="357">
        <f t="shared" ca="1" si="387"/>
        <v>3.2765131513205628</v>
      </c>
      <c r="G845" s="359">
        <f t="shared" ca="1" si="388"/>
        <v>16.374754135570818</v>
      </c>
      <c r="H845" s="360">
        <f t="shared" ca="1" si="389"/>
        <v>-130.22615804530028</v>
      </c>
      <c r="I845" s="357">
        <f t="shared" ca="1" si="390"/>
        <v>131.25160879867309</v>
      </c>
      <c r="J845" s="359">
        <f t="shared" ca="1" si="391"/>
        <v>953.1802660510491</v>
      </c>
      <c r="K845" s="360">
        <f t="shared" ca="1" si="392"/>
        <v>-9.928563055344787</v>
      </c>
      <c r="L845" s="357">
        <f t="shared" ca="1" si="377"/>
        <v>953.23197384135869</v>
      </c>
      <c r="M845" s="359">
        <f t="shared" ca="1" si="393"/>
        <v>-1.4457118987196798</v>
      </c>
      <c r="N845" s="357">
        <f t="shared" ca="1" si="394"/>
        <v>-82.833190188482376</v>
      </c>
      <c r="O845" s="343"/>
      <c r="P845" s="363">
        <f t="shared" ca="1" si="395"/>
        <v>23</v>
      </c>
      <c r="Q845" s="357">
        <f t="shared" ca="1" si="396"/>
        <v>0</v>
      </c>
      <c r="R845" s="359">
        <f t="shared" ca="1" si="397"/>
        <v>0</v>
      </c>
      <c r="S845" s="360">
        <f t="shared" ca="1" si="398"/>
        <v>8.3819999999999997</v>
      </c>
      <c r="T845" s="357">
        <f t="shared" ca="1" si="378"/>
        <v>82.227419999999995</v>
      </c>
      <c r="U845" s="364">
        <f t="shared" ca="1" si="379"/>
        <v>0</v>
      </c>
      <c r="V845" s="359">
        <f t="shared" ca="1" si="380"/>
        <v>1.226216853054394</v>
      </c>
      <c r="W845" s="357">
        <f t="shared" ca="1" si="381"/>
        <v>56.10950315497692</v>
      </c>
      <c r="X845" s="343"/>
      <c r="Y845" s="367" t="str">
        <f t="shared" ca="1" si="399"/>
        <v/>
      </c>
      <c r="Z845" s="368" t="str">
        <f t="shared" ca="1" si="400"/>
        <v/>
      </c>
      <c r="AA845" s="369" t="str">
        <f t="shared" ca="1" si="401"/>
        <v/>
      </c>
      <c r="AB845" s="344"/>
      <c r="AC845" s="363" t="e">
        <f t="shared" ca="1" si="402"/>
        <v>#N/A</v>
      </c>
      <c r="AD845" s="376" t="e">
        <f t="shared" ca="1" si="403"/>
        <v>#N/A</v>
      </c>
      <c r="AE845" s="377" t="e">
        <f t="shared" ca="1" si="382"/>
        <v>#N/A</v>
      </c>
      <c r="AF845" s="344"/>
      <c r="AG845" s="359">
        <f t="shared" ca="1" si="404"/>
        <v>3.0393472554302194</v>
      </c>
      <c r="AH845" s="357">
        <f t="shared" ca="1" si="405"/>
        <v>-6.694007423626462</v>
      </c>
    </row>
    <row r="846" spans="1:34" x14ac:dyDescent="0.2">
      <c r="A846" s="402">
        <f t="shared" ca="1" si="383"/>
        <v>1E-4</v>
      </c>
      <c r="B846" s="357">
        <f t="shared" ca="1" si="384"/>
        <v>35.312900000000617</v>
      </c>
      <c r="C846" s="342"/>
      <c r="D846" s="359">
        <f t="shared" ca="1" si="385"/>
        <v>-0.83513929578778623</v>
      </c>
      <c r="E846" s="360">
        <f t="shared" ca="1" si="386"/>
        <v>-3.1682525256456389</v>
      </c>
      <c r="F846" s="357">
        <f t="shared" ca="1" si="387"/>
        <v>3.2764739751185097</v>
      </c>
      <c r="G846" s="359">
        <f t="shared" ca="1" si="388"/>
        <v>16.37467062164124</v>
      </c>
      <c r="H846" s="360">
        <f t="shared" ca="1" si="389"/>
        <v>-130.22647487055283</v>
      </c>
      <c r="I846" s="357">
        <f t="shared" ca="1" si="390"/>
        <v>131.25191272959785</v>
      </c>
      <c r="J846" s="359">
        <f t="shared" ca="1" si="391"/>
        <v>953.1802660510491</v>
      </c>
      <c r="K846" s="360">
        <f t="shared" ca="1" si="392"/>
        <v>-9.9415856869905799</v>
      </c>
      <c r="L846" s="357">
        <f t="shared" ca="1" si="377"/>
        <v>953.23210956992034</v>
      </c>
      <c r="M846" s="359">
        <f t="shared" ca="1" si="393"/>
        <v>-1.445712831186782</v>
      </c>
      <c r="N846" s="357">
        <f t="shared" ca="1" si="394"/>
        <v>-82.833243614911865</v>
      </c>
      <c r="O846" s="343"/>
      <c r="P846" s="363">
        <f t="shared" ca="1" si="395"/>
        <v>23</v>
      </c>
      <c r="Q846" s="357">
        <f t="shared" ca="1" si="396"/>
        <v>0</v>
      </c>
      <c r="R846" s="359">
        <f t="shared" ca="1" si="397"/>
        <v>0</v>
      </c>
      <c r="S846" s="360">
        <f t="shared" ca="1" si="398"/>
        <v>8.3819999999999997</v>
      </c>
      <c r="T846" s="357">
        <f t="shared" ca="1" si="378"/>
        <v>82.227419999999995</v>
      </c>
      <c r="U846" s="364">
        <f t="shared" ca="1" si="379"/>
        <v>0</v>
      </c>
      <c r="V846" s="359">
        <f t="shared" ca="1" si="380"/>
        <v>1.226218449912867</v>
      </c>
      <c r="W846" s="357">
        <f t="shared" ca="1" si="381"/>
        <v>56.109836083369906</v>
      </c>
      <c r="X846" s="343"/>
      <c r="Y846" s="367" t="str">
        <f t="shared" ca="1" si="399"/>
        <v/>
      </c>
      <c r="Z846" s="368" t="str">
        <f t="shared" ca="1" si="400"/>
        <v/>
      </c>
      <c r="AA846" s="369" t="str">
        <f t="shared" ca="1" si="401"/>
        <v/>
      </c>
      <c r="AB846" s="344"/>
      <c r="AC846" s="363" t="e">
        <f t="shared" ca="1" si="402"/>
        <v>#N/A</v>
      </c>
      <c r="AD846" s="376" t="e">
        <f t="shared" ca="1" si="403"/>
        <v>#N/A</v>
      </c>
      <c r="AE846" s="377" t="e">
        <f t="shared" ca="1" si="382"/>
        <v>#N/A</v>
      </c>
      <c r="AF846" s="344"/>
      <c r="AG846" s="359">
        <f t="shared" ca="1" si="404"/>
        <v>3.0393086770202302</v>
      </c>
      <c r="AH846" s="357">
        <f t="shared" ca="1" si="405"/>
        <v>-6.6940471432804731</v>
      </c>
    </row>
    <row r="847" spans="1:34" x14ac:dyDescent="0.2">
      <c r="A847" s="402">
        <f t="shared" ca="1" si="383"/>
        <v>1E-4</v>
      </c>
      <c r="B847" s="357">
        <f t="shared" ca="1" si="384"/>
        <v>35.313000000000621</v>
      </c>
      <c r="C847" s="342"/>
      <c r="D847" s="359">
        <f t="shared" ca="1" si="385"/>
        <v>-0.83513805787819839</v>
      </c>
      <c r="E847" s="360">
        <f t="shared" ca="1" si="386"/>
        <v>-3.1682123377809521</v>
      </c>
      <c r="F847" s="357">
        <f t="shared" ca="1" si="387"/>
        <v>3.2764347991351843</v>
      </c>
      <c r="G847" s="359">
        <f t="shared" ca="1" si="388"/>
        <v>16.374587107835453</v>
      </c>
      <c r="H847" s="360">
        <f t="shared" ca="1" si="389"/>
        <v>-130.22679169178662</v>
      </c>
      <c r="I847" s="357">
        <f t="shared" ca="1" si="390"/>
        <v>131.25221665666479</v>
      </c>
      <c r="J847" s="359">
        <f t="shared" ca="1" si="391"/>
        <v>953.1802660510491</v>
      </c>
      <c r="K847" s="360">
        <f t="shared" ca="1" si="392"/>
        <v>-9.9546083503186971</v>
      </c>
      <c r="L847" s="357">
        <f t="shared" ca="1" si="377"/>
        <v>953.23224547670281</v>
      </c>
      <c r="M847" s="359">
        <f t="shared" ca="1" si="393"/>
        <v>-1.4457137636448101</v>
      </c>
      <c r="N847" s="357">
        <f t="shared" ca="1" si="394"/>
        <v>-82.833297040821449</v>
      </c>
      <c r="O847" s="343"/>
      <c r="P847" s="363">
        <f t="shared" ca="1" si="395"/>
        <v>23</v>
      </c>
      <c r="Q847" s="357">
        <f t="shared" ca="1" si="396"/>
        <v>0</v>
      </c>
      <c r="R847" s="359">
        <f t="shared" ca="1" si="397"/>
        <v>0</v>
      </c>
      <c r="S847" s="360">
        <f t="shared" ca="1" si="398"/>
        <v>8.3819999999999997</v>
      </c>
      <c r="T847" s="357">
        <f t="shared" ca="1" si="378"/>
        <v>82.227419999999995</v>
      </c>
      <c r="U847" s="364">
        <f t="shared" ca="1" si="379"/>
        <v>0</v>
      </c>
      <c r="V847" s="359">
        <f t="shared" ca="1" si="380"/>
        <v>1.2262200467773061</v>
      </c>
      <c r="W847" s="357">
        <f t="shared" ca="1" si="381"/>
        <v>56.110169010016016</v>
      </c>
      <c r="X847" s="343"/>
      <c r="Y847" s="367" t="str">
        <f t="shared" ca="1" si="399"/>
        <v/>
      </c>
      <c r="Z847" s="368" t="str">
        <f t="shared" ca="1" si="400"/>
        <v/>
      </c>
      <c r="AA847" s="369" t="str">
        <f t="shared" ca="1" si="401"/>
        <v/>
      </c>
      <c r="AB847" s="344"/>
      <c r="AC847" s="363" t="e">
        <f t="shared" ca="1" si="402"/>
        <v>#N/A</v>
      </c>
      <c r="AD847" s="376" t="e">
        <f t="shared" ca="1" si="403"/>
        <v>#N/A</v>
      </c>
      <c r="AE847" s="377" t="e">
        <f t="shared" ca="1" si="382"/>
        <v>#N/A</v>
      </c>
      <c r="AF847" s="344"/>
      <c r="AG847" s="359">
        <f t="shared" ca="1" si="404"/>
        <v>3.0392700987990864</v>
      </c>
      <c r="AH847" s="357">
        <f t="shared" ca="1" si="405"/>
        <v>-6.6940868627260688</v>
      </c>
    </row>
    <row r="848" spans="1:34" x14ac:dyDescent="0.2">
      <c r="A848" s="402">
        <f t="shared" ca="1" si="383"/>
        <v>1E-4</v>
      </c>
      <c r="B848" s="357">
        <f t="shared" ca="1" si="384"/>
        <v>35.313100000000624</v>
      </c>
      <c r="C848" s="342"/>
      <c r="D848" s="359">
        <f t="shared" ca="1" si="385"/>
        <v>-0.83513681992865729</v>
      </c>
      <c r="E848" s="360">
        <f t="shared" ca="1" si="386"/>
        <v>-3.1681721501271563</v>
      </c>
      <c r="F848" s="357">
        <f t="shared" ca="1" si="387"/>
        <v>3.2763956233705782</v>
      </c>
      <c r="G848" s="359">
        <f t="shared" ca="1" si="388"/>
        <v>16.37450359415346</v>
      </c>
      <c r="H848" s="360">
        <f t="shared" ca="1" si="389"/>
        <v>-130.22710850900162</v>
      </c>
      <c r="I848" s="357">
        <f t="shared" ca="1" si="390"/>
        <v>131.25252057987393</v>
      </c>
      <c r="J848" s="359">
        <f t="shared" ca="1" si="391"/>
        <v>953.1802660510491</v>
      </c>
      <c r="K848" s="360">
        <f t="shared" ca="1" si="392"/>
        <v>-9.9676310453287371</v>
      </c>
      <c r="L848" s="357">
        <f t="shared" ca="1" si="377"/>
        <v>953.23238156170748</v>
      </c>
      <c r="M848" s="359">
        <f t="shared" ca="1" si="393"/>
        <v>-1.4457146960937641</v>
      </c>
      <c r="N848" s="357">
        <f t="shared" ca="1" si="394"/>
        <v>-82.83335046621113</v>
      </c>
      <c r="O848" s="343"/>
      <c r="P848" s="363">
        <f t="shared" ca="1" si="395"/>
        <v>23</v>
      </c>
      <c r="Q848" s="357">
        <f t="shared" ca="1" si="396"/>
        <v>0</v>
      </c>
      <c r="R848" s="359">
        <f t="shared" ca="1" si="397"/>
        <v>0</v>
      </c>
      <c r="S848" s="360">
        <f t="shared" ca="1" si="398"/>
        <v>8.3819999999999997</v>
      </c>
      <c r="T848" s="357">
        <f t="shared" ca="1" si="378"/>
        <v>82.227419999999995</v>
      </c>
      <c r="U848" s="364">
        <f t="shared" ca="1" si="379"/>
        <v>0</v>
      </c>
      <c r="V848" s="359">
        <f t="shared" ca="1" si="380"/>
        <v>1.2262216436477105</v>
      </c>
      <c r="W848" s="357">
        <f t="shared" ca="1" si="381"/>
        <v>56.110501934915192</v>
      </c>
      <c r="X848" s="343"/>
      <c r="Y848" s="367" t="str">
        <f t="shared" ca="1" si="399"/>
        <v/>
      </c>
      <c r="Z848" s="368" t="str">
        <f t="shared" ca="1" si="400"/>
        <v/>
      </c>
      <c r="AA848" s="369" t="str">
        <f t="shared" ca="1" si="401"/>
        <v/>
      </c>
      <c r="AB848" s="344"/>
      <c r="AC848" s="363" t="e">
        <f t="shared" ca="1" si="402"/>
        <v>#N/A</v>
      </c>
      <c r="AD848" s="376" t="e">
        <f t="shared" ca="1" si="403"/>
        <v>#N/A</v>
      </c>
      <c r="AE848" s="377" t="e">
        <f t="shared" ca="1" si="382"/>
        <v>#N/A</v>
      </c>
      <c r="AF848" s="344"/>
      <c r="AG848" s="359">
        <f t="shared" ca="1" si="404"/>
        <v>3.0392315207667817</v>
      </c>
      <c r="AH848" s="357">
        <f t="shared" ca="1" si="405"/>
        <v>-6.6941265819632569</v>
      </c>
    </row>
    <row r="849" spans="1:34" x14ac:dyDescent="0.2">
      <c r="A849" s="402">
        <f t="shared" ca="1" si="383"/>
        <v>1E-4</v>
      </c>
      <c r="B849" s="357">
        <f t="shared" ca="1" si="384"/>
        <v>35.313200000000627</v>
      </c>
      <c r="C849" s="342"/>
      <c r="D849" s="359">
        <f t="shared" ca="1" si="385"/>
        <v>-0.83513558193916337</v>
      </c>
      <c r="E849" s="360">
        <f t="shared" ca="1" si="386"/>
        <v>-3.1681319626842601</v>
      </c>
      <c r="F849" s="357">
        <f t="shared" ca="1" si="387"/>
        <v>3.2763564478247003</v>
      </c>
      <c r="G849" s="359">
        <f t="shared" ca="1" si="388"/>
        <v>16.374420080595264</v>
      </c>
      <c r="H849" s="360">
        <f t="shared" ca="1" si="389"/>
        <v>-130.22742532219789</v>
      </c>
      <c r="I849" s="357">
        <f t="shared" ca="1" si="390"/>
        <v>131.25282449922528</v>
      </c>
      <c r="J849" s="359">
        <f t="shared" ca="1" si="391"/>
        <v>953.1802660510491</v>
      </c>
      <c r="K849" s="360">
        <f t="shared" ca="1" si="392"/>
        <v>-9.9806537720202968</v>
      </c>
      <c r="L849" s="357">
        <f t="shared" ca="1" si="377"/>
        <v>953.23251782493537</v>
      </c>
      <c r="M849" s="359">
        <f t="shared" ca="1" si="393"/>
        <v>-1.4457156285336443</v>
      </c>
      <c r="N849" s="357">
        <f t="shared" ca="1" si="394"/>
        <v>-82.833403891080906</v>
      </c>
      <c r="O849" s="343"/>
      <c r="P849" s="363">
        <f t="shared" ca="1" si="395"/>
        <v>23</v>
      </c>
      <c r="Q849" s="357">
        <f t="shared" ca="1" si="396"/>
        <v>0</v>
      </c>
      <c r="R849" s="359">
        <f t="shared" ca="1" si="397"/>
        <v>0</v>
      </c>
      <c r="S849" s="360">
        <f t="shared" ca="1" si="398"/>
        <v>8.3819999999999997</v>
      </c>
      <c r="T849" s="357">
        <f t="shared" ca="1" si="378"/>
        <v>82.227419999999995</v>
      </c>
      <c r="U849" s="364">
        <f t="shared" ca="1" si="379"/>
        <v>0</v>
      </c>
      <c r="V849" s="359">
        <f t="shared" ca="1" si="380"/>
        <v>1.2262232405240803</v>
      </c>
      <c r="W849" s="357">
        <f t="shared" ca="1" si="381"/>
        <v>56.110834858067442</v>
      </c>
      <c r="X849" s="343"/>
      <c r="Y849" s="367" t="str">
        <f t="shared" ca="1" si="399"/>
        <v/>
      </c>
      <c r="Z849" s="368" t="str">
        <f t="shared" ca="1" si="400"/>
        <v/>
      </c>
      <c r="AA849" s="369" t="str">
        <f t="shared" ca="1" si="401"/>
        <v/>
      </c>
      <c r="AB849" s="344"/>
      <c r="AC849" s="363" t="e">
        <f t="shared" ca="1" si="402"/>
        <v>#N/A</v>
      </c>
      <c r="AD849" s="376" t="e">
        <f t="shared" ca="1" si="403"/>
        <v>#N/A</v>
      </c>
      <c r="AE849" s="377" t="e">
        <f t="shared" ca="1" si="382"/>
        <v>#N/A</v>
      </c>
      <c r="AF849" s="344"/>
      <c r="AG849" s="359">
        <f t="shared" ca="1" si="404"/>
        <v>3.0391929429233242</v>
      </c>
      <c r="AH849" s="357">
        <f t="shared" ca="1" si="405"/>
        <v>-6.6941663009920296</v>
      </c>
    </row>
    <row r="850" spans="1:34" x14ac:dyDescent="0.2">
      <c r="A850" s="402">
        <f t="shared" ca="1" si="383"/>
        <v>1E-4</v>
      </c>
      <c r="B850" s="357">
        <f t="shared" ca="1" si="384"/>
        <v>35.313300000000631</v>
      </c>
      <c r="C850" s="342"/>
      <c r="D850" s="359">
        <f t="shared" ca="1" si="385"/>
        <v>-0.83513434390971719</v>
      </c>
      <c r="E850" s="360">
        <f t="shared" ca="1" si="386"/>
        <v>-3.1680917754522611</v>
      </c>
      <c r="F850" s="357">
        <f t="shared" ca="1" si="387"/>
        <v>3.2763172724975482</v>
      </c>
      <c r="G850" s="359">
        <f t="shared" ca="1" si="388"/>
        <v>16.374336567160874</v>
      </c>
      <c r="H850" s="360">
        <f t="shared" ca="1" si="389"/>
        <v>-130.22774213137544</v>
      </c>
      <c r="I850" s="357">
        <f t="shared" ca="1" si="390"/>
        <v>131.25312841471884</v>
      </c>
      <c r="J850" s="359">
        <f t="shared" ca="1" si="391"/>
        <v>953.1802660510491</v>
      </c>
      <c r="K850" s="360">
        <f t="shared" ca="1" si="392"/>
        <v>-9.9936765303929747</v>
      </c>
      <c r="L850" s="357">
        <f t="shared" ca="1" si="377"/>
        <v>953.23265426638784</v>
      </c>
      <c r="M850" s="359">
        <f t="shared" ca="1" si="393"/>
        <v>-1.4457165609644509</v>
      </c>
      <c r="N850" s="357">
        <f t="shared" ca="1" si="394"/>
        <v>-82.83345731543082</v>
      </c>
      <c r="O850" s="343"/>
      <c r="P850" s="363">
        <f t="shared" ca="1" si="395"/>
        <v>23</v>
      </c>
      <c r="Q850" s="357">
        <f t="shared" ca="1" si="396"/>
        <v>0</v>
      </c>
      <c r="R850" s="359">
        <f t="shared" ca="1" si="397"/>
        <v>0</v>
      </c>
      <c r="S850" s="360">
        <f t="shared" ca="1" si="398"/>
        <v>8.3819999999999997</v>
      </c>
      <c r="T850" s="357">
        <f t="shared" ca="1" si="378"/>
        <v>82.227419999999995</v>
      </c>
      <c r="U850" s="364">
        <f t="shared" ca="1" si="379"/>
        <v>0</v>
      </c>
      <c r="V850" s="359">
        <f t="shared" ca="1" si="380"/>
        <v>1.2262248374064153</v>
      </c>
      <c r="W850" s="357">
        <f t="shared" ca="1" si="381"/>
        <v>56.111167779472694</v>
      </c>
      <c r="X850" s="343"/>
      <c r="Y850" s="367" t="str">
        <f t="shared" ca="1" si="399"/>
        <v/>
      </c>
      <c r="Z850" s="368" t="str">
        <f t="shared" ca="1" si="400"/>
        <v/>
      </c>
      <c r="AA850" s="369" t="str">
        <f t="shared" ca="1" si="401"/>
        <v/>
      </c>
      <c r="AB850" s="344"/>
      <c r="AC850" s="363" t="e">
        <f t="shared" ca="1" si="402"/>
        <v>#N/A</v>
      </c>
      <c r="AD850" s="376" t="e">
        <f t="shared" ca="1" si="403"/>
        <v>#N/A</v>
      </c>
      <c r="AE850" s="377" t="e">
        <f t="shared" ca="1" si="382"/>
        <v>#N/A</v>
      </c>
      <c r="AF850" s="344"/>
      <c r="AG850" s="359">
        <f t="shared" ca="1" si="404"/>
        <v>3.0391543652687103</v>
      </c>
      <c r="AH850" s="357">
        <f t="shared" ca="1" si="405"/>
        <v>-6.6942060198123885</v>
      </c>
    </row>
    <row r="851" spans="1:34" x14ac:dyDescent="0.2">
      <c r="A851" s="402">
        <f t="shared" ca="1" si="383"/>
        <v>1E-4</v>
      </c>
      <c r="B851" s="357">
        <f t="shared" ca="1" si="384"/>
        <v>35.313400000000634</v>
      </c>
      <c r="C851" s="342"/>
      <c r="D851" s="359">
        <f t="shared" ca="1" si="385"/>
        <v>-0.83513310584031797</v>
      </c>
      <c r="E851" s="360">
        <f t="shared" ca="1" si="386"/>
        <v>-3.1680515884311671</v>
      </c>
      <c r="F851" s="357">
        <f t="shared" ca="1" si="387"/>
        <v>3.2762780973891297</v>
      </c>
      <c r="G851" s="359">
        <f t="shared" ca="1" si="388"/>
        <v>16.374253053850289</v>
      </c>
      <c r="H851" s="360">
        <f t="shared" ca="1" si="389"/>
        <v>-130.22805893653427</v>
      </c>
      <c r="I851" s="357">
        <f t="shared" ca="1" si="390"/>
        <v>131.25343232635467</v>
      </c>
      <c r="J851" s="359">
        <f t="shared" ca="1" si="391"/>
        <v>953.1802660510491</v>
      </c>
      <c r="K851" s="360">
        <f t="shared" ca="1" si="392"/>
        <v>-10.006699320446371</v>
      </c>
      <c r="L851" s="357">
        <f t="shared" ca="1" si="377"/>
        <v>953.23279088606614</v>
      </c>
      <c r="M851" s="359">
        <f t="shared" ca="1" si="393"/>
        <v>-1.4457174933861836</v>
      </c>
      <c r="N851" s="357">
        <f t="shared" ca="1" si="394"/>
        <v>-82.833510739260831</v>
      </c>
      <c r="O851" s="343"/>
      <c r="P851" s="363">
        <f t="shared" ca="1" si="395"/>
        <v>23</v>
      </c>
      <c r="Q851" s="357">
        <f t="shared" ca="1" si="396"/>
        <v>0</v>
      </c>
      <c r="R851" s="359">
        <f t="shared" ca="1" si="397"/>
        <v>0</v>
      </c>
      <c r="S851" s="360">
        <f t="shared" ca="1" si="398"/>
        <v>8.3819999999999997</v>
      </c>
      <c r="T851" s="357">
        <f t="shared" ca="1" si="378"/>
        <v>82.227419999999995</v>
      </c>
      <c r="U851" s="364">
        <f t="shared" ca="1" si="379"/>
        <v>0</v>
      </c>
      <c r="V851" s="359">
        <f t="shared" ca="1" si="380"/>
        <v>1.2262264342947158</v>
      </c>
      <c r="W851" s="357">
        <f t="shared" ca="1" si="381"/>
        <v>56.111500699130993</v>
      </c>
      <c r="X851" s="343"/>
      <c r="Y851" s="367" t="str">
        <f t="shared" ca="1" si="399"/>
        <v/>
      </c>
      <c r="Z851" s="368" t="str">
        <f t="shared" ca="1" si="400"/>
        <v/>
      </c>
      <c r="AA851" s="369" t="str">
        <f t="shared" ca="1" si="401"/>
        <v/>
      </c>
      <c r="AB851" s="344"/>
      <c r="AC851" s="363" t="e">
        <f t="shared" ca="1" si="402"/>
        <v>#N/A</v>
      </c>
      <c r="AD851" s="376" t="e">
        <f t="shared" ca="1" si="403"/>
        <v>#N/A</v>
      </c>
      <c r="AE851" s="377" t="e">
        <f t="shared" ca="1" si="382"/>
        <v>#N/A</v>
      </c>
      <c r="AF851" s="344"/>
      <c r="AG851" s="359">
        <f t="shared" ca="1" si="404"/>
        <v>3.0391157878029551</v>
      </c>
      <c r="AH851" s="357">
        <f t="shared" ca="1" si="405"/>
        <v>-6.6942457384243257</v>
      </c>
    </row>
    <row r="852" spans="1:34" x14ac:dyDescent="0.2">
      <c r="A852" s="402">
        <f t="shared" ca="1" si="383"/>
        <v>1E-4</v>
      </c>
      <c r="B852" s="357">
        <f t="shared" ca="1" si="384"/>
        <v>35.313500000000637</v>
      </c>
      <c r="C852" s="342"/>
      <c r="D852" s="359">
        <f t="shared" ca="1" si="385"/>
        <v>-0.83513186773096926</v>
      </c>
      <c r="E852" s="360">
        <f t="shared" ca="1" si="386"/>
        <v>-3.1680114016209755</v>
      </c>
      <c r="F852" s="357">
        <f t="shared" ca="1" si="387"/>
        <v>3.2762389224994437</v>
      </c>
      <c r="G852" s="359">
        <f t="shared" ca="1" si="388"/>
        <v>16.374169540663516</v>
      </c>
      <c r="H852" s="360">
        <f t="shared" ca="1" si="389"/>
        <v>-130.22837573767444</v>
      </c>
      <c r="I852" s="357">
        <f t="shared" ca="1" si="390"/>
        <v>131.25373623413282</v>
      </c>
      <c r="J852" s="359">
        <f t="shared" ca="1" si="391"/>
        <v>953.1802660510491</v>
      </c>
      <c r="K852" s="360">
        <f t="shared" ca="1" si="392"/>
        <v>-10.019722142180081</v>
      </c>
      <c r="L852" s="357">
        <f t="shared" ca="1" si="377"/>
        <v>953.2329276839713</v>
      </c>
      <c r="M852" s="359">
        <f t="shared" ca="1" si="393"/>
        <v>-1.4457184257988429</v>
      </c>
      <c r="N852" s="357">
        <f t="shared" ca="1" si="394"/>
        <v>-82.833564162570966</v>
      </c>
      <c r="O852" s="343"/>
      <c r="P852" s="363">
        <f t="shared" ca="1" si="395"/>
        <v>23</v>
      </c>
      <c r="Q852" s="357">
        <f t="shared" ca="1" si="396"/>
        <v>0</v>
      </c>
      <c r="R852" s="359">
        <f t="shared" ca="1" si="397"/>
        <v>0</v>
      </c>
      <c r="S852" s="360">
        <f t="shared" ca="1" si="398"/>
        <v>8.3819999999999997</v>
      </c>
      <c r="T852" s="357">
        <f t="shared" ca="1" si="378"/>
        <v>82.227419999999995</v>
      </c>
      <c r="U852" s="364">
        <f t="shared" ca="1" si="379"/>
        <v>0</v>
      </c>
      <c r="V852" s="359">
        <f t="shared" ca="1" si="380"/>
        <v>1.2262280311889819</v>
      </c>
      <c r="W852" s="357">
        <f t="shared" ca="1" si="381"/>
        <v>56.111833617042379</v>
      </c>
      <c r="X852" s="343"/>
      <c r="Y852" s="367" t="str">
        <f t="shared" ca="1" si="399"/>
        <v/>
      </c>
      <c r="Z852" s="368" t="str">
        <f t="shared" ca="1" si="400"/>
        <v/>
      </c>
      <c r="AA852" s="369" t="str">
        <f t="shared" ca="1" si="401"/>
        <v/>
      </c>
      <c r="AB852" s="344"/>
      <c r="AC852" s="363" t="e">
        <f t="shared" ca="1" si="402"/>
        <v>#N/A</v>
      </c>
      <c r="AD852" s="376" t="e">
        <f t="shared" ca="1" si="403"/>
        <v>#N/A</v>
      </c>
      <c r="AE852" s="377" t="e">
        <f t="shared" ca="1" si="382"/>
        <v>#N/A</v>
      </c>
      <c r="AF852" s="344"/>
      <c r="AG852" s="359">
        <f t="shared" ca="1" si="404"/>
        <v>3.039077210526048</v>
      </c>
      <c r="AH852" s="357">
        <f t="shared" ca="1" si="405"/>
        <v>-6.6942854568278447</v>
      </c>
    </row>
    <row r="853" spans="1:34" x14ac:dyDescent="0.2">
      <c r="A853" s="402">
        <f t="shared" ca="1" si="383"/>
        <v>1E-4</v>
      </c>
      <c r="B853" s="357">
        <f t="shared" ca="1" si="384"/>
        <v>35.31360000000064</v>
      </c>
      <c r="C853" s="342"/>
      <c r="D853" s="359">
        <f t="shared" ca="1" si="385"/>
        <v>-0.83513062958167039</v>
      </c>
      <c r="E853" s="360">
        <f t="shared" ca="1" si="386"/>
        <v>-3.1679712150216792</v>
      </c>
      <c r="F853" s="357">
        <f t="shared" ca="1" si="387"/>
        <v>3.2761997478284828</v>
      </c>
      <c r="G853" s="359">
        <f t="shared" ca="1" si="388"/>
        <v>16.374086027600558</v>
      </c>
      <c r="H853" s="360">
        <f t="shared" ca="1" si="389"/>
        <v>-130.22869253479595</v>
      </c>
      <c r="I853" s="357">
        <f t="shared" ca="1" si="390"/>
        <v>131.25404013805323</v>
      </c>
      <c r="J853" s="359">
        <f t="shared" ca="1" si="391"/>
        <v>953.1802660510491</v>
      </c>
      <c r="K853" s="360">
        <f t="shared" ca="1" si="392"/>
        <v>-10.032744995593704</v>
      </c>
      <c r="L853" s="357">
        <f t="shared" ca="1" si="377"/>
        <v>953.23306466010479</v>
      </c>
      <c r="M853" s="359">
        <f t="shared" ca="1" si="393"/>
        <v>-1.445719358202429</v>
      </c>
      <c r="N853" s="357">
        <f t="shared" ca="1" si="394"/>
        <v>-82.833617585361253</v>
      </c>
      <c r="O853" s="343"/>
      <c r="P853" s="363">
        <f t="shared" ca="1" si="395"/>
        <v>23</v>
      </c>
      <c r="Q853" s="357">
        <f t="shared" ca="1" si="396"/>
        <v>0</v>
      </c>
      <c r="R853" s="359">
        <f t="shared" ca="1" si="397"/>
        <v>0</v>
      </c>
      <c r="S853" s="360">
        <f t="shared" ca="1" si="398"/>
        <v>8.3819999999999997</v>
      </c>
      <c r="T853" s="357">
        <f t="shared" ca="1" si="378"/>
        <v>82.227419999999995</v>
      </c>
      <c r="U853" s="364">
        <f t="shared" ca="1" si="379"/>
        <v>0</v>
      </c>
      <c r="V853" s="359">
        <f t="shared" ca="1" si="380"/>
        <v>1.2262296280892133</v>
      </c>
      <c r="W853" s="357">
        <f t="shared" ca="1" si="381"/>
        <v>56.112166533206739</v>
      </c>
      <c r="X853" s="343"/>
      <c r="Y853" s="367" t="str">
        <f t="shared" ca="1" si="399"/>
        <v/>
      </c>
      <c r="Z853" s="368" t="str">
        <f t="shared" ca="1" si="400"/>
        <v/>
      </c>
      <c r="AA853" s="369" t="str">
        <f t="shared" ca="1" si="401"/>
        <v/>
      </c>
      <c r="AB853" s="344"/>
      <c r="AC853" s="363" t="e">
        <f t="shared" ca="1" si="402"/>
        <v>#N/A</v>
      </c>
      <c r="AD853" s="376" t="e">
        <f t="shared" ca="1" si="403"/>
        <v>#N/A</v>
      </c>
      <c r="AE853" s="377" t="e">
        <f t="shared" ca="1" si="382"/>
        <v>#N/A</v>
      </c>
      <c r="AF853" s="344"/>
      <c r="AG853" s="359">
        <f t="shared" ca="1" si="404"/>
        <v>3.0390386334379862</v>
      </c>
      <c r="AH853" s="357">
        <f t="shared" ca="1" si="405"/>
        <v>-6.6943251750229518</v>
      </c>
    </row>
    <row r="854" spans="1:34" x14ac:dyDescent="0.2">
      <c r="A854" s="402">
        <f t="shared" ca="1" si="383"/>
        <v>1E-4</v>
      </c>
      <c r="B854" s="357">
        <f t="shared" ca="1" si="384"/>
        <v>35.313700000000644</v>
      </c>
      <c r="C854" s="342"/>
      <c r="D854" s="359">
        <f t="shared" ca="1" si="385"/>
        <v>-0.83512939139242004</v>
      </c>
      <c r="E854" s="360">
        <f t="shared" ca="1" si="386"/>
        <v>-3.1679310286332925</v>
      </c>
      <c r="F854" s="357">
        <f t="shared" ca="1" si="387"/>
        <v>3.2761605733762598</v>
      </c>
      <c r="G854" s="359">
        <f t="shared" ca="1" si="388"/>
        <v>16.37400251466142</v>
      </c>
      <c r="H854" s="360">
        <f t="shared" ca="1" si="389"/>
        <v>-130.22900932789881</v>
      </c>
      <c r="I854" s="357">
        <f t="shared" ca="1" si="390"/>
        <v>131.2543440381159</v>
      </c>
      <c r="J854" s="359">
        <f t="shared" ca="1" si="391"/>
        <v>953.1802660510491</v>
      </c>
      <c r="K854" s="360">
        <f t="shared" ca="1" si="392"/>
        <v>-10.045767880686839</v>
      </c>
      <c r="L854" s="357">
        <f t="shared" ca="1" si="377"/>
        <v>953.23320181446752</v>
      </c>
      <c r="M854" s="359">
        <f t="shared" ca="1" si="393"/>
        <v>-1.4457202905969417</v>
      </c>
      <c r="N854" s="357">
        <f t="shared" ca="1" si="394"/>
        <v>-82.833671007631679</v>
      </c>
      <c r="O854" s="343"/>
      <c r="P854" s="363">
        <f t="shared" ca="1" si="395"/>
        <v>23</v>
      </c>
      <c r="Q854" s="357">
        <f t="shared" ca="1" si="396"/>
        <v>0</v>
      </c>
      <c r="R854" s="359">
        <f t="shared" ca="1" si="397"/>
        <v>0</v>
      </c>
      <c r="S854" s="360">
        <f t="shared" ca="1" si="398"/>
        <v>8.3819999999999997</v>
      </c>
      <c r="T854" s="357">
        <f t="shared" ca="1" si="378"/>
        <v>82.227419999999995</v>
      </c>
      <c r="U854" s="364">
        <f t="shared" ca="1" si="379"/>
        <v>0</v>
      </c>
      <c r="V854" s="359">
        <f t="shared" ca="1" si="380"/>
        <v>1.2262312249954097</v>
      </c>
      <c r="W854" s="357">
        <f t="shared" ca="1" si="381"/>
        <v>56.112499447624032</v>
      </c>
      <c r="X854" s="343"/>
      <c r="Y854" s="367" t="str">
        <f t="shared" ca="1" si="399"/>
        <v/>
      </c>
      <c r="Z854" s="368" t="str">
        <f t="shared" ca="1" si="400"/>
        <v/>
      </c>
      <c r="AA854" s="369" t="str">
        <f t="shared" ca="1" si="401"/>
        <v/>
      </c>
      <c r="AB854" s="344"/>
      <c r="AC854" s="363" t="e">
        <f t="shared" ca="1" si="402"/>
        <v>#N/A</v>
      </c>
      <c r="AD854" s="376" t="e">
        <f t="shared" ca="1" si="403"/>
        <v>#N/A</v>
      </c>
      <c r="AE854" s="377" t="e">
        <f t="shared" ca="1" si="382"/>
        <v>#N/A</v>
      </c>
      <c r="AF854" s="344"/>
      <c r="AG854" s="359">
        <f t="shared" ca="1" si="404"/>
        <v>3.0390000565387858</v>
      </c>
      <c r="AH854" s="357">
        <f t="shared" ca="1" si="405"/>
        <v>-6.6943648930096327</v>
      </c>
    </row>
    <row r="855" spans="1:34" x14ac:dyDescent="0.2">
      <c r="A855" s="402">
        <f t="shared" ca="1" si="383"/>
        <v>1E-4</v>
      </c>
      <c r="B855" s="357">
        <f t="shared" ca="1" si="384"/>
        <v>35.313800000000647</v>
      </c>
      <c r="C855" s="342"/>
      <c r="D855" s="359">
        <f t="shared" ca="1" si="385"/>
        <v>-0.83512815316322075</v>
      </c>
      <c r="E855" s="360">
        <f t="shared" ca="1" si="386"/>
        <v>-3.1678908424558205</v>
      </c>
      <c r="F855" s="357">
        <f t="shared" ca="1" si="387"/>
        <v>3.2761213991427822</v>
      </c>
      <c r="G855" s="359">
        <f t="shared" ca="1" si="388"/>
        <v>16.373919001846104</v>
      </c>
      <c r="H855" s="360">
        <f t="shared" ca="1" si="389"/>
        <v>-130.22932611698306</v>
      </c>
      <c r="I855" s="357">
        <f t="shared" ca="1" si="390"/>
        <v>131.25464793432096</v>
      </c>
      <c r="J855" s="359">
        <f t="shared" ca="1" si="391"/>
        <v>953.1802660510491</v>
      </c>
      <c r="K855" s="360">
        <f t="shared" ca="1" si="392"/>
        <v>-10.058790797459082</v>
      </c>
      <c r="L855" s="357">
        <f t="shared" ca="1" si="377"/>
        <v>953.23333914706097</v>
      </c>
      <c r="M855" s="359">
        <f t="shared" ca="1" si="393"/>
        <v>-1.4457212229823813</v>
      </c>
      <c r="N855" s="357">
        <f t="shared" ca="1" si="394"/>
        <v>-82.833724429382244</v>
      </c>
      <c r="O855" s="343"/>
      <c r="P855" s="363">
        <f t="shared" ca="1" si="395"/>
        <v>23</v>
      </c>
      <c r="Q855" s="357">
        <f t="shared" ca="1" si="396"/>
        <v>0</v>
      </c>
      <c r="R855" s="359">
        <f t="shared" ca="1" si="397"/>
        <v>0</v>
      </c>
      <c r="S855" s="360">
        <f t="shared" ca="1" si="398"/>
        <v>8.3819999999999997</v>
      </c>
      <c r="T855" s="357">
        <f t="shared" ca="1" si="378"/>
        <v>82.227419999999995</v>
      </c>
      <c r="U855" s="364">
        <f t="shared" ca="1" si="379"/>
        <v>0</v>
      </c>
      <c r="V855" s="359">
        <f t="shared" ca="1" si="380"/>
        <v>1.2262328219075718</v>
      </c>
      <c r="W855" s="357">
        <f t="shared" ca="1" si="381"/>
        <v>56.112832360294362</v>
      </c>
      <c r="X855" s="343"/>
      <c r="Y855" s="367" t="str">
        <f t="shared" ca="1" si="399"/>
        <v/>
      </c>
      <c r="Z855" s="368" t="str">
        <f t="shared" ca="1" si="400"/>
        <v/>
      </c>
      <c r="AA855" s="369" t="str">
        <f t="shared" ca="1" si="401"/>
        <v/>
      </c>
      <c r="AB855" s="344"/>
      <c r="AC855" s="363" t="e">
        <f t="shared" ca="1" si="402"/>
        <v>#N/A</v>
      </c>
      <c r="AD855" s="376" t="e">
        <f t="shared" ca="1" si="403"/>
        <v>#N/A</v>
      </c>
      <c r="AE855" s="377" t="e">
        <f t="shared" ca="1" si="382"/>
        <v>#N/A</v>
      </c>
      <c r="AF855" s="344"/>
      <c r="AG855" s="359">
        <f t="shared" ca="1" si="404"/>
        <v>3.0389614798284494</v>
      </c>
      <c r="AH855" s="357">
        <f t="shared" ca="1" si="405"/>
        <v>-6.694404610787883</v>
      </c>
    </row>
    <row r="856" spans="1:34" x14ac:dyDescent="0.2">
      <c r="A856" s="402">
        <f t="shared" ca="1" si="383"/>
        <v>1E-4</v>
      </c>
      <c r="B856" s="357">
        <f t="shared" ca="1" si="384"/>
        <v>35.31390000000065</v>
      </c>
      <c r="C856" s="342"/>
      <c r="D856" s="359">
        <f t="shared" ca="1" si="385"/>
        <v>-0.83512691489407409</v>
      </c>
      <c r="E856" s="360">
        <f t="shared" ca="1" si="386"/>
        <v>-3.1678506564892501</v>
      </c>
      <c r="F856" s="357">
        <f t="shared" ca="1" si="387"/>
        <v>3.2760822251280364</v>
      </c>
      <c r="G856" s="359">
        <f t="shared" ca="1" si="388"/>
        <v>16.373835489154615</v>
      </c>
      <c r="H856" s="360">
        <f t="shared" ca="1" si="389"/>
        <v>-130.22964290204871</v>
      </c>
      <c r="I856" s="357">
        <f t="shared" ca="1" si="390"/>
        <v>131.25495182666833</v>
      </c>
      <c r="J856" s="359">
        <f t="shared" ca="1" si="391"/>
        <v>953.1802660510491</v>
      </c>
      <c r="K856" s="360">
        <f t="shared" ca="1" si="392"/>
        <v>-10.071813745910033</v>
      </c>
      <c r="L856" s="357">
        <f t="shared" ca="1" si="377"/>
        <v>953.23347665788629</v>
      </c>
      <c r="M856" s="359">
        <f t="shared" ca="1" si="393"/>
        <v>-1.445722155358748</v>
      </c>
      <c r="N856" s="357">
        <f t="shared" ca="1" si="394"/>
        <v>-82.833777850612975</v>
      </c>
      <c r="O856" s="343"/>
      <c r="P856" s="363">
        <f t="shared" ca="1" si="395"/>
        <v>23</v>
      </c>
      <c r="Q856" s="357">
        <f t="shared" ca="1" si="396"/>
        <v>0</v>
      </c>
      <c r="R856" s="359">
        <f t="shared" ca="1" si="397"/>
        <v>0</v>
      </c>
      <c r="S856" s="360">
        <f t="shared" ca="1" si="398"/>
        <v>8.3819999999999997</v>
      </c>
      <c r="T856" s="357">
        <f t="shared" ca="1" si="378"/>
        <v>82.227419999999995</v>
      </c>
      <c r="U856" s="364">
        <f t="shared" ca="1" si="379"/>
        <v>0</v>
      </c>
      <c r="V856" s="359">
        <f t="shared" ca="1" si="380"/>
        <v>1.2262344188256991</v>
      </c>
      <c r="W856" s="357">
        <f t="shared" ca="1" si="381"/>
        <v>56.113165271217625</v>
      </c>
      <c r="X856" s="343"/>
      <c r="Y856" s="367" t="str">
        <f t="shared" ca="1" si="399"/>
        <v/>
      </c>
      <c r="Z856" s="368" t="str">
        <f t="shared" ca="1" si="400"/>
        <v/>
      </c>
      <c r="AA856" s="369" t="str">
        <f t="shared" ca="1" si="401"/>
        <v/>
      </c>
      <c r="AB856" s="344"/>
      <c r="AC856" s="363" t="e">
        <f t="shared" ca="1" si="402"/>
        <v>#N/A</v>
      </c>
      <c r="AD856" s="376" t="e">
        <f t="shared" ca="1" si="403"/>
        <v>#N/A</v>
      </c>
      <c r="AE856" s="377" t="e">
        <f t="shared" ca="1" si="382"/>
        <v>#N/A</v>
      </c>
      <c r="AF856" s="344"/>
      <c r="AG856" s="359">
        <f t="shared" ca="1" si="404"/>
        <v>3.0389229033069647</v>
      </c>
      <c r="AH856" s="357">
        <f t="shared" ca="1" si="405"/>
        <v>-6.6944443283577151</v>
      </c>
    </row>
    <row r="857" spans="1:34" x14ac:dyDescent="0.2">
      <c r="A857" s="402">
        <f t="shared" ca="1" si="383"/>
        <v>1E-4</v>
      </c>
      <c r="B857" s="357">
        <f t="shared" ca="1" si="384"/>
        <v>35.314000000000654</v>
      </c>
      <c r="C857" s="342"/>
      <c r="D857" s="359">
        <f t="shared" ca="1" si="385"/>
        <v>-0.83512567658497727</v>
      </c>
      <c r="E857" s="360">
        <f t="shared" ca="1" si="386"/>
        <v>-3.1678104707335955</v>
      </c>
      <c r="F857" s="357">
        <f t="shared" ca="1" si="387"/>
        <v>3.2760430513320364</v>
      </c>
      <c r="G857" s="359">
        <f t="shared" ca="1" si="388"/>
        <v>16.373751976586956</v>
      </c>
      <c r="H857" s="360">
        <f t="shared" ca="1" si="389"/>
        <v>-130.22995968309579</v>
      </c>
      <c r="I857" s="357">
        <f t="shared" ca="1" si="390"/>
        <v>131.25525571515809</v>
      </c>
      <c r="J857" s="359">
        <f t="shared" ca="1" si="391"/>
        <v>953.1802660510491</v>
      </c>
      <c r="K857" s="360">
        <f t="shared" ca="1" si="392"/>
        <v>-10.08483672603929</v>
      </c>
      <c r="L857" s="357">
        <f t="shared" ca="1" si="377"/>
        <v>953.23361434694471</v>
      </c>
      <c r="M857" s="359">
        <f t="shared" ca="1" si="393"/>
        <v>-1.4457230877260419</v>
      </c>
      <c r="N857" s="357">
        <f t="shared" ca="1" si="394"/>
        <v>-82.833831271323874</v>
      </c>
      <c r="O857" s="343"/>
      <c r="P857" s="363">
        <f t="shared" ca="1" si="395"/>
        <v>23</v>
      </c>
      <c r="Q857" s="357">
        <f t="shared" ca="1" si="396"/>
        <v>0</v>
      </c>
      <c r="R857" s="359">
        <f t="shared" ca="1" si="397"/>
        <v>0</v>
      </c>
      <c r="S857" s="360">
        <f t="shared" ca="1" si="398"/>
        <v>8.3819999999999997</v>
      </c>
      <c r="T857" s="357">
        <f t="shared" ca="1" si="378"/>
        <v>82.227419999999995</v>
      </c>
      <c r="U857" s="364">
        <f t="shared" ca="1" si="379"/>
        <v>0</v>
      </c>
      <c r="V857" s="359">
        <f t="shared" ca="1" si="380"/>
        <v>1.2262360157497914</v>
      </c>
      <c r="W857" s="357">
        <f t="shared" ca="1" si="381"/>
        <v>56.113498180393819</v>
      </c>
      <c r="X857" s="343"/>
      <c r="Y857" s="367" t="str">
        <f t="shared" ca="1" si="399"/>
        <v/>
      </c>
      <c r="Z857" s="368" t="str">
        <f t="shared" ca="1" si="400"/>
        <v/>
      </c>
      <c r="AA857" s="369" t="str">
        <f t="shared" ca="1" si="401"/>
        <v/>
      </c>
      <c r="AB857" s="344"/>
      <c r="AC857" s="363" t="e">
        <f t="shared" ca="1" si="402"/>
        <v>#N/A</v>
      </c>
      <c r="AD857" s="376" t="e">
        <f t="shared" ca="1" si="403"/>
        <v>#N/A</v>
      </c>
      <c r="AE857" s="377" t="e">
        <f t="shared" ca="1" si="382"/>
        <v>#N/A</v>
      </c>
      <c r="AF857" s="344"/>
      <c r="AG857" s="359">
        <f t="shared" ca="1" si="404"/>
        <v>3.0388843269743484</v>
      </c>
      <c r="AH857" s="357">
        <f t="shared" ca="1" si="405"/>
        <v>-6.6944840457191157</v>
      </c>
    </row>
    <row r="858" spans="1:34" x14ac:dyDescent="0.2">
      <c r="A858" s="402">
        <f t="shared" ca="1" si="383"/>
        <v>1E-4</v>
      </c>
      <c r="B858" s="357">
        <f t="shared" ca="1" si="384"/>
        <v>35.314100000000657</v>
      </c>
      <c r="C858" s="342"/>
      <c r="D858" s="359">
        <f t="shared" ca="1" si="385"/>
        <v>-0.83512443823593341</v>
      </c>
      <c r="E858" s="360">
        <f t="shared" ca="1" si="386"/>
        <v>-3.1677702851888547</v>
      </c>
      <c r="F858" s="357">
        <f t="shared" ca="1" si="387"/>
        <v>3.2760038777547806</v>
      </c>
      <c r="G858" s="359">
        <f t="shared" ca="1" si="388"/>
        <v>16.373668464143133</v>
      </c>
      <c r="H858" s="360">
        <f t="shared" ca="1" si="389"/>
        <v>-130.23027646012432</v>
      </c>
      <c r="I858" s="357">
        <f t="shared" ca="1" si="390"/>
        <v>131.25555959979022</v>
      </c>
      <c r="J858" s="359">
        <f t="shared" ca="1" si="391"/>
        <v>953.1802660510491</v>
      </c>
      <c r="K858" s="360">
        <f t="shared" ca="1" si="392"/>
        <v>-10.09785973784645</v>
      </c>
      <c r="L858" s="357">
        <f t="shared" ca="1" si="377"/>
        <v>953.23375221423726</v>
      </c>
      <c r="M858" s="359">
        <f t="shared" ca="1" si="393"/>
        <v>-1.4457240200842632</v>
      </c>
      <c r="N858" s="357">
        <f t="shared" ca="1" si="394"/>
        <v>-82.833884691514939</v>
      </c>
      <c r="O858" s="343"/>
      <c r="P858" s="363">
        <f t="shared" ca="1" si="395"/>
        <v>23</v>
      </c>
      <c r="Q858" s="357">
        <f t="shared" ca="1" si="396"/>
        <v>0</v>
      </c>
      <c r="R858" s="359">
        <f t="shared" ca="1" si="397"/>
        <v>0</v>
      </c>
      <c r="S858" s="360">
        <f t="shared" ca="1" si="398"/>
        <v>8.3819999999999997</v>
      </c>
      <c r="T858" s="357">
        <f t="shared" ca="1" si="378"/>
        <v>82.227419999999995</v>
      </c>
      <c r="U858" s="364">
        <f t="shared" ca="1" si="379"/>
        <v>0</v>
      </c>
      <c r="V858" s="359">
        <f t="shared" ca="1" si="380"/>
        <v>1.2262376126798487</v>
      </c>
      <c r="W858" s="357">
        <f t="shared" ca="1" si="381"/>
        <v>56.113831087822938</v>
      </c>
      <c r="X858" s="343"/>
      <c r="Y858" s="367" t="str">
        <f t="shared" ca="1" si="399"/>
        <v/>
      </c>
      <c r="Z858" s="368" t="str">
        <f t="shared" ca="1" si="400"/>
        <v/>
      </c>
      <c r="AA858" s="369" t="str">
        <f t="shared" ca="1" si="401"/>
        <v/>
      </c>
      <c r="AB858" s="344"/>
      <c r="AC858" s="363" t="e">
        <f t="shared" ca="1" si="402"/>
        <v>#N/A</v>
      </c>
      <c r="AD858" s="376" t="e">
        <f t="shared" ca="1" si="403"/>
        <v>#N/A</v>
      </c>
      <c r="AE858" s="377" t="e">
        <f t="shared" ca="1" si="382"/>
        <v>#N/A</v>
      </c>
      <c r="AF858" s="344"/>
      <c r="AG858" s="359">
        <f t="shared" ca="1" si="404"/>
        <v>3.0388457508305997</v>
      </c>
      <c r="AH858" s="357">
        <f t="shared" ca="1" si="405"/>
        <v>-6.6945237628720857</v>
      </c>
    </row>
    <row r="859" spans="1:34" x14ac:dyDescent="0.2">
      <c r="A859" s="402">
        <f t="shared" ca="1" si="383"/>
        <v>1E-4</v>
      </c>
      <c r="B859" s="357">
        <f t="shared" ca="1" si="384"/>
        <v>35.31420000000066</v>
      </c>
      <c r="C859" s="342"/>
      <c r="D859" s="359">
        <f t="shared" ca="1" si="385"/>
        <v>-0.83512319984694106</v>
      </c>
      <c r="E859" s="360">
        <f t="shared" ca="1" si="386"/>
        <v>-3.1677300998550306</v>
      </c>
      <c r="F859" s="357">
        <f t="shared" ca="1" si="387"/>
        <v>3.2759647043962725</v>
      </c>
      <c r="G859" s="359">
        <f t="shared" ca="1" si="388"/>
        <v>16.373584951823148</v>
      </c>
      <c r="H859" s="360">
        <f t="shared" ca="1" si="389"/>
        <v>-130.2305932331343</v>
      </c>
      <c r="I859" s="357">
        <f t="shared" ca="1" si="390"/>
        <v>131.25586348056476</v>
      </c>
      <c r="J859" s="359">
        <f t="shared" ca="1" si="391"/>
        <v>953.1802660510491</v>
      </c>
      <c r="K859" s="360">
        <f t="shared" ca="1" si="392"/>
        <v>-10.110882781331114</v>
      </c>
      <c r="L859" s="357">
        <f t="shared" ca="1" si="377"/>
        <v>953.23389025976542</v>
      </c>
      <c r="M859" s="359">
        <f t="shared" ca="1" si="393"/>
        <v>-1.4457249524334117</v>
      </c>
      <c r="N859" s="357">
        <f t="shared" ca="1" si="394"/>
        <v>-82.833938111186185</v>
      </c>
      <c r="O859" s="343"/>
      <c r="P859" s="363">
        <f t="shared" ca="1" si="395"/>
        <v>23</v>
      </c>
      <c r="Q859" s="357">
        <f t="shared" ca="1" si="396"/>
        <v>0</v>
      </c>
      <c r="R859" s="359">
        <f t="shared" ca="1" si="397"/>
        <v>0</v>
      </c>
      <c r="S859" s="360">
        <f t="shared" ca="1" si="398"/>
        <v>8.3819999999999997</v>
      </c>
      <c r="T859" s="357">
        <f t="shared" ca="1" si="378"/>
        <v>82.227419999999995</v>
      </c>
      <c r="U859" s="364">
        <f t="shared" ca="1" si="379"/>
        <v>0</v>
      </c>
      <c r="V859" s="359">
        <f t="shared" ca="1" si="380"/>
        <v>1.2262392096158712</v>
      </c>
      <c r="W859" s="357">
        <f t="shared" ca="1" si="381"/>
        <v>56.114163993504981</v>
      </c>
      <c r="X859" s="343"/>
      <c r="Y859" s="367" t="str">
        <f t="shared" ca="1" si="399"/>
        <v/>
      </c>
      <c r="Z859" s="368" t="str">
        <f t="shared" ca="1" si="400"/>
        <v/>
      </c>
      <c r="AA859" s="369" t="str">
        <f t="shared" ca="1" si="401"/>
        <v/>
      </c>
      <c r="AB859" s="344"/>
      <c r="AC859" s="363" t="e">
        <f t="shared" ca="1" si="402"/>
        <v>#N/A</v>
      </c>
      <c r="AD859" s="376" t="e">
        <f t="shared" ca="1" si="403"/>
        <v>#N/A</v>
      </c>
      <c r="AE859" s="377" t="e">
        <f t="shared" ca="1" si="382"/>
        <v>#N/A</v>
      </c>
      <c r="AF859" s="344"/>
      <c r="AG859" s="359">
        <f t="shared" ca="1" si="404"/>
        <v>3.0388071748757151</v>
      </c>
      <c r="AH859" s="357">
        <f t="shared" ca="1" si="405"/>
        <v>-6.6945634798166234</v>
      </c>
    </row>
    <row r="860" spans="1:34" x14ac:dyDescent="0.2">
      <c r="A860" s="402">
        <f t="shared" ca="1" si="383"/>
        <v>1E-4</v>
      </c>
      <c r="B860" s="357">
        <f t="shared" ca="1" si="384"/>
        <v>35.314300000000664</v>
      </c>
      <c r="C860" s="342"/>
      <c r="D860" s="359">
        <f t="shared" ca="1" si="385"/>
        <v>-0.83512196141800366</v>
      </c>
      <c r="E860" s="360">
        <f t="shared" ca="1" si="386"/>
        <v>-3.1676899147321214</v>
      </c>
      <c r="F860" s="357">
        <f t="shared" ca="1" si="387"/>
        <v>3.2759255312565099</v>
      </c>
      <c r="G860" s="359">
        <f t="shared" ca="1" si="388"/>
        <v>16.373501439627006</v>
      </c>
      <c r="H860" s="360">
        <f t="shared" ca="1" si="389"/>
        <v>-130.23091000212577</v>
      </c>
      <c r="I860" s="357">
        <f t="shared" ca="1" si="390"/>
        <v>131.2561673574817</v>
      </c>
      <c r="J860" s="359">
        <f t="shared" ca="1" si="391"/>
        <v>953.1802660510491</v>
      </c>
      <c r="K860" s="360">
        <f t="shared" ca="1" si="392"/>
        <v>-10.123905856492877</v>
      </c>
      <c r="L860" s="357">
        <f t="shared" ca="1" si="377"/>
        <v>953.23402848353032</v>
      </c>
      <c r="M860" s="359">
        <f t="shared" ca="1" si="393"/>
        <v>-1.445725884773488</v>
      </c>
      <c r="N860" s="357">
        <f t="shared" ca="1" si="394"/>
        <v>-82.833991530337627</v>
      </c>
      <c r="O860" s="343"/>
      <c r="P860" s="363">
        <f t="shared" ca="1" si="395"/>
        <v>23</v>
      </c>
      <c r="Q860" s="357">
        <f t="shared" ca="1" si="396"/>
        <v>0</v>
      </c>
      <c r="R860" s="359">
        <f t="shared" ca="1" si="397"/>
        <v>0</v>
      </c>
      <c r="S860" s="360">
        <f t="shared" ca="1" si="398"/>
        <v>8.3819999999999997</v>
      </c>
      <c r="T860" s="357">
        <f t="shared" ca="1" si="378"/>
        <v>82.227419999999995</v>
      </c>
      <c r="U860" s="364">
        <f t="shared" ca="1" si="379"/>
        <v>0</v>
      </c>
      <c r="V860" s="359">
        <f t="shared" ca="1" si="380"/>
        <v>1.2262408065578594</v>
      </c>
      <c r="W860" s="357">
        <f t="shared" ca="1" si="381"/>
        <v>56.114496897439942</v>
      </c>
      <c r="X860" s="343"/>
      <c r="Y860" s="367" t="str">
        <f t="shared" ca="1" si="399"/>
        <v/>
      </c>
      <c r="Z860" s="368" t="str">
        <f t="shared" ca="1" si="400"/>
        <v/>
      </c>
      <c r="AA860" s="369" t="str">
        <f t="shared" ca="1" si="401"/>
        <v/>
      </c>
      <c r="AB860" s="344"/>
      <c r="AC860" s="363" t="e">
        <f t="shared" ca="1" si="402"/>
        <v>#N/A</v>
      </c>
      <c r="AD860" s="376" t="e">
        <f t="shared" ca="1" si="403"/>
        <v>#N/A</v>
      </c>
      <c r="AE860" s="377" t="e">
        <f t="shared" ca="1" si="382"/>
        <v>#N/A</v>
      </c>
      <c r="AF860" s="344"/>
      <c r="AG860" s="359">
        <f t="shared" ca="1" si="404"/>
        <v>3.0387685991096998</v>
      </c>
      <c r="AH860" s="357">
        <f t="shared" ca="1" si="405"/>
        <v>-6.6946031965527304</v>
      </c>
    </row>
    <row r="861" spans="1:34" x14ac:dyDescent="0.2">
      <c r="A861" s="402">
        <f t="shared" ca="1" si="383"/>
        <v>1E-4</v>
      </c>
      <c r="B861" s="357">
        <f t="shared" ca="1" si="384"/>
        <v>35.314400000000667</v>
      </c>
      <c r="C861" s="342"/>
      <c r="D861" s="359">
        <f t="shared" ca="1" si="385"/>
        <v>-0.83512072294911954</v>
      </c>
      <c r="E861" s="360">
        <f t="shared" ca="1" si="386"/>
        <v>-3.1676497298201287</v>
      </c>
      <c r="F861" s="357">
        <f t="shared" ca="1" si="387"/>
        <v>3.2758863583354954</v>
      </c>
      <c r="G861" s="359">
        <f t="shared" ca="1" si="388"/>
        <v>16.373417927554712</v>
      </c>
      <c r="H861" s="360">
        <f t="shared" ca="1" si="389"/>
        <v>-130.23122676709875</v>
      </c>
      <c r="I861" s="357">
        <f t="shared" ca="1" si="390"/>
        <v>131.25647123054111</v>
      </c>
      <c r="J861" s="359">
        <f t="shared" ca="1" si="391"/>
        <v>953.1802660510491</v>
      </c>
      <c r="K861" s="360">
        <f t="shared" ca="1" si="392"/>
        <v>-10.136928963331339</v>
      </c>
      <c r="L861" s="357">
        <f t="shared" ca="1" si="377"/>
        <v>953.23416688553311</v>
      </c>
      <c r="M861" s="359">
        <f t="shared" ca="1" si="393"/>
        <v>-1.4457268171044919</v>
      </c>
      <c r="N861" s="357">
        <f t="shared" ca="1" si="394"/>
        <v>-82.834044948969265</v>
      </c>
      <c r="O861" s="343"/>
      <c r="P861" s="363">
        <f t="shared" ca="1" si="395"/>
        <v>23</v>
      </c>
      <c r="Q861" s="357">
        <f t="shared" ca="1" si="396"/>
        <v>0</v>
      </c>
      <c r="R861" s="359">
        <f t="shared" ca="1" si="397"/>
        <v>0</v>
      </c>
      <c r="S861" s="360">
        <f t="shared" ca="1" si="398"/>
        <v>8.3819999999999997</v>
      </c>
      <c r="T861" s="357">
        <f t="shared" ca="1" si="378"/>
        <v>82.227419999999995</v>
      </c>
      <c r="U861" s="364">
        <f t="shared" ca="1" si="379"/>
        <v>0</v>
      </c>
      <c r="V861" s="359">
        <f t="shared" ca="1" si="380"/>
        <v>1.2262424035058126</v>
      </c>
      <c r="W861" s="357">
        <f t="shared" ca="1" si="381"/>
        <v>56.114829799627785</v>
      </c>
      <c r="X861" s="343"/>
      <c r="Y861" s="367" t="str">
        <f t="shared" ca="1" si="399"/>
        <v/>
      </c>
      <c r="Z861" s="368" t="str">
        <f t="shared" ca="1" si="400"/>
        <v/>
      </c>
      <c r="AA861" s="369" t="str">
        <f t="shared" ca="1" si="401"/>
        <v/>
      </c>
      <c r="AB861" s="344"/>
      <c r="AC861" s="363" t="e">
        <f t="shared" ca="1" si="402"/>
        <v>#N/A</v>
      </c>
      <c r="AD861" s="376" t="e">
        <f t="shared" ca="1" si="403"/>
        <v>#N/A</v>
      </c>
      <c r="AE861" s="377" t="e">
        <f t="shared" ca="1" si="382"/>
        <v>#N/A</v>
      </c>
      <c r="AF861" s="344"/>
      <c r="AG861" s="359">
        <f t="shared" ca="1" si="404"/>
        <v>3.0387300235325547</v>
      </c>
      <c r="AH861" s="357">
        <f t="shared" ca="1" si="405"/>
        <v>-6.6946429130804042</v>
      </c>
    </row>
    <row r="862" spans="1:34" x14ac:dyDescent="0.2">
      <c r="A862" s="402">
        <f t="shared" ca="1" si="383"/>
        <v>1E-4</v>
      </c>
      <c r="B862" s="357">
        <f t="shared" ca="1" si="384"/>
        <v>35.31450000000067</v>
      </c>
      <c r="C862" s="342"/>
      <c r="D862" s="359">
        <f t="shared" ca="1" si="385"/>
        <v>-0.83511948444028983</v>
      </c>
      <c r="E862" s="360">
        <f t="shared" ca="1" si="386"/>
        <v>-3.1676095451190571</v>
      </c>
      <c r="F862" s="357">
        <f t="shared" ca="1" si="387"/>
        <v>3.2758471856332334</v>
      </c>
      <c r="G862" s="359">
        <f t="shared" ca="1" si="388"/>
        <v>16.373334415606269</v>
      </c>
      <c r="H862" s="360">
        <f t="shared" ca="1" si="389"/>
        <v>-130.23154352805327</v>
      </c>
      <c r="I862" s="357">
        <f t="shared" ca="1" si="390"/>
        <v>131.25677509974298</v>
      </c>
      <c r="J862" s="359">
        <f t="shared" ca="1" si="391"/>
        <v>953.1802660510491</v>
      </c>
      <c r="K862" s="360">
        <f t="shared" ca="1" si="392"/>
        <v>-10.149952101846097</v>
      </c>
      <c r="L862" s="357">
        <f t="shared" ca="1" si="377"/>
        <v>953.23430546577504</v>
      </c>
      <c r="M862" s="359">
        <f t="shared" ca="1" si="393"/>
        <v>-1.4457277494264238</v>
      </c>
      <c r="N862" s="357">
        <f t="shared" ca="1" si="394"/>
        <v>-82.834098367081111</v>
      </c>
      <c r="O862" s="343"/>
      <c r="P862" s="363">
        <f t="shared" ca="1" si="395"/>
        <v>23</v>
      </c>
      <c r="Q862" s="357">
        <f t="shared" ca="1" si="396"/>
        <v>0</v>
      </c>
      <c r="R862" s="359">
        <f t="shared" ca="1" si="397"/>
        <v>0</v>
      </c>
      <c r="S862" s="360">
        <f t="shared" ca="1" si="398"/>
        <v>8.3819999999999997</v>
      </c>
      <c r="T862" s="357">
        <f t="shared" ca="1" si="378"/>
        <v>82.227419999999995</v>
      </c>
      <c r="U862" s="364">
        <f t="shared" ca="1" si="379"/>
        <v>0</v>
      </c>
      <c r="V862" s="359">
        <f t="shared" ca="1" si="380"/>
        <v>1.2262440004597301</v>
      </c>
      <c r="W862" s="357">
        <f t="shared" ca="1" si="381"/>
        <v>56.115162700068481</v>
      </c>
      <c r="X862" s="343"/>
      <c r="Y862" s="367" t="str">
        <f t="shared" ca="1" si="399"/>
        <v/>
      </c>
      <c r="Z862" s="368" t="str">
        <f t="shared" ca="1" si="400"/>
        <v/>
      </c>
      <c r="AA862" s="369" t="str">
        <f t="shared" ca="1" si="401"/>
        <v/>
      </c>
      <c r="AB862" s="344"/>
      <c r="AC862" s="363" t="e">
        <f t="shared" ca="1" si="402"/>
        <v>#N/A</v>
      </c>
      <c r="AD862" s="376" t="e">
        <f t="shared" ca="1" si="403"/>
        <v>#N/A</v>
      </c>
      <c r="AE862" s="377" t="e">
        <f t="shared" ca="1" si="382"/>
        <v>#N/A</v>
      </c>
      <c r="AF862" s="344"/>
      <c r="AG862" s="359">
        <f t="shared" ca="1" si="404"/>
        <v>3.0386914481442826</v>
      </c>
      <c r="AH862" s="357">
        <f t="shared" ca="1" si="405"/>
        <v>-6.6946826293996402</v>
      </c>
    </row>
    <row r="863" spans="1:34" x14ac:dyDescent="0.2">
      <c r="A863" s="402">
        <f t="shared" ca="1" si="383"/>
        <v>1E-4</v>
      </c>
      <c r="B863" s="357">
        <f t="shared" ca="1" si="384"/>
        <v>35.314600000000674</v>
      </c>
      <c r="C863" s="342"/>
      <c r="D863" s="359">
        <f t="shared" ca="1" si="385"/>
        <v>-0.8351182458915144</v>
      </c>
      <c r="E863" s="360">
        <f t="shared" ca="1" si="386"/>
        <v>-3.1675693606289093</v>
      </c>
      <c r="F863" s="357">
        <f t="shared" ca="1" si="387"/>
        <v>3.2758080131497262</v>
      </c>
      <c r="G863" s="359">
        <f t="shared" ca="1" si="388"/>
        <v>16.373250903781681</v>
      </c>
      <c r="H863" s="360">
        <f t="shared" ca="1" si="389"/>
        <v>-130.23186028498932</v>
      </c>
      <c r="I863" s="357">
        <f t="shared" ca="1" si="390"/>
        <v>131.25707896508732</v>
      </c>
      <c r="J863" s="359">
        <f t="shared" ca="1" si="391"/>
        <v>953.1802660510491</v>
      </c>
      <c r="K863" s="360">
        <f t="shared" ca="1" si="392"/>
        <v>-10.162975272036748</v>
      </c>
      <c r="L863" s="357">
        <f t="shared" ca="1" si="377"/>
        <v>953.23444422425735</v>
      </c>
      <c r="M863" s="359">
        <f t="shared" ca="1" si="393"/>
        <v>-1.4457286817392836</v>
      </c>
      <c r="N863" s="357">
        <f t="shared" ca="1" si="394"/>
        <v>-82.834151784673153</v>
      </c>
      <c r="O863" s="343"/>
      <c r="P863" s="363">
        <f t="shared" ca="1" si="395"/>
        <v>23</v>
      </c>
      <c r="Q863" s="357">
        <f t="shared" ca="1" si="396"/>
        <v>0</v>
      </c>
      <c r="R863" s="359">
        <f t="shared" ca="1" si="397"/>
        <v>0</v>
      </c>
      <c r="S863" s="360">
        <f t="shared" ca="1" si="398"/>
        <v>8.3819999999999997</v>
      </c>
      <c r="T863" s="357">
        <f t="shared" ca="1" si="378"/>
        <v>82.227419999999995</v>
      </c>
      <c r="U863" s="364">
        <f t="shared" ca="1" si="379"/>
        <v>0</v>
      </c>
      <c r="V863" s="359">
        <f t="shared" ca="1" si="380"/>
        <v>1.2262455974196131</v>
      </c>
      <c r="W863" s="357">
        <f t="shared" ca="1" si="381"/>
        <v>56.115495598762024</v>
      </c>
      <c r="X863" s="343"/>
      <c r="Y863" s="367" t="str">
        <f t="shared" ca="1" si="399"/>
        <v/>
      </c>
      <c r="Z863" s="368" t="str">
        <f t="shared" ca="1" si="400"/>
        <v/>
      </c>
      <c r="AA863" s="369" t="str">
        <f t="shared" ca="1" si="401"/>
        <v/>
      </c>
      <c r="AB863" s="344"/>
      <c r="AC863" s="363" t="e">
        <f t="shared" ca="1" si="402"/>
        <v>#N/A</v>
      </c>
      <c r="AD863" s="376" t="e">
        <f t="shared" ca="1" si="403"/>
        <v>#N/A</v>
      </c>
      <c r="AE863" s="377" t="e">
        <f t="shared" ca="1" si="382"/>
        <v>#N/A</v>
      </c>
      <c r="AF863" s="344"/>
      <c r="AG863" s="359">
        <f t="shared" ca="1" si="404"/>
        <v>3.0386528729448905</v>
      </c>
      <c r="AH863" s="357">
        <f t="shared" ca="1" si="405"/>
        <v>-6.6947223455104368</v>
      </c>
    </row>
    <row r="864" spans="1:34" x14ac:dyDescent="0.2">
      <c r="A864" s="402">
        <f t="shared" ca="1" si="383"/>
        <v>1E-4</v>
      </c>
      <c r="B864" s="357">
        <f t="shared" ca="1" si="384"/>
        <v>35.314700000000677</v>
      </c>
      <c r="C864" s="342"/>
      <c r="D864" s="359">
        <f t="shared" ca="1" si="385"/>
        <v>-0.8351170073027947</v>
      </c>
      <c r="E864" s="360">
        <f t="shared" ca="1" si="386"/>
        <v>-3.1675291763496869</v>
      </c>
      <c r="F864" s="357">
        <f t="shared" ca="1" si="387"/>
        <v>3.2757688408849766</v>
      </c>
      <c r="G864" s="359">
        <f t="shared" ca="1" si="388"/>
        <v>16.373167392080951</v>
      </c>
      <c r="H864" s="360">
        <f t="shared" ca="1" si="389"/>
        <v>-130.23217703790695</v>
      </c>
      <c r="I864" s="357">
        <f t="shared" ca="1" si="390"/>
        <v>131.25738282657414</v>
      </c>
      <c r="J864" s="359">
        <f t="shared" ca="1" si="391"/>
        <v>953.1802660510491</v>
      </c>
      <c r="K864" s="360">
        <f t="shared" ca="1" si="392"/>
        <v>-10.175998473902894</v>
      </c>
      <c r="L864" s="357">
        <f t="shared" ca="1" si="377"/>
        <v>953.23458316098129</v>
      </c>
      <c r="M864" s="359">
        <f t="shared" ca="1" si="393"/>
        <v>-1.4457296140430715</v>
      </c>
      <c r="N864" s="357">
        <f t="shared" ca="1" si="394"/>
        <v>-82.834205201745434</v>
      </c>
      <c r="O864" s="343"/>
      <c r="P864" s="363">
        <f t="shared" ca="1" si="395"/>
        <v>23</v>
      </c>
      <c r="Q864" s="357">
        <f t="shared" ca="1" si="396"/>
        <v>0</v>
      </c>
      <c r="R864" s="359">
        <f t="shared" ca="1" si="397"/>
        <v>0</v>
      </c>
      <c r="S864" s="360">
        <f t="shared" ca="1" si="398"/>
        <v>8.3819999999999997</v>
      </c>
      <c r="T864" s="357">
        <f t="shared" ca="1" si="378"/>
        <v>82.227419999999995</v>
      </c>
      <c r="U864" s="364">
        <f t="shared" ca="1" si="379"/>
        <v>0</v>
      </c>
      <c r="V864" s="359">
        <f t="shared" ca="1" si="380"/>
        <v>1.2262471943854614</v>
      </c>
      <c r="W864" s="357">
        <f t="shared" ca="1" si="381"/>
        <v>56.115828495708421</v>
      </c>
      <c r="X864" s="343"/>
      <c r="Y864" s="367" t="str">
        <f t="shared" ca="1" si="399"/>
        <v/>
      </c>
      <c r="Z864" s="368" t="str">
        <f t="shared" ca="1" si="400"/>
        <v/>
      </c>
      <c r="AA864" s="369" t="str">
        <f t="shared" ca="1" si="401"/>
        <v/>
      </c>
      <c r="AB864" s="344"/>
      <c r="AC864" s="363" t="e">
        <f t="shared" ca="1" si="402"/>
        <v>#N/A</v>
      </c>
      <c r="AD864" s="376" t="e">
        <f t="shared" ca="1" si="403"/>
        <v>#N/A</v>
      </c>
      <c r="AE864" s="377" t="e">
        <f t="shared" ca="1" si="382"/>
        <v>#N/A</v>
      </c>
      <c r="AF864" s="344"/>
      <c r="AG864" s="359">
        <f t="shared" ca="1" si="404"/>
        <v>3.0386142979343749</v>
      </c>
      <c r="AH864" s="357">
        <f t="shared" ca="1" si="405"/>
        <v>-6.6947620614127921</v>
      </c>
    </row>
    <row r="865" spans="1:34" x14ac:dyDescent="0.2">
      <c r="A865" s="402">
        <f t="shared" ca="1" si="383"/>
        <v>1E-4</v>
      </c>
      <c r="B865" s="357">
        <f t="shared" ca="1" si="384"/>
        <v>35.31480000000068</v>
      </c>
      <c r="C865" s="342"/>
      <c r="D865" s="359">
        <f t="shared" ca="1" si="385"/>
        <v>-0.8351157686741314</v>
      </c>
      <c r="E865" s="360">
        <f t="shared" ca="1" si="386"/>
        <v>-3.1674889922813865</v>
      </c>
      <c r="F865" s="357">
        <f t="shared" ca="1" si="387"/>
        <v>3.2757296688389808</v>
      </c>
      <c r="G865" s="359">
        <f t="shared" ca="1" si="388"/>
        <v>16.373083880504083</v>
      </c>
      <c r="H865" s="360">
        <f t="shared" ca="1" si="389"/>
        <v>-130.23249378680617</v>
      </c>
      <c r="I865" s="357">
        <f t="shared" ca="1" si="390"/>
        <v>131.25768668420349</v>
      </c>
      <c r="J865" s="359">
        <f t="shared" ca="1" si="391"/>
        <v>953.1802660510491</v>
      </c>
      <c r="K865" s="360">
        <f t="shared" ca="1" si="392"/>
        <v>-10.189021707444128</v>
      </c>
      <c r="L865" s="357">
        <f t="shared" ca="1" si="377"/>
        <v>953.23472227594789</v>
      </c>
      <c r="M865" s="359">
        <f t="shared" ca="1" si="393"/>
        <v>-1.4457305463377879</v>
      </c>
      <c r="N865" s="357">
        <f t="shared" ca="1" si="394"/>
        <v>-82.834258618297937</v>
      </c>
      <c r="O865" s="343"/>
      <c r="P865" s="363">
        <f t="shared" ca="1" si="395"/>
        <v>23</v>
      </c>
      <c r="Q865" s="357">
        <f t="shared" ca="1" si="396"/>
        <v>0</v>
      </c>
      <c r="R865" s="359">
        <f t="shared" ca="1" si="397"/>
        <v>0</v>
      </c>
      <c r="S865" s="360">
        <f t="shared" ca="1" si="398"/>
        <v>8.3819999999999997</v>
      </c>
      <c r="T865" s="357">
        <f t="shared" ca="1" si="378"/>
        <v>82.227419999999995</v>
      </c>
      <c r="U865" s="364">
        <f t="shared" ca="1" si="379"/>
        <v>0</v>
      </c>
      <c r="V865" s="359">
        <f t="shared" ca="1" si="380"/>
        <v>1.2262487913572742</v>
      </c>
      <c r="W865" s="357">
        <f t="shared" ca="1" si="381"/>
        <v>56.116161390907621</v>
      </c>
      <c r="X865" s="343"/>
      <c r="Y865" s="367" t="str">
        <f t="shared" ca="1" si="399"/>
        <v/>
      </c>
      <c r="Z865" s="368" t="str">
        <f t="shared" ca="1" si="400"/>
        <v/>
      </c>
      <c r="AA865" s="369" t="str">
        <f t="shared" ca="1" si="401"/>
        <v/>
      </c>
      <c r="AB865" s="344"/>
      <c r="AC865" s="363" t="e">
        <f t="shared" ca="1" si="402"/>
        <v>#N/A</v>
      </c>
      <c r="AD865" s="376" t="e">
        <f t="shared" ca="1" si="403"/>
        <v>#N/A</v>
      </c>
      <c r="AE865" s="377" t="e">
        <f t="shared" ca="1" si="382"/>
        <v>#N/A</v>
      </c>
      <c r="AF865" s="344"/>
      <c r="AG865" s="359">
        <f t="shared" ca="1" si="404"/>
        <v>3.0385757231127393</v>
      </c>
      <c r="AH865" s="357">
        <f t="shared" ca="1" si="405"/>
        <v>-6.6948017771067079</v>
      </c>
    </row>
    <row r="866" spans="1:34" x14ac:dyDescent="0.2">
      <c r="A866" s="402">
        <f t="shared" ca="1" si="383"/>
        <v>1E-4</v>
      </c>
      <c r="B866" s="357">
        <f t="shared" ca="1" si="384"/>
        <v>35.314900000000684</v>
      </c>
      <c r="C866" s="342"/>
      <c r="D866" s="359">
        <f t="shared" ca="1" si="385"/>
        <v>-0.83511453000552338</v>
      </c>
      <c r="E866" s="360">
        <f t="shared" ca="1" si="386"/>
        <v>-3.1674488084240187</v>
      </c>
      <c r="F866" s="357">
        <f t="shared" ca="1" si="387"/>
        <v>3.2756904970117491</v>
      </c>
      <c r="G866" s="359">
        <f t="shared" ca="1" si="388"/>
        <v>16.373000369051084</v>
      </c>
      <c r="H866" s="360">
        <f t="shared" ca="1" si="389"/>
        <v>-130.23281053168702</v>
      </c>
      <c r="I866" s="357">
        <f t="shared" ca="1" si="390"/>
        <v>131.25799053797539</v>
      </c>
      <c r="J866" s="359">
        <f t="shared" ca="1" si="391"/>
        <v>953.1802660510491</v>
      </c>
      <c r="K866" s="360">
        <f t="shared" ca="1" si="392"/>
        <v>-10.202044972660053</v>
      </c>
      <c r="L866" s="357">
        <f t="shared" ca="1" si="377"/>
        <v>953.23486156915862</v>
      </c>
      <c r="M866" s="359">
        <f t="shared" ca="1" si="393"/>
        <v>-1.4457314786234325</v>
      </c>
      <c r="N866" s="357">
        <f t="shared" ca="1" si="394"/>
        <v>-82.834312034330679</v>
      </c>
      <c r="O866" s="343"/>
      <c r="P866" s="363">
        <f t="shared" ca="1" si="395"/>
        <v>23</v>
      </c>
      <c r="Q866" s="357">
        <f t="shared" ca="1" si="396"/>
        <v>0</v>
      </c>
      <c r="R866" s="359">
        <f t="shared" ca="1" si="397"/>
        <v>0</v>
      </c>
      <c r="S866" s="360">
        <f t="shared" ca="1" si="398"/>
        <v>8.3819999999999997</v>
      </c>
      <c r="T866" s="357">
        <f t="shared" ca="1" si="378"/>
        <v>82.227419999999995</v>
      </c>
      <c r="U866" s="364">
        <f t="shared" ca="1" si="379"/>
        <v>0</v>
      </c>
      <c r="V866" s="359">
        <f t="shared" ca="1" si="380"/>
        <v>1.2262503883350522</v>
      </c>
      <c r="W866" s="357">
        <f t="shared" ca="1" si="381"/>
        <v>56.116494284359653</v>
      </c>
      <c r="X866" s="343"/>
      <c r="Y866" s="367" t="str">
        <f t="shared" ca="1" si="399"/>
        <v/>
      </c>
      <c r="Z866" s="368" t="str">
        <f t="shared" ca="1" si="400"/>
        <v/>
      </c>
      <c r="AA866" s="369" t="str">
        <f t="shared" ca="1" si="401"/>
        <v/>
      </c>
      <c r="AB866" s="344"/>
      <c r="AC866" s="363" t="e">
        <f t="shared" ca="1" si="402"/>
        <v>#N/A</v>
      </c>
      <c r="AD866" s="376" t="e">
        <f t="shared" ca="1" si="403"/>
        <v>#N/A</v>
      </c>
      <c r="AE866" s="377" t="e">
        <f t="shared" ca="1" si="382"/>
        <v>#N/A</v>
      </c>
      <c r="AF866" s="344"/>
      <c r="AG866" s="359">
        <f t="shared" ca="1" si="404"/>
        <v>3.0385371484799881</v>
      </c>
      <c r="AH866" s="357">
        <f t="shared" ca="1" si="405"/>
        <v>-6.6948414925921762</v>
      </c>
    </row>
    <row r="867" spans="1:34" x14ac:dyDescent="0.2">
      <c r="A867" s="402">
        <f t="shared" ca="1" si="383"/>
        <v>1E-4</v>
      </c>
      <c r="B867" s="357">
        <f t="shared" ca="1" si="384"/>
        <v>35.315000000000687</v>
      </c>
      <c r="C867" s="342"/>
      <c r="D867" s="359">
        <f t="shared" ca="1" si="385"/>
        <v>-0.83511329129697298</v>
      </c>
      <c r="E867" s="360">
        <f t="shared" ca="1" si="386"/>
        <v>-3.1674086247775772</v>
      </c>
      <c r="F867" s="357">
        <f t="shared" ca="1" si="387"/>
        <v>3.2756513254032771</v>
      </c>
      <c r="G867" s="359">
        <f t="shared" ca="1" si="388"/>
        <v>16.372916857721954</v>
      </c>
      <c r="H867" s="360">
        <f t="shared" ca="1" si="389"/>
        <v>-130.2331272725495</v>
      </c>
      <c r="I867" s="357">
        <f t="shared" ca="1" si="390"/>
        <v>131.25829438788983</v>
      </c>
      <c r="J867" s="359">
        <f t="shared" ca="1" si="391"/>
        <v>953.1802660510491</v>
      </c>
      <c r="K867" s="360">
        <f t="shared" ca="1" si="392"/>
        <v>-10.215068269550265</v>
      </c>
      <c r="L867" s="357">
        <f t="shared" ca="1" si="377"/>
        <v>953.23500104061452</v>
      </c>
      <c r="M867" s="359">
        <f t="shared" ca="1" si="393"/>
        <v>-1.4457324109000056</v>
      </c>
      <c r="N867" s="357">
        <f t="shared" ca="1" si="394"/>
        <v>-82.834365449843659</v>
      </c>
      <c r="O867" s="343"/>
      <c r="P867" s="363">
        <f t="shared" ca="1" si="395"/>
        <v>23</v>
      </c>
      <c r="Q867" s="357">
        <f t="shared" ca="1" si="396"/>
        <v>0</v>
      </c>
      <c r="R867" s="359">
        <f t="shared" ca="1" si="397"/>
        <v>0</v>
      </c>
      <c r="S867" s="360">
        <f t="shared" ca="1" si="398"/>
        <v>8.3819999999999997</v>
      </c>
      <c r="T867" s="357">
        <f t="shared" ca="1" si="378"/>
        <v>82.227419999999995</v>
      </c>
      <c r="U867" s="364">
        <f t="shared" ca="1" si="379"/>
        <v>0</v>
      </c>
      <c r="V867" s="359">
        <f t="shared" ca="1" si="380"/>
        <v>1.2262519853187952</v>
      </c>
      <c r="W867" s="357">
        <f t="shared" ca="1" si="381"/>
        <v>56.116827176064483</v>
      </c>
      <c r="X867" s="343"/>
      <c r="Y867" s="367" t="str">
        <f t="shared" ca="1" si="399"/>
        <v/>
      </c>
      <c r="Z867" s="368" t="str">
        <f t="shared" ca="1" si="400"/>
        <v/>
      </c>
      <c r="AA867" s="369" t="str">
        <f t="shared" ca="1" si="401"/>
        <v/>
      </c>
      <c r="AB867" s="344"/>
      <c r="AC867" s="363" t="e">
        <f t="shared" ca="1" si="402"/>
        <v>#N/A</v>
      </c>
      <c r="AD867" s="376" t="e">
        <f t="shared" ca="1" si="403"/>
        <v>#N/A</v>
      </c>
      <c r="AE867" s="377" t="e">
        <f t="shared" ca="1" si="382"/>
        <v>#N/A</v>
      </c>
      <c r="AF867" s="344"/>
      <c r="AG867" s="359">
        <f t="shared" ca="1" si="404"/>
        <v>3.0384985740361197</v>
      </c>
      <c r="AH867" s="357">
        <f t="shared" ca="1" si="405"/>
        <v>-6.6948812078692024</v>
      </c>
    </row>
    <row r="868" spans="1:34" x14ac:dyDescent="0.2">
      <c r="A868" s="402">
        <f t="shared" ca="1" si="383"/>
        <v>1E-4</v>
      </c>
      <c r="B868" s="357">
        <f t="shared" ca="1" si="384"/>
        <v>35.31510000000069</v>
      </c>
      <c r="C868" s="342"/>
      <c r="D868" s="359">
        <f t="shared" ca="1" si="385"/>
        <v>-0.83511205254848164</v>
      </c>
      <c r="E868" s="360">
        <f t="shared" ca="1" si="386"/>
        <v>-3.1673684413420657</v>
      </c>
      <c r="F868" s="357">
        <f t="shared" ca="1" si="387"/>
        <v>3.2756121540135674</v>
      </c>
      <c r="G868" s="359">
        <f t="shared" ca="1" si="388"/>
        <v>16.3728333465167</v>
      </c>
      <c r="H868" s="360">
        <f t="shared" ca="1" si="389"/>
        <v>-130.23344400939362</v>
      </c>
      <c r="I868" s="357">
        <f t="shared" ca="1" si="390"/>
        <v>131.25859823394683</v>
      </c>
      <c r="J868" s="359">
        <f t="shared" ca="1" si="391"/>
        <v>953.1802660510491</v>
      </c>
      <c r="K868" s="360">
        <f t="shared" ca="1" si="392"/>
        <v>-10.228091598114363</v>
      </c>
      <c r="L868" s="357">
        <f t="shared" ca="1" si="377"/>
        <v>953.23514069031683</v>
      </c>
      <c r="M868" s="359">
        <f t="shared" ca="1" si="393"/>
        <v>-1.4457333431675075</v>
      </c>
      <c r="N868" s="357">
        <f t="shared" ca="1" si="394"/>
        <v>-82.834418864836891</v>
      </c>
      <c r="O868" s="343"/>
      <c r="P868" s="363">
        <f t="shared" ca="1" si="395"/>
        <v>23</v>
      </c>
      <c r="Q868" s="357">
        <f t="shared" ca="1" si="396"/>
        <v>0</v>
      </c>
      <c r="R868" s="359">
        <f t="shared" ca="1" si="397"/>
        <v>0</v>
      </c>
      <c r="S868" s="360">
        <f t="shared" ca="1" si="398"/>
        <v>8.3819999999999997</v>
      </c>
      <c r="T868" s="357">
        <f t="shared" ca="1" si="378"/>
        <v>82.227419999999995</v>
      </c>
      <c r="U868" s="364">
        <f t="shared" ca="1" si="379"/>
        <v>0</v>
      </c>
      <c r="V868" s="359">
        <f t="shared" ca="1" si="380"/>
        <v>1.226253582308503</v>
      </c>
      <c r="W868" s="357">
        <f t="shared" ca="1" si="381"/>
        <v>56.117160066022073</v>
      </c>
      <c r="X868" s="343"/>
      <c r="Y868" s="367" t="str">
        <f t="shared" ca="1" si="399"/>
        <v/>
      </c>
      <c r="Z868" s="368" t="str">
        <f t="shared" ca="1" si="400"/>
        <v/>
      </c>
      <c r="AA868" s="369" t="str">
        <f t="shared" ca="1" si="401"/>
        <v/>
      </c>
      <c r="AB868" s="344"/>
      <c r="AC868" s="363" t="e">
        <f t="shared" ca="1" si="402"/>
        <v>#N/A</v>
      </c>
      <c r="AD868" s="376" t="e">
        <f t="shared" ca="1" si="403"/>
        <v>#N/A</v>
      </c>
      <c r="AE868" s="377" t="e">
        <f t="shared" ca="1" si="382"/>
        <v>#N/A</v>
      </c>
      <c r="AF868" s="344"/>
      <c r="AG868" s="359">
        <f t="shared" ca="1" si="404"/>
        <v>3.0384599997811366</v>
      </c>
      <c r="AH868" s="357">
        <f t="shared" ca="1" si="405"/>
        <v>-6.694920922937782</v>
      </c>
    </row>
    <row r="869" spans="1:34" x14ac:dyDescent="0.2">
      <c r="A869" s="402">
        <f t="shared" ca="1" si="383"/>
        <v>1E-4</v>
      </c>
      <c r="B869" s="357">
        <f t="shared" ca="1" si="384"/>
        <v>35.315200000000694</v>
      </c>
      <c r="C869" s="342"/>
      <c r="D869" s="359">
        <f t="shared" ca="1" si="385"/>
        <v>-0.83511081376004703</v>
      </c>
      <c r="E869" s="360">
        <f t="shared" ca="1" si="386"/>
        <v>-3.1673282581174904</v>
      </c>
      <c r="F869" s="357">
        <f t="shared" ca="1" si="387"/>
        <v>3.2755729828426272</v>
      </c>
      <c r="G869" s="359">
        <f t="shared" ca="1" si="388"/>
        <v>16.372749835435325</v>
      </c>
      <c r="H869" s="360">
        <f t="shared" ca="1" si="389"/>
        <v>-130.23376074221943</v>
      </c>
      <c r="I869" s="357">
        <f t="shared" ca="1" si="390"/>
        <v>131.25890207614643</v>
      </c>
      <c r="J869" s="359">
        <f t="shared" ca="1" si="391"/>
        <v>953.1802660510491</v>
      </c>
      <c r="K869" s="360">
        <f t="shared" ca="1" si="392"/>
        <v>-10.241114958351943</v>
      </c>
      <c r="L869" s="357">
        <f t="shared" ca="1" si="377"/>
        <v>953.2352805182669</v>
      </c>
      <c r="M869" s="359">
        <f t="shared" ca="1" si="393"/>
        <v>-1.4457342754259384</v>
      </c>
      <c r="N869" s="357">
        <f t="shared" ca="1" si="394"/>
        <v>-82.83447227931039</v>
      </c>
      <c r="O869" s="343"/>
      <c r="P869" s="363">
        <f t="shared" ca="1" si="395"/>
        <v>23</v>
      </c>
      <c r="Q869" s="357">
        <f t="shared" ca="1" si="396"/>
        <v>0</v>
      </c>
      <c r="R869" s="359">
        <f t="shared" ca="1" si="397"/>
        <v>0</v>
      </c>
      <c r="S869" s="360">
        <f t="shared" ca="1" si="398"/>
        <v>8.3819999999999997</v>
      </c>
      <c r="T869" s="357">
        <f t="shared" ca="1" si="378"/>
        <v>82.227419999999995</v>
      </c>
      <c r="U869" s="364">
        <f t="shared" ca="1" si="379"/>
        <v>0</v>
      </c>
      <c r="V869" s="359">
        <f t="shared" ca="1" si="380"/>
        <v>1.2262551793041758</v>
      </c>
      <c r="W869" s="357">
        <f t="shared" ca="1" si="381"/>
        <v>56.117492954232432</v>
      </c>
      <c r="X869" s="343"/>
      <c r="Y869" s="367" t="str">
        <f t="shared" ca="1" si="399"/>
        <v/>
      </c>
      <c r="Z869" s="368" t="str">
        <f t="shared" ca="1" si="400"/>
        <v/>
      </c>
      <c r="AA869" s="369" t="str">
        <f t="shared" ca="1" si="401"/>
        <v/>
      </c>
      <c r="AB869" s="344"/>
      <c r="AC869" s="363" t="e">
        <f t="shared" ca="1" si="402"/>
        <v>#N/A</v>
      </c>
      <c r="AD869" s="376" t="e">
        <f t="shared" ca="1" si="403"/>
        <v>#N/A</v>
      </c>
      <c r="AE869" s="377" t="e">
        <f t="shared" ca="1" si="382"/>
        <v>#N/A</v>
      </c>
      <c r="AF869" s="344"/>
      <c r="AG869" s="359">
        <f t="shared" ca="1" si="404"/>
        <v>3.0384214257150441</v>
      </c>
      <c r="AH869" s="357">
        <f t="shared" ca="1" si="405"/>
        <v>-6.6949606377979096</v>
      </c>
    </row>
    <row r="870" spans="1:34" x14ac:dyDescent="0.2">
      <c r="A870" s="402">
        <f t="shared" ca="1" si="383"/>
        <v>1E-4</v>
      </c>
      <c r="B870" s="357">
        <f t="shared" ca="1" si="384"/>
        <v>35.315300000000697</v>
      </c>
      <c r="C870" s="342"/>
      <c r="D870" s="359">
        <f t="shared" ca="1" si="385"/>
        <v>-0.83510957493166971</v>
      </c>
      <c r="E870" s="360">
        <f t="shared" ca="1" si="386"/>
        <v>-3.1672880751038495</v>
      </c>
      <c r="F870" s="357">
        <f t="shared" ca="1" si="387"/>
        <v>3.2755338118904529</v>
      </c>
      <c r="G870" s="359">
        <f t="shared" ca="1" si="388"/>
        <v>16.372666324477834</v>
      </c>
      <c r="H870" s="360">
        <f t="shared" ca="1" si="389"/>
        <v>-130.23407747102695</v>
      </c>
      <c r="I870" s="357">
        <f t="shared" ca="1" si="390"/>
        <v>131.25920591448869</v>
      </c>
      <c r="J870" s="359">
        <f t="shared" ca="1" si="391"/>
        <v>953.1802660510491</v>
      </c>
      <c r="K870" s="360">
        <f t="shared" ca="1" si="392"/>
        <v>-10.254138350262606</v>
      </c>
      <c r="L870" s="357">
        <f t="shared" ca="1" si="377"/>
        <v>953.23542052446578</v>
      </c>
      <c r="M870" s="359">
        <f t="shared" ca="1" si="393"/>
        <v>-1.4457352076752978</v>
      </c>
      <c r="N870" s="357">
        <f t="shared" ca="1" si="394"/>
        <v>-82.834525693264141</v>
      </c>
      <c r="O870" s="343"/>
      <c r="P870" s="363">
        <f t="shared" ca="1" si="395"/>
        <v>23</v>
      </c>
      <c r="Q870" s="357">
        <f t="shared" ca="1" si="396"/>
        <v>0</v>
      </c>
      <c r="R870" s="359">
        <f t="shared" ca="1" si="397"/>
        <v>0</v>
      </c>
      <c r="S870" s="360">
        <f t="shared" ca="1" si="398"/>
        <v>8.3819999999999997</v>
      </c>
      <c r="T870" s="357">
        <f t="shared" ca="1" si="378"/>
        <v>82.227419999999995</v>
      </c>
      <c r="U870" s="364">
        <f t="shared" ca="1" si="379"/>
        <v>0</v>
      </c>
      <c r="V870" s="359">
        <f t="shared" ca="1" si="380"/>
        <v>1.2262567763058128</v>
      </c>
      <c r="W870" s="357">
        <f t="shared" ca="1" si="381"/>
        <v>56.117825840695573</v>
      </c>
      <c r="X870" s="343"/>
      <c r="Y870" s="367" t="str">
        <f t="shared" ca="1" si="399"/>
        <v/>
      </c>
      <c r="Z870" s="368" t="str">
        <f t="shared" ca="1" si="400"/>
        <v/>
      </c>
      <c r="AA870" s="369" t="str">
        <f t="shared" ca="1" si="401"/>
        <v/>
      </c>
      <c r="AB870" s="344"/>
      <c r="AC870" s="363" t="e">
        <f t="shared" ca="1" si="402"/>
        <v>#N/A</v>
      </c>
      <c r="AD870" s="376" t="e">
        <f t="shared" ca="1" si="403"/>
        <v>#N/A</v>
      </c>
      <c r="AE870" s="377" t="e">
        <f t="shared" ca="1" si="382"/>
        <v>#N/A</v>
      </c>
      <c r="AF870" s="344"/>
      <c r="AG870" s="359">
        <f t="shared" ca="1" si="404"/>
        <v>3.0383828518378451</v>
      </c>
      <c r="AH870" s="357">
        <f t="shared" ca="1" si="405"/>
        <v>-6.6950003524495862</v>
      </c>
    </row>
    <row r="871" spans="1:34" x14ac:dyDescent="0.2">
      <c r="A871" s="402">
        <f t="shared" ca="1" si="383"/>
        <v>1E-4</v>
      </c>
      <c r="B871" s="357">
        <f t="shared" ca="1" si="384"/>
        <v>35.3154000000007</v>
      </c>
      <c r="C871" s="342"/>
      <c r="D871" s="359">
        <f t="shared" ca="1" si="385"/>
        <v>-0.83510833606335455</v>
      </c>
      <c r="E871" s="360">
        <f t="shared" ca="1" si="386"/>
        <v>-3.1672478923011402</v>
      </c>
      <c r="F871" s="357">
        <f t="shared" ca="1" si="387"/>
        <v>3.2754946411570449</v>
      </c>
      <c r="G871" s="359">
        <f t="shared" ca="1" si="388"/>
        <v>16.372582813644229</v>
      </c>
      <c r="H871" s="360">
        <f t="shared" ca="1" si="389"/>
        <v>-130.23439419581618</v>
      </c>
      <c r="I871" s="357">
        <f t="shared" ca="1" si="390"/>
        <v>131.25950974897353</v>
      </c>
      <c r="J871" s="359">
        <f t="shared" ca="1" si="391"/>
        <v>953.1802660510491</v>
      </c>
      <c r="K871" s="360">
        <f t="shared" ca="1" si="392"/>
        <v>-10.267161773845947</v>
      </c>
      <c r="L871" s="357">
        <f t="shared" ca="1" si="377"/>
        <v>953.2355607089147</v>
      </c>
      <c r="M871" s="359">
        <f t="shared" ca="1" si="393"/>
        <v>-1.4457361399155866</v>
      </c>
      <c r="N871" s="357">
        <f t="shared" ca="1" si="394"/>
        <v>-82.834579106698186</v>
      </c>
      <c r="O871" s="343"/>
      <c r="P871" s="363">
        <f t="shared" ca="1" si="395"/>
        <v>23</v>
      </c>
      <c r="Q871" s="357">
        <f t="shared" ca="1" si="396"/>
        <v>0</v>
      </c>
      <c r="R871" s="359">
        <f t="shared" ca="1" si="397"/>
        <v>0</v>
      </c>
      <c r="S871" s="360">
        <f t="shared" ca="1" si="398"/>
        <v>8.3819999999999997</v>
      </c>
      <c r="T871" s="357">
        <f t="shared" ca="1" si="378"/>
        <v>82.227419999999995</v>
      </c>
      <c r="U871" s="364">
        <f t="shared" ca="1" si="379"/>
        <v>0</v>
      </c>
      <c r="V871" s="359">
        <f t="shared" ca="1" si="380"/>
        <v>1.2262583733134151</v>
      </c>
      <c r="W871" s="357">
        <f t="shared" ca="1" si="381"/>
        <v>56.118158725411419</v>
      </c>
      <c r="X871" s="343"/>
      <c r="Y871" s="367" t="str">
        <f t="shared" ca="1" si="399"/>
        <v/>
      </c>
      <c r="Z871" s="368" t="str">
        <f t="shared" ca="1" si="400"/>
        <v/>
      </c>
      <c r="AA871" s="369" t="str">
        <f t="shared" ca="1" si="401"/>
        <v/>
      </c>
      <c r="AB871" s="344"/>
      <c r="AC871" s="363" t="e">
        <f t="shared" ca="1" si="402"/>
        <v>#N/A</v>
      </c>
      <c r="AD871" s="376" t="e">
        <f t="shared" ca="1" si="403"/>
        <v>#N/A</v>
      </c>
      <c r="AE871" s="377" t="e">
        <f t="shared" ca="1" si="382"/>
        <v>#N/A</v>
      </c>
      <c r="AF871" s="344"/>
      <c r="AG871" s="359">
        <f t="shared" ca="1" si="404"/>
        <v>3.038344278149534</v>
      </c>
      <c r="AH871" s="357">
        <f t="shared" ca="1" si="405"/>
        <v>-6.6950400668928154</v>
      </c>
    </row>
    <row r="872" spans="1:34" x14ac:dyDescent="0.2">
      <c r="A872" s="402">
        <f t="shared" ca="1" si="383"/>
        <v>1E-4</v>
      </c>
      <c r="B872" s="357">
        <f t="shared" ca="1" si="384"/>
        <v>35.315500000000704</v>
      </c>
      <c r="C872" s="342"/>
      <c r="D872" s="359">
        <f t="shared" ca="1" si="385"/>
        <v>-0.83510709715509746</v>
      </c>
      <c r="E872" s="360">
        <f t="shared" ca="1" si="386"/>
        <v>-3.1672077097093743</v>
      </c>
      <c r="F872" s="357">
        <f t="shared" ca="1" si="387"/>
        <v>3.275455470642413</v>
      </c>
      <c r="G872" s="359">
        <f t="shared" ca="1" si="388"/>
        <v>16.372499302934514</v>
      </c>
      <c r="H872" s="360">
        <f t="shared" ca="1" si="389"/>
        <v>-130.23471091658715</v>
      </c>
      <c r="I872" s="357">
        <f t="shared" ca="1" si="390"/>
        <v>131.25981357960103</v>
      </c>
      <c r="J872" s="359">
        <f t="shared" ca="1" si="391"/>
        <v>953.1802660510491</v>
      </c>
      <c r="K872" s="360">
        <f t="shared" ca="1" si="392"/>
        <v>-10.280185229101567</v>
      </c>
      <c r="L872" s="357">
        <f t="shared" ca="1" si="377"/>
        <v>953.23570107161504</v>
      </c>
      <c r="M872" s="359">
        <f t="shared" ca="1" si="393"/>
        <v>-1.4457370721468046</v>
      </c>
      <c r="N872" s="357">
        <f t="shared" ca="1" si="394"/>
        <v>-82.834632519612512</v>
      </c>
      <c r="O872" s="343"/>
      <c r="P872" s="363">
        <f t="shared" ca="1" si="395"/>
        <v>23</v>
      </c>
      <c r="Q872" s="357">
        <f t="shared" ca="1" si="396"/>
        <v>0</v>
      </c>
      <c r="R872" s="359">
        <f t="shared" ca="1" si="397"/>
        <v>0</v>
      </c>
      <c r="S872" s="360">
        <f t="shared" ca="1" si="398"/>
        <v>8.3819999999999997</v>
      </c>
      <c r="T872" s="357">
        <f t="shared" ca="1" si="378"/>
        <v>82.227419999999995</v>
      </c>
      <c r="U872" s="364">
        <f t="shared" ca="1" si="379"/>
        <v>0</v>
      </c>
      <c r="V872" s="359">
        <f t="shared" ca="1" si="380"/>
        <v>1.2262599703269821</v>
      </c>
      <c r="W872" s="357">
        <f t="shared" ca="1" si="381"/>
        <v>56.118491608379991</v>
      </c>
      <c r="X872" s="343"/>
      <c r="Y872" s="367" t="str">
        <f t="shared" ca="1" si="399"/>
        <v/>
      </c>
      <c r="Z872" s="368" t="str">
        <f t="shared" ca="1" si="400"/>
        <v/>
      </c>
      <c r="AA872" s="369" t="str">
        <f t="shared" ca="1" si="401"/>
        <v/>
      </c>
      <c r="AB872" s="344"/>
      <c r="AC872" s="363" t="e">
        <f t="shared" ca="1" si="402"/>
        <v>#N/A</v>
      </c>
      <c r="AD872" s="376" t="e">
        <f t="shared" ca="1" si="403"/>
        <v>#N/A</v>
      </c>
      <c r="AE872" s="377" t="e">
        <f t="shared" ca="1" si="382"/>
        <v>#N/A</v>
      </c>
      <c r="AF872" s="344"/>
      <c r="AG872" s="359">
        <f t="shared" ca="1" si="404"/>
        <v>3.0383057046501225</v>
      </c>
      <c r="AH872" s="357">
        <f t="shared" ca="1" si="405"/>
        <v>-6.6950797811275855</v>
      </c>
    </row>
    <row r="873" spans="1:34" x14ac:dyDescent="0.2">
      <c r="A873" s="402">
        <f t="shared" ca="1" si="383"/>
        <v>1E-4</v>
      </c>
      <c r="B873" s="357">
        <f t="shared" ca="1" si="384"/>
        <v>35.315600000000707</v>
      </c>
      <c r="C873" s="342"/>
      <c r="D873" s="359">
        <f t="shared" ca="1" si="385"/>
        <v>-0.83510585820690053</v>
      </c>
      <c r="E873" s="360">
        <f t="shared" ca="1" si="386"/>
        <v>-3.1671675273285471</v>
      </c>
      <c r="F873" s="357">
        <f t="shared" ca="1" si="387"/>
        <v>3.2754163003465537</v>
      </c>
      <c r="G873" s="359">
        <f t="shared" ca="1" si="388"/>
        <v>16.372415792348693</v>
      </c>
      <c r="H873" s="360">
        <f t="shared" ca="1" si="389"/>
        <v>-130.23502763333988</v>
      </c>
      <c r="I873" s="357">
        <f t="shared" ca="1" si="390"/>
        <v>131.26011740637119</v>
      </c>
      <c r="J873" s="359">
        <f t="shared" ca="1" si="391"/>
        <v>953.1802660510491</v>
      </c>
      <c r="K873" s="360">
        <f t="shared" ca="1" si="392"/>
        <v>-10.293208716029064</v>
      </c>
      <c r="L873" s="357">
        <f t="shared" ca="1" si="377"/>
        <v>953.23584161256781</v>
      </c>
      <c r="M873" s="359">
        <f t="shared" ca="1" si="393"/>
        <v>-1.4457380043689518</v>
      </c>
      <c r="N873" s="357">
        <f t="shared" ca="1" si="394"/>
        <v>-82.834685932007119</v>
      </c>
      <c r="O873" s="343"/>
      <c r="P873" s="363">
        <f t="shared" ca="1" si="395"/>
        <v>23</v>
      </c>
      <c r="Q873" s="357">
        <f t="shared" ca="1" si="396"/>
        <v>0</v>
      </c>
      <c r="R873" s="359">
        <f t="shared" ca="1" si="397"/>
        <v>0</v>
      </c>
      <c r="S873" s="360">
        <f t="shared" ca="1" si="398"/>
        <v>8.3819999999999997</v>
      </c>
      <c r="T873" s="357">
        <f t="shared" ca="1" si="378"/>
        <v>82.227419999999995</v>
      </c>
      <c r="U873" s="364">
        <f t="shared" ca="1" si="379"/>
        <v>0</v>
      </c>
      <c r="V873" s="359">
        <f t="shared" ca="1" si="380"/>
        <v>1.226261567346514</v>
      </c>
      <c r="W873" s="357">
        <f t="shared" ca="1" si="381"/>
        <v>56.11882448960128</v>
      </c>
      <c r="X873" s="343"/>
      <c r="Y873" s="367" t="str">
        <f t="shared" ca="1" si="399"/>
        <v/>
      </c>
      <c r="Z873" s="368" t="str">
        <f t="shared" ca="1" si="400"/>
        <v/>
      </c>
      <c r="AA873" s="369" t="str">
        <f t="shared" ca="1" si="401"/>
        <v/>
      </c>
      <c r="AB873" s="344"/>
      <c r="AC873" s="363" t="e">
        <f t="shared" ca="1" si="402"/>
        <v>#N/A</v>
      </c>
      <c r="AD873" s="376" t="e">
        <f t="shared" ca="1" si="403"/>
        <v>#N/A</v>
      </c>
      <c r="AE873" s="377" t="e">
        <f t="shared" ca="1" si="382"/>
        <v>#N/A</v>
      </c>
      <c r="AF873" s="344"/>
      <c r="AG873" s="359">
        <f t="shared" ca="1" si="404"/>
        <v>3.0382671313396088</v>
      </c>
      <c r="AH873" s="357">
        <f t="shared" ca="1" si="405"/>
        <v>-6.6951194951539001</v>
      </c>
    </row>
    <row r="874" spans="1:34" x14ac:dyDescent="0.2">
      <c r="A874" s="402">
        <f t="shared" ca="1" si="383"/>
        <v>1E-4</v>
      </c>
      <c r="B874" s="357">
        <f t="shared" ca="1" si="384"/>
        <v>35.31570000000071</v>
      </c>
      <c r="C874" s="342"/>
      <c r="D874" s="359">
        <f t="shared" ca="1" si="385"/>
        <v>-0.83510461921876533</v>
      </c>
      <c r="E874" s="360">
        <f t="shared" ca="1" si="386"/>
        <v>-3.1671273451586615</v>
      </c>
      <c r="F874" s="357">
        <f t="shared" ca="1" si="387"/>
        <v>3.2753771302694705</v>
      </c>
      <c r="G874" s="359">
        <f t="shared" ca="1" si="388"/>
        <v>16.37233228188677</v>
      </c>
      <c r="H874" s="360">
        <f t="shared" ca="1" si="389"/>
        <v>-130.23534434607438</v>
      </c>
      <c r="I874" s="357">
        <f t="shared" ca="1" si="390"/>
        <v>131.26042122928405</v>
      </c>
      <c r="J874" s="359">
        <f t="shared" ca="1" si="391"/>
        <v>953.1802660510491</v>
      </c>
      <c r="K874" s="360">
        <f t="shared" ca="1" si="392"/>
        <v>-10.306232234628034</v>
      </c>
      <c r="L874" s="357">
        <f t="shared" ca="1" si="377"/>
        <v>953.23598233177438</v>
      </c>
      <c r="M874" s="359">
        <f t="shared" ca="1" si="393"/>
        <v>-1.4457389365820288</v>
      </c>
      <c r="N874" s="357">
        <f t="shared" ca="1" si="394"/>
        <v>-82.834739343882035</v>
      </c>
      <c r="O874" s="343"/>
      <c r="P874" s="363">
        <f t="shared" ca="1" si="395"/>
        <v>23</v>
      </c>
      <c r="Q874" s="357">
        <f t="shared" ca="1" si="396"/>
        <v>0</v>
      </c>
      <c r="R874" s="359">
        <f t="shared" ca="1" si="397"/>
        <v>0</v>
      </c>
      <c r="S874" s="360">
        <f t="shared" ca="1" si="398"/>
        <v>8.3819999999999997</v>
      </c>
      <c r="T874" s="357">
        <f t="shared" ca="1" si="378"/>
        <v>82.227419999999995</v>
      </c>
      <c r="U874" s="364">
        <f t="shared" ca="1" si="379"/>
        <v>0</v>
      </c>
      <c r="V874" s="359">
        <f t="shared" ca="1" si="380"/>
        <v>1.2262631643720103</v>
      </c>
      <c r="W874" s="357">
        <f t="shared" ca="1" si="381"/>
        <v>56.119157369075232</v>
      </c>
      <c r="X874" s="343"/>
      <c r="Y874" s="367" t="str">
        <f t="shared" ca="1" si="399"/>
        <v/>
      </c>
      <c r="Z874" s="368" t="str">
        <f t="shared" ca="1" si="400"/>
        <v/>
      </c>
      <c r="AA874" s="369" t="str">
        <f t="shared" ca="1" si="401"/>
        <v/>
      </c>
      <c r="AB874" s="344"/>
      <c r="AC874" s="363" t="e">
        <f t="shared" ca="1" si="402"/>
        <v>#N/A</v>
      </c>
      <c r="AD874" s="376" t="e">
        <f t="shared" ca="1" si="403"/>
        <v>#N/A</v>
      </c>
      <c r="AE874" s="377" t="e">
        <f t="shared" ca="1" si="382"/>
        <v>#N/A</v>
      </c>
      <c r="AF874" s="344"/>
      <c r="AG874" s="359">
        <f t="shared" ca="1" si="404"/>
        <v>3.0382285582179938</v>
      </c>
      <c r="AH874" s="357">
        <f t="shared" ca="1" si="405"/>
        <v>-6.6951592089717584</v>
      </c>
    </row>
    <row r="875" spans="1:34" x14ac:dyDescent="0.2">
      <c r="A875" s="402">
        <f t="shared" ca="1" si="383"/>
        <v>1E-4</v>
      </c>
      <c r="B875" s="357">
        <f t="shared" ca="1" si="384"/>
        <v>35.315800000000714</v>
      </c>
      <c r="C875" s="342"/>
      <c r="D875" s="359">
        <f t="shared" ca="1" si="385"/>
        <v>-0.83510338019068975</v>
      </c>
      <c r="E875" s="360">
        <f t="shared" ca="1" si="386"/>
        <v>-3.1670871631997217</v>
      </c>
      <c r="F875" s="357">
        <f t="shared" ca="1" si="387"/>
        <v>3.2753379604111661</v>
      </c>
      <c r="G875" s="359">
        <f t="shared" ca="1" si="388"/>
        <v>16.372248771548751</v>
      </c>
      <c r="H875" s="360">
        <f t="shared" ca="1" si="389"/>
        <v>-130.23566105479071</v>
      </c>
      <c r="I875" s="357">
        <f t="shared" ca="1" si="390"/>
        <v>131.26072504833962</v>
      </c>
      <c r="J875" s="359">
        <f t="shared" ca="1" si="391"/>
        <v>953.1802660510491</v>
      </c>
      <c r="K875" s="360">
        <f t="shared" ca="1" si="392"/>
        <v>-10.319255784898077</v>
      </c>
      <c r="L875" s="357">
        <f t="shared" ca="1" si="377"/>
        <v>953.23612322923589</v>
      </c>
      <c r="M875" s="359">
        <f t="shared" ca="1" si="393"/>
        <v>-1.4457398687860352</v>
      </c>
      <c r="N875" s="357">
        <f t="shared" ca="1" si="394"/>
        <v>-82.834792755237245</v>
      </c>
      <c r="O875" s="343"/>
      <c r="P875" s="363">
        <f t="shared" ca="1" si="395"/>
        <v>23</v>
      </c>
      <c r="Q875" s="357">
        <f t="shared" ca="1" si="396"/>
        <v>0</v>
      </c>
      <c r="R875" s="359">
        <f t="shared" ca="1" si="397"/>
        <v>0</v>
      </c>
      <c r="S875" s="360">
        <f t="shared" ca="1" si="398"/>
        <v>8.3819999999999997</v>
      </c>
      <c r="T875" s="357">
        <f t="shared" ca="1" si="378"/>
        <v>82.227419999999995</v>
      </c>
      <c r="U875" s="364">
        <f t="shared" ca="1" si="379"/>
        <v>0</v>
      </c>
      <c r="V875" s="359">
        <f t="shared" ca="1" si="380"/>
        <v>1.2262647614034716</v>
      </c>
      <c r="W875" s="357">
        <f t="shared" ca="1" si="381"/>
        <v>56.119490246801909</v>
      </c>
      <c r="X875" s="343"/>
      <c r="Y875" s="367" t="str">
        <f t="shared" ca="1" si="399"/>
        <v/>
      </c>
      <c r="Z875" s="368" t="str">
        <f t="shared" ca="1" si="400"/>
        <v/>
      </c>
      <c r="AA875" s="369" t="str">
        <f t="shared" ca="1" si="401"/>
        <v/>
      </c>
      <c r="AB875" s="344"/>
      <c r="AC875" s="363" t="e">
        <f t="shared" ca="1" si="402"/>
        <v>#N/A</v>
      </c>
      <c r="AD875" s="376" t="e">
        <f t="shared" ca="1" si="403"/>
        <v>#N/A</v>
      </c>
      <c r="AE875" s="377" t="e">
        <f t="shared" ca="1" si="382"/>
        <v>#N/A</v>
      </c>
      <c r="AF875" s="344"/>
      <c r="AG875" s="359">
        <f t="shared" ca="1" si="404"/>
        <v>3.0381899852852836</v>
      </c>
      <c r="AH875" s="357">
        <f t="shared" ca="1" si="405"/>
        <v>-6.6951989225811541</v>
      </c>
    </row>
    <row r="876" spans="1:34" x14ac:dyDescent="0.2">
      <c r="A876" s="402">
        <f t="shared" ca="1" si="383"/>
        <v>1E-4</v>
      </c>
      <c r="B876" s="357">
        <f t="shared" ca="1" si="384"/>
        <v>35.315900000000717</v>
      </c>
      <c r="C876" s="342"/>
      <c r="D876" s="359">
        <f t="shared" ca="1" si="385"/>
        <v>-0.83510214112267778</v>
      </c>
      <c r="E876" s="360">
        <f t="shared" ca="1" si="386"/>
        <v>-3.1670469814517208</v>
      </c>
      <c r="F876" s="357">
        <f t="shared" ca="1" si="387"/>
        <v>3.2752987907716351</v>
      </c>
      <c r="G876" s="359">
        <f t="shared" ca="1" si="388"/>
        <v>16.37216526133464</v>
      </c>
      <c r="H876" s="360">
        <f t="shared" ca="1" si="389"/>
        <v>-130.23597775948886</v>
      </c>
      <c r="I876" s="357">
        <f t="shared" ca="1" si="390"/>
        <v>131.26102886353792</v>
      </c>
      <c r="J876" s="359">
        <f t="shared" ca="1" si="391"/>
        <v>953.1802660510491</v>
      </c>
      <c r="K876" s="360">
        <f t="shared" ca="1" si="392"/>
        <v>-10.332279366838792</v>
      </c>
      <c r="L876" s="357">
        <f t="shared" ca="1" si="377"/>
        <v>953.23626430495347</v>
      </c>
      <c r="M876" s="359">
        <f t="shared" ca="1" si="393"/>
        <v>-1.4457408009809714</v>
      </c>
      <c r="N876" s="357">
        <f t="shared" ca="1" si="394"/>
        <v>-82.834846166072765</v>
      </c>
      <c r="O876" s="343"/>
      <c r="P876" s="363">
        <f t="shared" ca="1" si="395"/>
        <v>23</v>
      </c>
      <c r="Q876" s="357">
        <f t="shared" ca="1" si="396"/>
        <v>0</v>
      </c>
      <c r="R876" s="359">
        <f t="shared" ca="1" si="397"/>
        <v>0</v>
      </c>
      <c r="S876" s="360">
        <f t="shared" ca="1" si="398"/>
        <v>8.3819999999999997</v>
      </c>
      <c r="T876" s="357">
        <f t="shared" ca="1" si="378"/>
        <v>82.227419999999995</v>
      </c>
      <c r="U876" s="364">
        <f t="shared" ca="1" si="379"/>
        <v>0</v>
      </c>
      <c r="V876" s="359">
        <f t="shared" ca="1" si="380"/>
        <v>1.2262663584408973</v>
      </c>
      <c r="W876" s="357">
        <f t="shared" ca="1" si="381"/>
        <v>56.119823122781206</v>
      </c>
      <c r="X876" s="343"/>
      <c r="Y876" s="367" t="str">
        <f t="shared" ca="1" si="399"/>
        <v/>
      </c>
      <c r="Z876" s="368" t="str">
        <f t="shared" ca="1" si="400"/>
        <v/>
      </c>
      <c r="AA876" s="369" t="str">
        <f t="shared" ca="1" si="401"/>
        <v/>
      </c>
      <c r="AB876" s="344"/>
      <c r="AC876" s="363" t="e">
        <f t="shared" ca="1" si="402"/>
        <v>#N/A</v>
      </c>
      <c r="AD876" s="376" t="e">
        <f t="shared" ca="1" si="403"/>
        <v>#N/A</v>
      </c>
      <c r="AE876" s="377" t="e">
        <f t="shared" ca="1" si="382"/>
        <v>#N/A</v>
      </c>
      <c r="AF876" s="344"/>
      <c r="AG876" s="359">
        <f t="shared" ca="1" si="404"/>
        <v>3.038151412541473</v>
      </c>
      <c r="AH876" s="357">
        <f t="shared" ca="1" si="405"/>
        <v>-6.6952386359820943</v>
      </c>
    </row>
    <row r="877" spans="1:34" x14ac:dyDescent="0.2">
      <c r="A877" s="402">
        <f t="shared" ca="1" si="383"/>
        <v>1E-4</v>
      </c>
      <c r="B877" s="357">
        <f t="shared" ca="1" si="384"/>
        <v>35.31600000000072</v>
      </c>
      <c r="C877" s="342"/>
      <c r="D877" s="359">
        <f t="shared" ca="1" si="385"/>
        <v>-0.83510090201472809</v>
      </c>
      <c r="E877" s="360">
        <f t="shared" ca="1" si="386"/>
        <v>-3.1670067999146738</v>
      </c>
      <c r="F877" s="357">
        <f t="shared" ca="1" si="387"/>
        <v>3.2752596213508931</v>
      </c>
      <c r="G877" s="359">
        <f t="shared" ca="1" si="388"/>
        <v>16.372081751244437</v>
      </c>
      <c r="H877" s="360">
        <f t="shared" ca="1" si="389"/>
        <v>-130.23629446016886</v>
      </c>
      <c r="I877" s="357">
        <f t="shared" ca="1" si="390"/>
        <v>131.26133267487893</v>
      </c>
      <c r="J877" s="359">
        <f t="shared" ca="1" si="391"/>
        <v>953.1802660510491</v>
      </c>
      <c r="K877" s="360">
        <f t="shared" ca="1" si="392"/>
        <v>-10.345302980449775</v>
      </c>
      <c r="L877" s="357">
        <f t="shared" ca="1" si="377"/>
        <v>953.2364055589286</v>
      </c>
      <c r="M877" s="359">
        <f t="shared" ca="1" si="393"/>
        <v>-1.4457417331668374</v>
      </c>
      <c r="N877" s="357">
        <f t="shared" ca="1" si="394"/>
        <v>-82.834899576388608</v>
      </c>
      <c r="O877" s="343"/>
      <c r="P877" s="363">
        <f t="shared" ca="1" si="395"/>
        <v>23</v>
      </c>
      <c r="Q877" s="357">
        <f t="shared" ca="1" si="396"/>
        <v>0</v>
      </c>
      <c r="R877" s="359">
        <f t="shared" ca="1" si="397"/>
        <v>0</v>
      </c>
      <c r="S877" s="360">
        <f t="shared" ca="1" si="398"/>
        <v>8.3819999999999997</v>
      </c>
      <c r="T877" s="357">
        <f t="shared" ca="1" si="378"/>
        <v>82.227419999999995</v>
      </c>
      <c r="U877" s="364">
        <f t="shared" ca="1" si="379"/>
        <v>0</v>
      </c>
      <c r="V877" s="359">
        <f t="shared" ca="1" si="380"/>
        <v>1.2262679554842879</v>
      </c>
      <c r="W877" s="357">
        <f t="shared" ca="1" si="381"/>
        <v>56.120155997013164</v>
      </c>
      <c r="X877" s="343"/>
      <c r="Y877" s="367" t="str">
        <f t="shared" ca="1" si="399"/>
        <v/>
      </c>
      <c r="Z877" s="368" t="str">
        <f t="shared" ca="1" si="400"/>
        <v/>
      </c>
      <c r="AA877" s="369" t="str">
        <f t="shared" ca="1" si="401"/>
        <v/>
      </c>
      <c r="AB877" s="344"/>
      <c r="AC877" s="363" t="e">
        <f t="shared" ca="1" si="402"/>
        <v>#N/A</v>
      </c>
      <c r="AD877" s="376" t="e">
        <f t="shared" ca="1" si="403"/>
        <v>#N/A</v>
      </c>
      <c r="AE877" s="377" t="e">
        <f t="shared" ca="1" si="382"/>
        <v>#N/A</v>
      </c>
      <c r="AF877" s="344"/>
      <c r="AG877" s="359">
        <f t="shared" ca="1" si="404"/>
        <v>3.0381128399865718</v>
      </c>
      <c r="AH877" s="357">
        <f t="shared" ca="1" si="405"/>
        <v>-6.6952783491745658</v>
      </c>
    </row>
    <row r="878" spans="1:34" x14ac:dyDescent="0.2">
      <c r="A878" s="402">
        <f t="shared" ca="1" si="383"/>
        <v>1E-4</v>
      </c>
      <c r="B878" s="357">
        <f t="shared" ca="1" si="384"/>
        <v>35.316100000000723</v>
      </c>
      <c r="C878" s="342"/>
      <c r="D878" s="359">
        <f t="shared" ca="1" si="385"/>
        <v>-0.83509966286684145</v>
      </c>
      <c r="E878" s="360">
        <f t="shared" ca="1" si="386"/>
        <v>-3.1669666185885745</v>
      </c>
      <c r="F878" s="357">
        <f t="shared" ca="1" si="387"/>
        <v>3.275220452148933</v>
      </c>
      <c r="G878" s="359">
        <f t="shared" ca="1" si="388"/>
        <v>16.371998241278149</v>
      </c>
      <c r="H878" s="360">
        <f t="shared" ca="1" si="389"/>
        <v>-130.23661115683072</v>
      </c>
      <c r="I878" s="357">
        <f t="shared" ca="1" si="390"/>
        <v>131.26163648236272</v>
      </c>
      <c r="J878" s="359">
        <f t="shared" ca="1" si="391"/>
        <v>953.1802660510491</v>
      </c>
      <c r="K878" s="360">
        <f t="shared" ca="1" si="392"/>
        <v>-10.358326625730625</v>
      </c>
      <c r="L878" s="357">
        <f t="shared" ca="1" si="377"/>
        <v>953.23654699116219</v>
      </c>
      <c r="M878" s="359">
        <f t="shared" ca="1" si="393"/>
        <v>-1.4457426653436336</v>
      </c>
      <c r="N878" s="357">
        <f t="shared" ca="1" si="394"/>
        <v>-82.834952986184788</v>
      </c>
      <c r="O878" s="343"/>
      <c r="P878" s="363">
        <f t="shared" ca="1" si="395"/>
        <v>23</v>
      </c>
      <c r="Q878" s="357">
        <f t="shared" ca="1" si="396"/>
        <v>0</v>
      </c>
      <c r="R878" s="359">
        <f t="shared" ca="1" si="397"/>
        <v>0</v>
      </c>
      <c r="S878" s="360">
        <f t="shared" ca="1" si="398"/>
        <v>8.3819999999999997</v>
      </c>
      <c r="T878" s="357">
        <f t="shared" ca="1" si="378"/>
        <v>82.227419999999995</v>
      </c>
      <c r="U878" s="364">
        <f t="shared" ca="1" si="379"/>
        <v>0</v>
      </c>
      <c r="V878" s="359">
        <f t="shared" ca="1" si="380"/>
        <v>1.2262695525336427</v>
      </c>
      <c r="W878" s="357">
        <f t="shared" ca="1" si="381"/>
        <v>56.120488869497734</v>
      </c>
      <c r="X878" s="343"/>
      <c r="Y878" s="367" t="str">
        <f t="shared" ca="1" si="399"/>
        <v/>
      </c>
      <c r="Z878" s="368" t="str">
        <f t="shared" ca="1" si="400"/>
        <v/>
      </c>
      <c r="AA878" s="369" t="str">
        <f t="shared" ca="1" si="401"/>
        <v/>
      </c>
      <c r="AB878" s="344"/>
      <c r="AC878" s="363" t="e">
        <f t="shared" ca="1" si="402"/>
        <v>#N/A</v>
      </c>
      <c r="AD878" s="376" t="e">
        <f t="shared" ca="1" si="403"/>
        <v>#N/A</v>
      </c>
      <c r="AE878" s="377" t="e">
        <f t="shared" ca="1" si="382"/>
        <v>#N/A</v>
      </c>
      <c r="AF878" s="344"/>
      <c r="AG878" s="359">
        <f t="shared" ca="1" si="404"/>
        <v>3.0380742676205799</v>
      </c>
      <c r="AH878" s="357">
        <f t="shared" ca="1" si="405"/>
        <v>-6.6953180621585737</v>
      </c>
    </row>
    <row r="879" spans="1:34" x14ac:dyDescent="0.2">
      <c r="A879" s="402">
        <f t="shared" ca="1" si="383"/>
        <v>1E-4</v>
      </c>
      <c r="B879" s="357">
        <f t="shared" ca="1" si="384"/>
        <v>35.316200000000727</v>
      </c>
      <c r="C879" s="342"/>
      <c r="D879" s="359">
        <f t="shared" ca="1" si="385"/>
        <v>-0.83509842367901732</v>
      </c>
      <c r="E879" s="360">
        <f t="shared" ca="1" si="386"/>
        <v>-3.1669264374734274</v>
      </c>
      <c r="F879" s="357">
        <f t="shared" ca="1" si="387"/>
        <v>3.2751812831657601</v>
      </c>
      <c r="G879" s="359">
        <f t="shared" ca="1" si="388"/>
        <v>16.37191473143578</v>
      </c>
      <c r="H879" s="360">
        <f t="shared" ca="1" si="389"/>
        <v>-130.23692784947445</v>
      </c>
      <c r="I879" s="357">
        <f t="shared" ca="1" si="390"/>
        <v>131.26194028598928</v>
      </c>
      <c r="J879" s="359">
        <f t="shared" ca="1" si="391"/>
        <v>953.1802660510491</v>
      </c>
      <c r="K879" s="360">
        <f t="shared" ca="1" si="392"/>
        <v>-10.371350302680939</v>
      </c>
      <c r="L879" s="357">
        <f t="shared" ca="1" si="377"/>
        <v>953.2366886016556</v>
      </c>
      <c r="M879" s="359">
        <f t="shared" ca="1" si="393"/>
        <v>-1.4457435975113599</v>
      </c>
      <c r="N879" s="357">
        <f t="shared" ca="1" si="394"/>
        <v>-82.835006395461306</v>
      </c>
      <c r="O879" s="343"/>
      <c r="P879" s="363">
        <f t="shared" ca="1" si="395"/>
        <v>23</v>
      </c>
      <c r="Q879" s="357">
        <f t="shared" ca="1" si="396"/>
        <v>0</v>
      </c>
      <c r="R879" s="359">
        <f t="shared" ca="1" si="397"/>
        <v>0</v>
      </c>
      <c r="S879" s="360">
        <f t="shared" ca="1" si="398"/>
        <v>8.3819999999999997</v>
      </c>
      <c r="T879" s="357">
        <f t="shared" ca="1" si="378"/>
        <v>82.227419999999995</v>
      </c>
      <c r="U879" s="364">
        <f t="shared" ca="1" si="379"/>
        <v>0</v>
      </c>
      <c r="V879" s="359">
        <f t="shared" ca="1" si="380"/>
        <v>1.2262711495889622</v>
      </c>
      <c r="W879" s="357">
        <f t="shared" ca="1" si="381"/>
        <v>56.120821740234923</v>
      </c>
      <c r="X879" s="343"/>
      <c r="Y879" s="367" t="str">
        <f t="shared" ca="1" si="399"/>
        <v/>
      </c>
      <c r="Z879" s="368" t="str">
        <f t="shared" ca="1" si="400"/>
        <v/>
      </c>
      <c r="AA879" s="369" t="str">
        <f t="shared" ca="1" si="401"/>
        <v/>
      </c>
      <c r="AB879" s="344"/>
      <c r="AC879" s="363" t="e">
        <f t="shared" ca="1" si="402"/>
        <v>#N/A</v>
      </c>
      <c r="AD879" s="376" t="e">
        <f t="shared" ca="1" si="403"/>
        <v>#N/A</v>
      </c>
      <c r="AE879" s="377" t="e">
        <f t="shared" ca="1" si="382"/>
        <v>#N/A</v>
      </c>
      <c r="AF879" s="344"/>
      <c r="AG879" s="359">
        <f t="shared" ca="1" si="404"/>
        <v>3.0380356954434991</v>
      </c>
      <c r="AH879" s="357">
        <f t="shared" ca="1" si="405"/>
        <v>-6.6953577749341129</v>
      </c>
    </row>
    <row r="880" spans="1:34" x14ac:dyDescent="0.2">
      <c r="A880" s="402">
        <f t="shared" ca="1" si="383"/>
        <v>1E-4</v>
      </c>
      <c r="B880" s="357">
        <f t="shared" ca="1" si="384"/>
        <v>35.31630000000073</v>
      </c>
      <c r="C880" s="342"/>
      <c r="D880" s="359">
        <f t="shared" ca="1" si="385"/>
        <v>-0.83509718445125758</v>
      </c>
      <c r="E880" s="360">
        <f t="shared" ca="1" si="386"/>
        <v>-3.1668862565692324</v>
      </c>
      <c r="F880" s="357">
        <f t="shared" ca="1" si="387"/>
        <v>3.2751421144013739</v>
      </c>
      <c r="G880" s="359">
        <f t="shared" ca="1" si="388"/>
        <v>16.371831221717336</v>
      </c>
      <c r="H880" s="360">
        <f t="shared" ca="1" si="389"/>
        <v>-130.2372445381001</v>
      </c>
      <c r="I880" s="357">
        <f t="shared" ca="1" si="390"/>
        <v>131.26224408575865</v>
      </c>
      <c r="J880" s="359">
        <f t="shared" ca="1" si="391"/>
        <v>953.1802660510491</v>
      </c>
      <c r="K880" s="360">
        <f t="shared" ca="1" si="392"/>
        <v>-10.384374011300318</v>
      </c>
      <c r="L880" s="357">
        <f t="shared" ca="1" si="377"/>
        <v>953.23683039040998</v>
      </c>
      <c r="M880" s="359">
        <f t="shared" ca="1" si="393"/>
        <v>-1.4457445296700167</v>
      </c>
      <c r="N880" s="357">
        <f t="shared" ca="1" si="394"/>
        <v>-82.835059804218176</v>
      </c>
      <c r="O880" s="343"/>
      <c r="P880" s="363">
        <f t="shared" ca="1" si="395"/>
        <v>23</v>
      </c>
      <c r="Q880" s="357">
        <f t="shared" ca="1" si="396"/>
        <v>0</v>
      </c>
      <c r="R880" s="359">
        <f t="shared" ca="1" si="397"/>
        <v>0</v>
      </c>
      <c r="S880" s="360">
        <f t="shared" ca="1" si="398"/>
        <v>8.3819999999999997</v>
      </c>
      <c r="T880" s="357">
        <f t="shared" ca="1" si="378"/>
        <v>82.227419999999995</v>
      </c>
      <c r="U880" s="364">
        <f t="shared" ca="1" si="379"/>
        <v>0</v>
      </c>
      <c r="V880" s="359">
        <f t="shared" ca="1" si="380"/>
        <v>1.2262727466502463</v>
      </c>
      <c r="W880" s="357">
        <f t="shared" ca="1" si="381"/>
        <v>56.121154609224725</v>
      </c>
      <c r="X880" s="343"/>
      <c r="Y880" s="367" t="str">
        <f t="shared" ca="1" si="399"/>
        <v/>
      </c>
      <c r="Z880" s="368" t="str">
        <f t="shared" ca="1" si="400"/>
        <v/>
      </c>
      <c r="AA880" s="369" t="str">
        <f t="shared" ca="1" si="401"/>
        <v/>
      </c>
      <c r="AB880" s="344"/>
      <c r="AC880" s="363" t="e">
        <f t="shared" ca="1" si="402"/>
        <v>#N/A</v>
      </c>
      <c r="AD880" s="376" t="e">
        <f t="shared" ca="1" si="403"/>
        <v>#N/A</v>
      </c>
      <c r="AE880" s="377" t="e">
        <f t="shared" ca="1" si="382"/>
        <v>#N/A</v>
      </c>
      <c r="AF880" s="344"/>
      <c r="AG880" s="359">
        <f t="shared" ca="1" si="404"/>
        <v>3.0379971234553338</v>
      </c>
      <c r="AH880" s="357">
        <f t="shared" ca="1" si="405"/>
        <v>-6.6953974875011841</v>
      </c>
    </row>
    <row r="881" spans="1:34" x14ac:dyDescent="0.2">
      <c r="A881" s="402">
        <f t="shared" ca="1" si="383"/>
        <v>1E-4</v>
      </c>
      <c r="B881" s="357">
        <f t="shared" ca="1" si="384"/>
        <v>35.316400000000733</v>
      </c>
      <c r="C881" s="342"/>
      <c r="D881" s="359">
        <f t="shared" ca="1" si="385"/>
        <v>-0.83509594518356212</v>
      </c>
      <c r="E881" s="360">
        <f t="shared" ca="1" si="386"/>
        <v>-3.1668460758759913</v>
      </c>
      <c r="F881" s="357">
        <f t="shared" ca="1" si="387"/>
        <v>3.2751029458557777</v>
      </c>
      <c r="G881" s="359">
        <f t="shared" ca="1" si="388"/>
        <v>16.371747712122819</v>
      </c>
      <c r="H881" s="360">
        <f t="shared" ca="1" si="389"/>
        <v>-130.23756122270768</v>
      </c>
      <c r="I881" s="357">
        <f t="shared" ca="1" si="390"/>
        <v>131.26254788167083</v>
      </c>
      <c r="J881" s="359">
        <f t="shared" ca="1" si="391"/>
        <v>953.1802660510491</v>
      </c>
      <c r="K881" s="360">
        <f t="shared" ca="1" si="392"/>
        <v>-10.397397751588359</v>
      </c>
      <c r="L881" s="357">
        <f t="shared" ca="1" si="377"/>
        <v>953.23697235742668</v>
      </c>
      <c r="M881" s="359">
        <f t="shared" ca="1" si="393"/>
        <v>-1.4457454618196037</v>
      </c>
      <c r="N881" s="357">
        <f t="shared" ca="1" si="394"/>
        <v>-82.835113212455397</v>
      </c>
      <c r="O881" s="343"/>
      <c r="P881" s="363">
        <f t="shared" ca="1" si="395"/>
        <v>23</v>
      </c>
      <c r="Q881" s="357">
        <f t="shared" ca="1" si="396"/>
        <v>0</v>
      </c>
      <c r="R881" s="359">
        <f t="shared" ca="1" si="397"/>
        <v>0</v>
      </c>
      <c r="S881" s="360">
        <f t="shared" ca="1" si="398"/>
        <v>8.3819999999999997</v>
      </c>
      <c r="T881" s="357">
        <f t="shared" ca="1" si="378"/>
        <v>82.227419999999995</v>
      </c>
      <c r="U881" s="364">
        <f t="shared" ca="1" si="379"/>
        <v>0</v>
      </c>
      <c r="V881" s="359">
        <f t="shared" ca="1" si="380"/>
        <v>1.2262743437174948</v>
      </c>
      <c r="W881" s="357">
        <f t="shared" ca="1" si="381"/>
        <v>56.121487476467081</v>
      </c>
      <c r="X881" s="343"/>
      <c r="Y881" s="367" t="str">
        <f t="shared" ca="1" si="399"/>
        <v/>
      </c>
      <c r="Z881" s="368" t="str">
        <f t="shared" ca="1" si="400"/>
        <v/>
      </c>
      <c r="AA881" s="369" t="str">
        <f t="shared" ca="1" si="401"/>
        <v/>
      </c>
      <c r="AB881" s="344"/>
      <c r="AC881" s="363" t="e">
        <f t="shared" ca="1" si="402"/>
        <v>#N/A</v>
      </c>
      <c r="AD881" s="376" t="e">
        <f t="shared" ca="1" si="403"/>
        <v>#N/A</v>
      </c>
      <c r="AE881" s="377" t="e">
        <f t="shared" ca="1" si="382"/>
        <v>#N/A</v>
      </c>
      <c r="AF881" s="344"/>
      <c r="AG881" s="359">
        <f t="shared" ca="1" si="404"/>
        <v>3.0379585516560805</v>
      </c>
      <c r="AH881" s="357">
        <f t="shared" ca="1" si="405"/>
        <v>-6.6954371998597857</v>
      </c>
    </row>
    <row r="882" spans="1:34" x14ac:dyDescent="0.2">
      <c r="A882" s="402">
        <f t="shared" ca="1" si="383"/>
        <v>1E-4</v>
      </c>
      <c r="B882" s="357">
        <f t="shared" ca="1" si="384"/>
        <v>35.316500000000737</v>
      </c>
      <c r="C882" s="342"/>
      <c r="D882" s="359">
        <f t="shared" ca="1" si="385"/>
        <v>-0.83509470587593204</v>
      </c>
      <c r="E882" s="360">
        <f t="shared" ca="1" si="386"/>
        <v>-3.1668058953937095</v>
      </c>
      <c r="F882" s="357">
        <f t="shared" ca="1" si="387"/>
        <v>3.2750637775289757</v>
      </c>
      <c r="G882" s="359">
        <f t="shared" ca="1" si="388"/>
        <v>16.37166420265223</v>
      </c>
      <c r="H882" s="360">
        <f t="shared" ca="1" si="389"/>
        <v>-130.23787790329723</v>
      </c>
      <c r="I882" s="357">
        <f t="shared" ca="1" si="390"/>
        <v>131.26285167372589</v>
      </c>
      <c r="J882" s="359">
        <f t="shared" ca="1" si="391"/>
        <v>953.1802660510491</v>
      </c>
      <c r="K882" s="360">
        <f t="shared" ca="1" si="392"/>
        <v>-10.41042152354466</v>
      </c>
      <c r="L882" s="357">
        <f t="shared" ca="1" si="377"/>
        <v>953.23711450270685</v>
      </c>
      <c r="M882" s="359">
        <f t="shared" ca="1" si="393"/>
        <v>-1.4457463939601214</v>
      </c>
      <c r="N882" s="357">
        <f t="shared" ca="1" si="394"/>
        <v>-82.83516662017297</v>
      </c>
      <c r="O882" s="343"/>
      <c r="P882" s="363">
        <f t="shared" ca="1" si="395"/>
        <v>23</v>
      </c>
      <c r="Q882" s="357">
        <f t="shared" ca="1" si="396"/>
        <v>0</v>
      </c>
      <c r="R882" s="359">
        <f t="shared" ca="1" si="397"/>
        <v>0</v>
      </c>
      <c r="S882" s="360">
        <f t="shared" ca="1" si="398"/>
        <v>8.3819999999999997</v>
      </c>
      <c r="T882" s="357">
        <f t="shared" ca="1" si="378"/>
        <v>82.227419999999995</v>
      </c>
      <c r="U882" s="364">
        <f t="shared" ca="1" si="379"/>
        <v>0</v>
      </c>
      <c r="V882" s="359">
        <f t="shared" ca="1" si="380"/>
        <v>1.226275940790708</v>
      </c>
      <c r="W882" s="357">
        <f t="shared" ca="1" si="381"/>
        <v>56.121820341962092</v>
      </c>
      <c r="X882" s="343"/>
      <c r="Y882" s="367" t="str">
        <f t="shared" ca="1" si="399"/>
        <v/>
      </c>
      <c r="Z882" s="368" t="str">
        <f t="shared" ca="1" si="400"/>
        <v/>
      </c>
      <c r="AA882" s="369" t="str">
        <f t="shared" ca="1" si="401"/>
        <v/>
      </c>
      <c r="AB882" s="344"/>
      <c r="AC882" s="363" t="e">
        <f t="shared" ca="1" si="402"/>
        <v>#N/A</v>
      </c>
      <c r="AD882" s="376" t="e">
        <f t="shared" ca="1" si="403"/>
        <v>#N/A</v>
      </c>
      <c r="AE882" s="377" t="e">
        <f t="shared" ca="1" si="382"/>
        <v>#N/A</v>
      </c>
      <c r="AF882" s="344"/>
      <c r="AG882" s="359">
        <f t="shared" ca="1" si="404"/>
        <v>3.0379199800457499</v>
      </c>
      <c r="AH882" s="357">
        <f t="shared" ca="1" si="405"/>
        <v>-6.6954769120099122</v>
      </c>
    </row>
    <row r="883" spans="1:34" x14ac:dyDescent="0.2">
      <c r="A883" s="402">
        <f t="shared" ca="1" si="383"/>
        <v>1E-4</v>
      </c>
      <c r="B883" s="357">
        <f t="shared" ca="1" si="384"/>
        <v>35.31660000000074</v>
      </c>
      <c r="C883" s="342"/>
      <c r="D883" s="359">
        <f t="shared" ca="1" si="385"/>
        <v>-0.83509346652836869</v>
      </c>
      <c r="E883" s="360">
        <f t="shared" ca="1" si="386"/>
        <v>-3.1667657151223763</v>
      </c>
      <c r="F883" s="357">
        <f t="shared" ca="1" si="387"/>
        <v>3.2750246094209587</v>
      </c>
      <c r="G883" s="359">
        <f t="shared" ca="1" si="388"/>
        <v>16.371580693305578</v>
      </c>
      <c r="H883" s="360">
        <f t="shared" ca="1" si="389"/>
        <v>-130.23819457986875</v>
      </c>
      <c r="I883" s="357">
        <f t="shared" ca="1" si="390"/>
        <v>131.26315546192376</v>
      </c>
      <c r="J883" s="359">
        <f t="shared" ca="1" si="391"/>
        <v>953.1802660510491</v>
      </c>
      <c r="K883" s="360">
        <f t="shared" ca="1" si="392"/>
        <v>-10.423445327168817</v>
      </c>
      <c r="L883" s="357">
        <f t="shared" ca="1" si="377"/>
        <v>953.23725682625172</v>
      </c>
      <c r="M883" s="359">
        <f t="shared" ca="1" si="393"/>
        <v>-1.4457473260915696</v>
      </c>
      <c r="N883" s="357">
        <f t="shared" ca="1" si="394"/>
        <v>-82.835220027370909</v>
      </c>
      <c r="O883" s="343"/>
      <c r="P883" s="363">
        <f t="shared" ca="1" si="395"/>
        <v>23</v>
      </c>
      <c r="Q883" s="357">
        <f t="shared" ca="1" si="396"/>
        <v>0</v>
      </c>
      <c r="R883" s="359">
        <f t="shared" ca="1" si="397"/>
        <v>0</v>
      </c>
      <c r="S883" s="360">
        <f t="shared" ca="1" si="398"/>
        <v>8.3819999999999997</v>
      </c>
      <c r="T883" s="357">
        <f t="shared" ca="1" si="378"/>
        <v>82.227419999999995</v>
      </c>
      <c r="U883" s="364">
        <f t="shared" ca="1" si="379"/>
        <v>0</v>
      </c>
      <c r="V883" s="359">
        <f t="shared" ca="1" si="380"/>
        <v>1.2262775378698851</v>
      </c>
      <c r="W883" s="357">
        <f t="shared" ca="1" si="381"/>
        <v>56.12215320570958</v>
      </c>
      <c r="X883" s="343"/>
      <c r="Y883" s="367" t="str">
        <f t="shared" ca="1" si="399"/>
        <v/>
      </c>
      <c r="Z883" s="368" t="str">
        <f t="shared" ca="1" si="400"/>
        <v/>
      </c>
      <c r="AA883" s="369" t="str">
        <f t="shared" ca="1" si="401"/>
        <v/>
      </c>
      <c r="AB883" s="344"/>
      <c r="AC883" s="363" t="e">
        <f t="shared" ca="1" si="402"/>
        <v>#N/A</v>
      </c>
      <c r="AD883" s="376" t="e">
        <f t="shared" ca="1" si="403"/>
        <v>#N/A</v>
      </c>
      <c r="AE883" s="377" t="e">
        <f t="shared" ca="1" si="382"/>
        <v>#N/A</v>
      </c>
      <c r="AF883" s="344"/>
      <c r="AG883" s="359">
        <f t="shared" ca="1" si="404"/>
        <v>3.037881408624326</v>
      </c>
      <c r="AH883" s="357">
        <f t="shared" ca="1" si="405"/>
        <v>-6.6955166239515744</v>
      </c>
    </row>
    <row r="884" spans="1:34" x14ac:dyDescent="0.2">
      <c r="A884" s="402">
        <f t="shared" ca="1" si="383"/>
        <v>1E-4</v>
      </c>
      <c r="B884" s="357">
        <f t="shared" ca="1" si="384"/>
        <v>35.316700000000743</v>
      </c>
      <c r="C884" s="342"/>
      <c r="D884" s="359">
        <f t="shared" ca="1" si="385"/>
        <v>-0.83509222714087128</v>
      </c>
      <c r="E884" s="360">
        <f t="shared" ca="1" si="386"/>
        <v>-3.1667255350620129</v>
      </c>
      <c r="F884" s="357">
        <f t="shared" ca="1" si="387"/>
        <v>3.2749854415317472</v>
      </c>
      <c r="G884" s="359">
        <f t="shared" ca="1" si="388"/>
        <v>16.371497184082862</v>
      </c>
      <c r="H884" s="360">
        <f t="shared" ca="1" si="389"/>
        <v>-130.23851125242226</v>
      </c>
      <c r="I884" s="357">
        <f t="shared" ca="1" si="390"/>
        <v>131.26345924626455</v>
      </c>
      <c r="J884" s="359">
        <f t="shared" ca="1" si="391"/>
        <v>953.1802660510491</v>
      </c>
      <c r="K884" s="360">
        <f t="shared" ca="1" si="392"/>
        <v>-10.436469162460432</v>
      </c>
      <c r="L884" s="357">
        <f t="shared" ca="1" si="377"/>
        <v>953.23739932806234</v>
      </c>
      <c r="M884" s="359">
        <f t="shared" ca="1" si="393"/>
        <v>-1.4457482582139489</v>
      </c>
      <c r="N884" s="357">
        <f t="shared" ca="1" si="394"/>
        <v>-82.835273434049228</v>
      </c>
      <c r="O884" s="343"/>
      <c r="P884" s="363">
        <f t="shared" ca="1" si="395"/>
        <v>23</v>
      </c>
      <c r="Q884" s="357">
        <f t="shared" ca="1" si="396"/>
        <v>0</v>
      </c>
      <c r="R884" s="359">
        <f t="shared" ca="1" si="397"/>
        <v>0</v>
      </c>
      <c r="S884" s="360">
        <f t="shared" ca="1" si="398"/>
        <v>8.3819999999999997</v>
      </c>
      <c r="T884" s="357">
        <f t="shared" ca="1" si="378"/>
        <v>82.227419999999995</v>
      </c>
      <c r="U884" s="364">
        <f t="shared" ca="1" si="379"/>
        <v>0</v>
      </c>
      <c r="V884" s="359">
        <f t="shared" ca="1" si="380"/>
        <v>1.2262791349550273</v>
      </c>
      <c r="W884" s="357">
        <f t="shared" ca="1" si="381"/>
        <v>56.122486067709673</v>
      </c>
      <c r="X884" s="343"/>
      <c r="Y884" s="367" t="str">
        <f t="shared" ca="1" si="399"/>
        <v/>
      </c>
      <c r="Z884" s="368" t="str">
        <f t="shared" ca="1" si="400"/>
        <v/>
      </c>
      <c r="AA884" s="369" t="str">
        <f t="shared" ca="1" si="401"/>
        <v/>
      </c>
      <c r="AB884" s="344"/>
      <c r="AC884" s="363" t="e">
        <f t="shared" ca="1" si="402"/>
        <v>#N/A</v>
      </c>
      <c r="AD884" s="376" t="e">
        <f t="shared" ca="1" si="403"/>
        <v>#N/A</v>
      </c>
      <c r="AE884" s="377" t="e">
        <f t="shared" ca="1" si="382"/>
        <v>#N/A</v>
      </c>
      <c r="AF884" s="344"/>
      <c r="AG884" s="359">
        <f t="shared" ca="1" si="404"/>
        <v>3.0378428373918371</v>
      </c>
      <c r="AH884" s="357">
        <f t="shared" ca="1" si="405"/>
        <v>-6.6955563356847509</v>
      </c>
    </row>
    <row r="885" spans="1:34" x14ac:dyDescent="0.2">
      <c r="A885" s="402">
        <f t="shared" ca="1" si="383"/>
        <v>1E-4</v>
      </c>
      <c r="B885" s="357">
        <f t="shared" ca="1" si="384"/>
        <v>35.316800000000747</v>
      </c>
      <c r="C885" s="342"/>
      <c r="D885" s="359">
        <f t="shared" ca="1" si="385"/>
        <v>-0.83509098771344037</v>
      </c>
      <c r="E885" s="360">
        <f t="shared" ca="1" si="386"/>
        <v>-3.1666853552126026</v>
      </c>
      <c r="F885" s="357">
        <f t="shared" ca="1" si="387"/>
        <v>3.2749462738613251</v>
      </c>
      <c r="G885" s="359">
        <f t="shared" ca="1" si="388"/>
        <v>16.37141367498409</v>
      </c>
      <c r="H885" s="360">
        <f t="shared" ca="1" si="389"/>
        <v>-130.23882792095779</v>
      </c>
      <c r="I885" s="357">
        <f t="shared" ca="1" si="390"/>
        <v>131.26376302674819</v>
      </c>
      <c r="J885" s="359">
        <f t="shared" ca="1" si="391"/>
        <v>953.1802660510491</v>
      </c>
      <c r="K885" s="360">
        <f t="shared" ca="1" si="392"/>
        <v>-10.4494930294191</v>
      </c>
      <c r="L885" s="357">
        <f t="shared" ca="1" si="377"/>
        <v>953.23754200814005</v>
      </c>
      <c r="M885" s="359">
        <f t="shared" ca="1" si="393"/>
        <v>-1.4457491903272592</v>
      </c>
      <c r="N885" s="357">
        <f t="shared" ca="1" si="394"/>
        <v>-82.835326840207941</v>
      </c>
      <c r="O885" s="343"/>
      <c r="P885" s="363">
        <f t="shared" ca="1" si="395"/>
        <v>23</v>
      </c>
      <c r="Q885" s="357">
        <f t="shared" ca="1" si="396"/>
        <v>0</v>
      </c>
      <c r="R885" s="359">
        <f t="shared" ca="1" si="397"/>
        <v>0</v>
      </c>
      <c r="S885" s="360">
        <f t="shared" ca="1" si="398"/>
        <v>8.3819999999999997</v>
      </c>
      <c r="T885" s="357">
        <f t="shared" ca="1" si="378"/>
        <v>82.227419999999995</v>
      </c>
      <c r="U885" s="364">
        <f t="shared" ca="1" si="379"/>
        <v>0</v>
      </c>
      <c r="V885" s="359">
        <f t="shared" ca="1" si="380"/>
        <v>1.2262807320461335</v>
      </c>
      <c r="W885" s="357">
        <f t="shared" ca="1" si="381"/>
        <v>56.122818927962243</v>
      </c>
      <c r="X885" s="343"/>
      <c r="Y885" s="367" t="str">
        <f t="shared" ca="1" si="399"/>
        <v/>
      </c>
      <c r="Z885" s="368" t="str">
        <f t="shared" ca="1" si="400"/>
        <v/>
      </c>
      <c r="AA885" s="369" t="str">
        <f t="shared" ca="1" si="401"/>
        <v/>
      </c>
      <c r="AB885" s="344"/>
      <c r="AC885" s="363" t="e">
        <f t="shared" ca="1" si="402"/>
        <v>#N/A</v>
      </c>
      <c r="AD885" s="376" t="e">
        <f t="shared" ca="1" si="403"/>
        <v>#N/A</v>
      </c>
      <c r="AE885" s="377" t="e">
        <f t="shared" ca="1" si="382"/>
        <v>#N/A</v>
      </c>
      <c r="AF885" s="344"/>
      <c r="AG885" s="359">
        <f t="shared" ca="1" si="404"/>
        <v>3.0378042663482621</v>
      </c>
      <c r="AH885" s="357">
        <f t="shared" ca="1" si="405"/>
        <v>-6.6955960472094578</v>
      </c>
    </row>
    <row r="886" spans="1:34" x14ac:dyDescent="0.2">
      <c r="A886" s="402">
        <f t="shared" ca="1" si="383"/>
        <v>1E-4</v>
      </c>
      <c r="B886" s="357">
        <f t="shared" ca="1" si="384"/>
        <v>35.31690000000075</v>
      </c>
      <c r="C886" s="342"/>
      <c r="D886" s="359">
        <f t="shared" ca="1" si="385"/>
        <v>-0.83508974824607574</v>
      </c>
      <c r="E886" s="360">
        <f t="shared" ca="1" si="386"/>
        <v>-3.1666451755741623</v>
      </c>
      <c r="F886" s="357">
        <f t="shared" ca="1" si="387"/>
        <v>3.2749071064097088</v>
      </c>
      <c r="G886" s="359">
        <f t="shared" ca="1" si="388"/>
        <v>16.371330166009265</v>
      </c>
      <c r="H886" s="360">
        <f t="shared" ca="1" si="389"/>
        <v>-130.23914458547534</v>
      </c>
      <c r="I886" s="357">
        <f t="shared" ca="1" si="390"/>
        <v>131.26406680337479</v>
      </c>
      <c r="J886" s="359">
        <f t="shared" ca="1" si="391"/>
        <v>953.1802660510491</v>
      </c>
      <c r="K886" s="360">
        <f t="shared" ca="1" si="392"/>
        <v>-10.462516928044423</v>
      </c>
      <c r="L886" s="357">
        <f t="shared" ca="1" si="377"/>
        <v>953.23768486648623</v>
      </c>
      <c r="M886" s="359">
        <f t="shared" ca="1" si="393"/>
        <v>-1.4457501224315006</v>
      </c>
      <c r="N886" s="357">
        <f t="shared" ca="1" si="394"/>
        <v>-82.835380245847034</v>
      </c>
      <c r="O886" s="343"/>
      <c r="P886" s="363">
        <f t="shared" ca="1" si="395"/>
        <v>23</v>
      </c>
      <c r="Q886" s="357">
        <f t="shared" ca="1" si="396"/>
        <v>0</v>
      </c>
      <c r="R886" s="359">
        <f t="shared" ca="1" si="397"/>
        <v>0</v>
      </c>
      <c r="S886" s="360">
        <f t="shared" ca="1" si="398"/>
        <v>8.3819999999999997</v>
      </c>
      <c r="T886" s="357">
        <f t="shared" ca="1" si="378"/>
        <v>82.227419999999995</v>
      </c>
      <c r="U886" s="364">
        <f t="shared" ca="1" si="379"/>
        <v>0</v>
      </c>
      <c r="V886" s="359">
        <f t="shared" ca="1" si="380"/>
        <v>1.2262823291432039</v>
      </c>
      <c r="W886" s="357">
        <f t="shared" ca="1" si="381"/>
        <v>56.123151786467353</v>
      </c>
      <c r="X886" s="343"/>
      <c r="Y886" s="367" t="str">
        <f t="shared" ca="1" si="399"/>
        <v/>
      </c>
      <c r="Z886" s="368" t="str">
        <f t="shared" ca="1" si="400"/>
        <v/>
      </c>
      <c r="AA886" s="369" t="str">
        <f t="shared" ca="1" si="401"/>
        <v/>
      </c>
      <c r="AB886" s="344"/>
      <c r="AC886" s="363" t="e">
        <f t="shared" ca="1" si="402"/>
        <v>#N/A</v>
      </c>
      <c r="AD886" s="376" t="e">
        <f t="shared" ca="1" si="403"/>
        <v>#N/A</v>
      </c>
      <c r="AE886" s="377" t="e">
        <f t="shared" ca="1" si="382"/>
        <v>#N/A</v>
      </c>
      <c r="AF886" s="344"/>
      <c r="AG886" s="359">
        <f t="shared" ca="1" si="404"/>
        <v>3.0377656954936194</v>
      </c>
      <c r="AH886" s="357">
        <f t="shared" ca="1" si="405"/>
        <v>-6.6956357585256798</v>
      </c>
    </row>
    <row r="887" spans="1:34" x14ac:dyDescent="0.2">
      <c r="A887" s="402">
        <f t="shared" ca="1" si="383"/>
        <v>1E-4</v>
      </c>
      <c r="B887" s="357">
        <f t="shared" ca="1" si="384"/>
        <v>35.317000000000753</v>
      </c>
      <c r="C887" s="342"/>
      <c r="D887" s="359">
        <f t="shared" ca="1" si="385"/>
        <v>-0.83508850873877993</v>
      </c>
      <c r="E887" s="360">
        <f t="shared" ca="1" si="386"/>
        <v>-3.1666049961466847</v>
      </c>
      <c r="F887" s="357">
        <f t="shared" ca="1" si="387"/>
        <v>3.2748679391768922</v>
      </c>
      <c r="G887" s="359">
        <f t="shared" ca="1" si="388"/>
        <v>16.371246657158391</v>
      </c>
      <c r="H887" s="360">
        <f t="shared" ca="1" si="389"/>
        <v>-130.23946124597495</v>
      </c>
      <c r="I887" s="357">
        <f t="shared" ca="1" si="390"/>
        <v>131.26437057614427</v>
      </c>
      <c r="J887" s="359">
        <f t="shared" ca="1" si="391"/>
        <v>953.1802660510491</v>
      </c>
      <c r="K887" s="360">
        <f t="shared" ca="1" si="392"/>
        <v>-10.475540858335995</v>
      </c>
      <c r="L887" s="357">
        <f t="shared" ca="1" si="377"/>
        <v>953.23782790310179</v>
      </c>
      <c r="M887" s="359">
        <f t="shared" ca="1" si="393"/>
        <v>-1.4457510545266732</v>
      </c>
      <c r="N887" s="357">
        <f t="shared" ca="1" si="394"/>
        <v>-82.835433650966522</v>
      </c>
      <c r="O887" s="343"/>
      <c r="P887" s="363">
        <f t="shared" ca="1" si="395"/>
        <v>23</v>
      </c>
      <c r="Q887" s="357">
        <f t="shared" ca="1" si="396"/>
        <v>0</v>
      </c>
      <c r="R887" s="359">
        <f t="shared" ca="1" si="397"/>
        <v>0</v>
      </c>
      <c r="S887" s="360">
        <f t="shared" ca="1" si="398"/>
        <v>8.3819999999999997</v>
      </c>
      <c r="T887" s="357">
        <f t="shared" ca="1" si="378"/>
        <v>82.227419999999995</v>
      </c>
      <c r="U887" s="364">
        <f t="shared" ca="1" si="379"/>
        <v>0</v>
      </c>
      <c r="V887" s="359">
        <f t="shared" ca="1" si="380"/>
        <v>1.2262839262462391</v>
      </c>
      <c r="W887" s="357">
        <f t="shared" ca="1" si="381"/>
        <v>56.123484643224941</v>
      </c>
      <c r="X887" s="343"/>
      <c r="Y887" s="367" t="str">
        <f t="shared" ca="1" si="399"/>
        <v/>
      </c>
      <c r="Z887" s="368" t="str">
        <f t="shared" ca="1" si="400"/>
        <v/>
      </c>
      <c r="AA887" s="369" t="str">
        <f t="shared" ca="1" si="401"/>
        <v/>
      </c>
      <c r="AB887" s="344"/>
      <c r="AC887" s="363" t="e">
        <f t="shared" ca="1" si="402"/>
        <v>#N/A</v>
      </c>
      <c r="AD887" s="376" t="e">
        <f t="shared" ca="1" si="403"/>
        <v>#N/A</v>
      </c>
      <c r="AE887" s="377" t="e">
        <f t="shared" ca="1" si="382"/>
        <v>#N/A</v>
      </c>
      <c r="AF887" s="344"/>
      <c r="AG887" s="359">
        <f t="shared" ca="1" si="404"/>
        <v>3.0377271248279047</v>
      </c>
      <c r="AH887" s="357">
        <f t="shared" ca="1" si="405"/>
        <v>-6.6956754696334233</v>
      </c>
    </row>
    <row r="888" spans="1:34" x14ac:dyDescent="0.2">
      <c r="A888" s="402">
        <f t="shared" ca="1" si="383"/>
        <v>1E-4</v>
      </c>
      <c r="B888" s="357">
        <f t="shared" ca="1" si="384"/>
        <v>35.317100000000757</v>
      </c>
      <c r="C888" s="342"/>
      <c r="D888" s="359">
        <f t="shared" ca="1" si="385"/>
        <v>-0.83508726919155229</v>
      </c>
      <c r="E888" s="360">
        <f t="shared" ca="1" si="386"/>
        <v>-3.1665648169301752</v>
      </c>
      <c r="F888" s="357">
        <f t="shared" ca="1" si="387"/>
        <v>3.2748287721628806</v>
      </c>
      <c r="G888" s="359">
        <f t="shared" ca="1" si="388"/>
        <v>16.371163148431471</v>
      </c>
      <c r="H888" s="360">
        <f t="shared" ca="1" si="389"/>
        <v>-130.23977790245664</v>
      </c>
      <c r="I888" s="357">
        <f t="shared" ca="1" si="390"/>
        <v>131.26467434505673</v>
      </c>
      <c r="J888" s="359">
        <f t="shared" ca="1" si="391"/>
        <v>953.1802660510491</v>
      </c>
      <c r="K888" s="360">
        <f t="shared" ca="1" si="392"/>
        <v>-10.488564820293416</v>
      </c>
      <c r="L888" s="357">
        <f t="shared" ca="1" si="377"/>
        <v>953.23797111798808</v>
      </c>
      <c r="M888" s="359">
        <f t="shared" ca="1" si="393"/>
        <v>-1.445751986612777</v>
      </c>
      <c r="N888" s="357">
        <f t="shared" ca="1" si="394"/>
        <v>-82.835487055566418</v>
      </c>
      <c r="O888" s="343"/>
      <c r="P888" s="363">
        <f t="shared" ca="1" si="395"/>
        <v>23</v>
      </c>
      <c r="Q888" s="357">
        <f t="shared" ca="1" si="396"/>
        <v>0</v>
      </c>
      <c r="R888" s="359">
        <f t="shared" ca="1" si="397"/>
        <v>0</v>
      </c>
      <c r="S888" s="360">
        <f t="shared" ca="1" si="398"/>
        <v>8.3819999999999997</v>
      </c>
      <c r="T888" s="357">
        <f t="shared" ca="1" si="378"/>
        <v>82.227419999999995</v>
      </c>
      <c r="U888" s="364">
        <f t="shared" ca="1" si="379"/>
        <v>0</v>
      </c>
      <c r="V888" s="359">
        <f t="shared" ca="1" si="380"/>
        <v>1.2262855233552381</v>
      </c>
      <c r="W888" s="357">
        <f t="shared" ca="1" si="381"/>
        <v>56.12381749823502</v>
      </c>
      <c r="X888" s="343"/>
      <c r="Y888" s="367" t="str">
        <f t="shared" ca="1" si="399"/>
        <v/>
      </c>
      <c r="Z888" s="368" t="str">
        <f t="shared" ca="1" si="400"/>
        <v/>
      </c>
      <c r="AA888" s="369" t="str">
        <f t="shared" ca="1" si="401"/>
        <v/>
      </c>
      <c r="AB888" s="344"/>
      <c r="AC888" s="363" t="e">
        <f t="shared" ca="1" si="402"/>
        <v>#N/A</v>
      </c>
      <c r="AD888" s="376" t="e">
        <f t="shared" ca="1" si="403"/>
        <v>#N/A</v>
      </c>
      <c r="AE888" s="377" t="e">
        <f t="shared" ca="1" si="382"/>
        <v>#N/A</v>
      </c>
      <c r="AF888" s="344"/>
      <c r="AG888" s="359">
        <f t="shared" ca="1" si="404"/>
        <v>3.0376885543511207</v>
      </c>
      <c r="AH888" s="357">
        <f t="shared" ca="1" si="405"/>
        <v>-6.695715180532682</v>
      </c>
    </row>
    <row r="889" spans="1:34" x14ac:dyDescent="0.2">
      <c r="A889" s="402">
        <f t="shared" ca="1" si="383"/>
        <v>1E-4</v>
      </c>
      <c r="B889" s="357">
        <f t="shared" ca="1" si="384"/>
        <v>35.31720000000076</v>
      </c>
      <c r="C889" s="342"/>
      <c r="D889" s="359">
        <f t="shared" ca="1" si="385"/>
        <v>-0.83508602960439482</v>
      </c>
      <c r="E889" s="360">
        <f t="shared" ca="1" si="386"/>
        <v>-3.1665246379246339</v>
      </c>
      <c r="F889" s="357">
        <f t="shared" ca="1" si="387"/>
        <v>3.2747896053676739</v>
      </c>
      <c r="G889" s="359">
        <f t="shared" ca="1" si="388"/>
        <v>16.371079639828512</v>
      </c>
      <c r="H889" s="360">
        <f t="shared" ca="1" si="389"/>
        <v>-130.24009455492043</v>
      </c>
      <c r="I889" s="357">
        <f t="shared" ca="1" si="390"/>
        <v>131.26497811011214</v>
      </c>
      <c r="J889" s="359">
        <f t="shared" ca="1" si="391"/>
        <v>953.1802660510491</v>
      </c>
      <c r="K889" s="360">
        <f t="shared" ca="1" si="392"/>
        <v>-10.501588813916284</v>
      </c>
      <c r="L889" s="357">
        <f t="shared" ca="1" si="377"/>
        <v>953.23811451114636</v>
      </c>
      <c r="M889" s="359">
        <f t="shared" ca="1" si="393"/>
        <v>-1.4457529186898126</v>
      </c>
      <c r="N889" s="357">
        <f t="shared" ca="1" si="394"/>
        <v>-82.835540459646737</v>
      </c>
      <c r="O889" s="343"/>
      <c r="P889" s="363">
        <f t="shared" ca="1" si="395"/>
        <v>23</v>
      </c>
      <c r="Q889" s="357">
        <f t="shared" ca="1" si="396"/>
        <v>0</v>
      </c>
      <c r="R889" s="359">
        <f t="shared" ca="1" si="397"/>
        <v>0</v>
      </c>
      <c r="S889" s="360">
        <f t="shared" ca="1" si="398"/>
        <v>8.3819999999999997</v>
      </c>
      <c r="T889" s="357">
        <f t="shared" ca="1" si="378"/>
        <v>82.227419999999995</v>
      </c>
      <c r="U889" s="364">
        <f t="shared" ca="1" si="379"/>
        <v>0</v>
      </c>
      <c r="V889" s="359">
        <f t="shared" ca="1" si="380"/>
        <v>1.2262871204702015</v>
      </c>
      <c r="W889" s="357">
        <f t="shared" ca="1" si="381"/>
        <v>56.124150351497548</v>
      </c>
      <c r="X889" s="343"/>
      <c r="Y889" s="367" t="str">
        <f t="shared" ca="1" si="399"/>
        <v/>
      </c>
      <c r="Z889" s="368" t="str">
        <f t="shared" ca="1" si="400"/>
        <v/>
      </c>
      <c r="AA889" s="369" t="str">
        <f t="shared" ca="1" si="401"/>
        <v/>
      </c>
      <c r="AB889" s="344"/>
      <c r="AC889" s="363" t="e">
        <f t="shared" ca="1" si="402"/>
        <v>#N/A</v>
      </c>
      <c r="AD889" s="376" t="e">
        <f t="shared" ca="1" si="403"/>
        <v>#N/A</v>
      </c>
      <c r="AE889" s="377" t="e">
        <f t="shared" ca="1" si="382"/>
        <v>#N/A</v>
      </c>
      <c r="AF889" s="344"/>
      <c r="AG889" s="359">
        <f t="shared" ca="1" si="404"/>
        <v>3.0376499840632691</v>
      </c>
      <c r="AH889" s="357">
        <f t="shared" ca="1" si="405"/>
        <v>-6.6957548912234577</v>
      </c>
    </row>
    <row r="890" spans="1:34" x14ac:dyDescent="0.2">
      <c r="A890" s="402">
        <f t="shared" ca="1" si="383"/>
        <v>1E-4</v>
      </c>
      <c r="B890" s="357">
        <f t="shared" ca="1" si="384"/>
        <v>35.317300000000763</v>
      </c>
      <c r="C890" s="342"/>
      <c r="D890" s="359">
        <f t="shared" ca="1" si="385"/>
        <v>-0.83508478997730529</v>
      </c>
      <c r="E890" s="360">
        <f t="shared" ca="1" si="386"/>
        <v>-3.166484459130066</v>
      </c>
      <c r="F890" s="357">
        <f t="shared" ca="1" si="387"/>
        <v>3.274750438791278</v>
      </c>
      <c r="G890" s="359">
        <f t="shared" ca="1" si="388"/>
        <v>16.370996131349514</v>
      </c>
      <c r="H890" s="360">
        <f t="shared" ca="1" si="389"/>
        <v>-130.24041120336634</v>
      </c>
      <c r="I890" s="357">
        <f t="shared" ca="1" si="390"/>
        <v>131.26528187131055</v>
      </c>
      <c r="J890" s="359">
        <f t="shared" ca="1" si="391"/>
        <v>953.1802660510491</v>
      </c>
      <c r="K890" s="360">
        <f t="shared" ca="1" si="392"/>
        <v>-10.514612839204197</v>
      </c>
      <c r="L890" s="357">
        <f t="shared" ca="1" si="377"/>
        <v>953.23825808257777</v>
      </c>
      <c r="M890" s="359">
        <f t="shared" ca="1" si="393"/>
        <v>-1.4457538507577798</v>
      </c>
      <c r="N890" s="357">
        <f t="shared" ca="1" si="394"/>
        <v>-82.835593863207478</v>
      </c>
      <c r="O890" s="343"/>
      <c r="P890" s="363">
        <f t="shared" ca="1" si="395"/>
        <v>23</v>
      </c>
      <c r="Q890" s="357">
        <f t="shared" ca="1" si="396"/>
        <v>0</v>
      </c>
      <c r="R890" s="359">
        <f t="shared" ca="1" si="397"/>
        <v>0</v>
      </c>
      <c r="S890" s="360">
        <f t="shared" ca="1" si="398"/>
        <v>8.3819999999999997</v>
      </c>
      <c r="T890" s="357">
        <f t="shared" ca="1" si="378"/>
        <v>82.227419999999995</v>
      </c>
      <c r="U890" s="364">
        <f t="shared" ca="1" si="379"/>
        <v>0</v>
      </c>
      <c r="V890" s="359">
        <f t="shared" ca="1" si="380"/>
        <v>1.226288717591129</v>
      </c>
      <c r="W890" s="357">
        <f t="shared" ca="1" si="381"/>
        <v>56.124483203012545</v>
      </c>
      <c r="X890" s="343"/>
      <c r="Y890" s="367" t="str">
        <f t="shared" ca="1" si="399"/>
        <v/>
      </c>
      <c r="Z890" s="368" t="str">
        <f t="shared" ca="1" si="400"/>
        <v/>
      </c>
      <c r="AA890" s="369" t="str">
        <f t="shared" ca="1" si="401"/>
        <v/>
      </c>
      <c r="AB890" s="344"/>
      <c r="AC890" s="363" t="e">
        <f t="shared" ca="1" si="402"/>
        <v>#N/A</v>
      </c>
      <c r="AD890" s="376" t="e">
        <f t="shared" ca="1" si="403"/>
        <v>#N/A</v>
      </c>
      <c r="AE890" s="377" t="e">
        <f t="shared" ca="1" si="382"/>
        <v>#N/A</v>
      </c>
      <c r="AF890" s="344"/>
      <c r="AG890" s="359">
        <f t="shared" ca="1" si="404"/>
        <v>3.0376114139643544</v>
      </c>
      <c r="AH890" s="357">
        <f t="shared" ca="1" si="405"/>
        <v>-6.6957946017057441</v>
      </c>
    </row>
    <row r="891" spans="1:34" x14ac:dyDescent="0.2">
      <c r="A891" s="402">
        <f t="shared" ca="1" si="383"/>
        <v>1E-4</v>
      </c>
      <c r="B891" s="357">
        <f t="shared" ca="1" si="384"/>
        <v>35.317400000000767</v>
      </c>
      <c r="C891" s="342"/>
      <c r="D891" s="359">
        <f t="shared" ca="1" si="385"/>
        <v>-0.83508355031028592</v>
      </c>
      <c r="E891" s="360">
        <f t="shared" ca="1" si="386"/>
        <v>-3.1664442805464672</v>
      </c>
      <c r="F891" s="357">
        <f t="shared" ca="1" si="387"/>
        <v>3.2747112724336884</v>
      </c>
      <c r="G891" s="359">
        <f t="shared" ca="1" si="388"/>
        <v>16.370912622994481</v>
      </c>
      <c r="H891" s="360">
        <f t="shared" ca="1" si="389"/>
        <v>-130.2407278477944</v>
      </c>
      <c r="I891" s="357">
        <f t="shared" ca="1" si="390"/>
        <v>131.26558562865199</v>
      </c>
      <c r="J891" s="359">
        <f t="shared" ca="1" si="391"/>
        <v>953.1802660510491</v>
      </c>
      <c r="K891" s="360">
        <f t="shared" ca="1" si="392"/>
        <v>-10.527636896156755</v>
      </c>
      <c r="L891" s="357">
        <f t="shared" ca="1" si="377"/>
        <v>953.23840183228356</v>
      </c>
      <c r="M891" s="359">
        <f t="shared" ca="1" si="393"/>
        <v>-1.4457547828166788</v>
      </c>
      <c r="N891" s="357">
        <f t="shared" ca="1" si="394"/>
        <v>-82.835647266248642</v>
      </c>
      <c r="O891" s="343"/>
      <c r="P891" s="363">
        <f t="shared" ca="1" si="395"/>
        <v>23</v>
      </c>
      <c r="Q891" s="357">
        <f t="shared" ca="1" si="396"/>
        <v>0</v>
      </c>
      <c r="R891" s="359">
        <f t="shared" ca="1" si="397"/>
        <v>0</v>
      </c>
      <c r="S891" s="360">
        <f t="shared" ca="1" si="398"/>
        <v>8.3819999999999997</v>
      </c>
      <c r="T891" s="357">
        <f t="shared" ca="1" si="378"/>
        <v>82.227419999999995</v>
      </c>
      <c r="U891" s="364">
        <f t="shared" ca="1" si="379"/>
        <v>0</v>
      </c>
      <c r="V891" s="359">
        <f t="shared" ca="1" si="380"/>
        <v>1.2262903147180209</v>
      </c>
      <c r="W891" s="357">
        <f t="shared" ca="1" si="381"/>
        <v>56.124816052779998</v>
      </c>
      <c r="X891" s="343"/>
      <c r="Y891" s="367" t="str">
        <f t="shared" ca="1" si="399"/>
        <v/>
      </c>
      <c r="Z891" s="368" t="str">
        <f t="shared" ca="1" si="400"/>
        <v/>
      </c>
      <c r="AA891" s="369" t="str">
        <f t="shared" ca="1" si="401"/>
        <v/>
      </c>
      <c r="AB891" s="344"/>
      <c r="AC891" s="363" t="e">
        <f t="shared" ca="1" si="402"/>
        <v>#N/A</v>
      </c>
      <c r="AD891" s="376" t="e">
        <f t="shared" ca="1" si="403"/>
        <v>#N/A</v>
      </c>
      <c r="AE891" s="377" t="e">
        <f t="shared" ca="1" si="382"/>
        <v>#N/A</v>
      </c>
      <c r="AF891" s="344"/>
      <c r="AG891" s="359">
        <f t="shared" ca="1" si="404"/>
        <v>3.0375728440543748</v>
      </c>
      <c r="AH891" s="357">
        <f t="shared" ca="1" si="405"/>
        <v>-6.6958343119795449</v>
      </c>
    </row>
    <row r="892" spans="1:34" x14ac:dyDescent="0.2">
      <c r="A892" s="402">
        <f t="shared" ca="1" si="383"/>
        <v>1E-4</v>
      </c>
      <c r="B892" s="357">
        <f t="shared" ca="1" si="384"/>
        <v>35.31750000000077</v>
      </c>
      <c r="C892" s="342"/>
      <c r="D892" s="359">
        <f t="shared" ca="1" si="385"/>
        <v>-0.83508231060333804</v>
      </c>
      <c r="E892" s="360">
        <f t="shared" ca="1" si="386"/>
        <v>-3.1664041021738409</v>
      </c>
      <c r="F892" s="357">
        <f t="shared" ca="1" si="387"/>
        <v>3.2746721062949096</v>
      </c>
      <c r="G892" s="359">
        <f t="shared" ca="1" si="388"/>
        <v>16.370829114763421</v>
      </c>
      <c r="H892" s="360">
        <f t="shared" ca="1" si="389"/>
        <v>-130.24104448820461</v>
      </c>
      <c r="I892" s="357">
        <f t="shared" ca="1" si="390"/>
        <v>131.26588938213644</v>
      </c>
      <c r="J892" s="359">
        <f t="shared" ca="1" si="391"/>
        <v>953.1802660510491</v>
      </c>
      <c r="K892" s="360">
        <f t="shared" ca="1" si="392"/>
        <v>-10.540660984773556</v>
      </c>
      <c r="L892" s="357">
        <f t="shared" ca="1" si="377"/>
        <v>953.23854576026497</v>
      </c>
      <c r="M892" s="359">
        <f t="shared" ca="1" si="393"/>
        <v>-1.4457557148665097</v>
      </c>
      <c r="N892" s="357">
        <f t="shared" ca="1" si="394"/>
        <v>-82.835700668770258</v>
      </c>
      <c r="O892" s="343"/>
      <c r="P892" s="363">
        <f t="shared" ca="1" si="395"/>
        <v>23</v>
      </c>
      <c r="Q892" s="357">
        <f t="shared" ca="1" si="396"/>
        <v>0</v>
      </c>
      <c r="R892" s="359">
        <f t="shared" ca="1" si="397"/>
        <v>0</v>
      </c>
      <c r="S892" s="360">
        <f t="shared" ca="1" si="398"/>
        <v>8.3819999999999997</v>
      </c>
      <c r="T892" s="357">
        <f t="shared" ca="1" si="378"/>
        <v>82.227419999999995</v>
      </c>
      <c r="U892" s="364">
        <f t="shared" ca="1" si="379"/>
        <v>0</v>
      </c>
      <c r="V892" s="359">
        <f t="shared" ca="1" si="380"/>
        <v>1.226291911850877</v>
      </c>
      <c r="W892" s="357">
        <f t="shared" ca="1" si="381"/>
        <v>56.125148900799857</v>
      </c>
      <c r="X892" s="343"/>
      <c r="Y892" s="367" t="str">
        <f t="shared" ca="1" si="399"/>
        <v/>
      </c>
      <c r="Z892" s="368" t="str">
        <f t="shared" ca="1" si="400"/>
        <v/>
      </c>
      <c r="AA892" s="369" t="str">
        <f t="shared" ca="1" si="401"/>
        <v/>
      </c>
      <c r="AB892" s="344"/>
      <c r="AC892" s="363" t="e">
        <f t="shared" ca="1" si="402"/>
        <v>#N/A</v>
      </c>
      <c r="AD892" s="376" t="e">
        <f t="shared" ca="1" si="403"/>
        <v>#N/A</v>
      </c>
      <c r="AE892" s="377" t="e">
        <f t="shared" ca="1" si="382"/>
        <v>#N/A</v>
      </c>
      <c r="AF892" s="344"/>
      <c r="AG892" s="359">
        <f t="shared" ca="1" si="404"/>
        <v>3.037534274333332</v>
      </c>
      <c r="AH892" s="357">
        <f t="shared" ca="1" si="405"/>
        <v>-6.6958740220448583</v>
      </c>
    </row>
    <row r="893" spans="1:34" x14ac:dyDescent="0.2">
      <c r="A893" s="402">
        <f t="shared" ca="1" si="383"/>
        <v>1E-4</v>
      </c>
      <c r="B893" s="357">
        <f t="shared" ca="1" si="384"/>
        <v>35.317600000000773</v>
      </c>
      <c r="C893" s="342"/>
      <c r="D893" s="359">
        <f t="shared" ca="1" si="385"/>
        <v>-0.83508107085646088</v>
      </c>
      <c r="E893" s="360">
        <f t="shared" ca="1" si="386"/>
        <v>-3.1663639240121935</v>
      </c>
      <c r="F893" s="357">
        <f t="shared" ca="1" si="387"/>
        <v>3.2746329403749468</v>
      </c>
      <c r="G893" s="359">
        <f t="shared" ca="1" si="388"/>
        <v>16.370745606656335</v>
      </c>
      <c r="H893" s="360">
        <f t="shared" ca="1" si="389"/>
        <v>-130.24136112459701</v>
      </c>
      <c r="I893" s="357">
        <f t="shared" ca="1" si="390"/>
        <v>131.26619313176391</v>
      </c>
      <c r="J893" s="359">
        <f t="shared" ca="1" si="391"/>
        <v>953.1802660510491</v>
      </c>
      <c r="K893" s="360">
        <f t="shared" ca="1" si="392"/>
        <v>-10.553685105054196</v>
      </c>
      <c r="L893" s="357">
        <f t="shared" ca="1" si="377"/>
        <v>953.23868986652315</v>
      </c>
      <c r="M893" s="359">
        <f t="shared" ca="1" si="393"/>
        <v>-1.4457566469072727</v>
      </c>
      <c r="N893" s="357">
        <f t="shared" ca="1" si="394"/>
        <v>-82.83575407077231</v>
      </c>
      <c r="O893" s="343"/>
      <c r="P893" s="363">
        <f t="shared" ca="1" si="395"/>
        <v>23</v>
      </c>
      <c r="Q893" s="357">
        <f t="shared" ca="1" si="396"/>
        <v>0</v>
      </c>
      <c r="R893" s="359">
        <f t="shared" ca="1" si="397"/>
        <v>0</v>
      </c>
      <c r="S893" s="360">
        <f t="shared" ca="1" si="398"/>
        <v>8.3819999999999997</v>
      </c>
      <c r="T893" s="357">
        <f t="shared" ca="1" si="378"/>
        <v>82.227419999999995</v>
      </c>
      <c r="U893" s="364">
        <f t="shared" ca="1" si="379"/>
        <v>0</v>
      </c>
      <c r="V893" s="359">
        <f t="shared" ca="1" si="380"/>
        <v>1.2262935089896969</v>
      </c>
      <c r="W893" s="357">
        <f t="shared" ca="1" si="381"/>
        <v>56.125481747072101</v>
      </c>
      <c r="X893" s="343"/>
      <c r="Y893" s="367" t="str">
        <f t="shared" ca="1" si="399"/>
        <v/>
      </c>
      <c r="Z893" s="368" t="str">
        <f t="shared" ca="1" si="400"/>
        <v/>
      </c>
      <c r="AA893" s="369" t="str">
        <f t="shared" ca="1" si="401"/>
        <v/>
      </c>
      <c r="AB893" s="344"/>
      <c r="AC893" s="363" t="e">
        <f t="shared" ca="1" si="402"/>
        <v>#N/A</v>
      </c>
      <c r="AD893" s="376" t="e">
        <f t="shared" ca="1" si="403"/>
        <v>#N/A</v>
      </c>
      <c r="AE893" s="377" t="e">
        <f t="shared" ca="1" si="382"/>
        <v>#N/A</v>
      </c>
      <c r="AF893" s="344"/>
      <c r="AG893" s="359">
        <f t="shared" ca="1" si="404"/>
        <v>3.0374957048012332</v>
      </c>
      <c r="AH893" s="357">
        <f t="shared" ca="1" si="405"/>
        <v>-6.695913731901677</v>
      </c>
    </row>
    <row r="894" spans="1:34" x14ac:dyDescent="0.2">
      <c r="A894" s="402">
        <f t="shared" ca="1" si="383"/>
        <v>1E-4</v>
      </c>
      <c r="B894" s="357">
        <f t="shared" ca="1" si="384"/>
        <v>35.317700000000777</v>
      </c>
      <c r="C894" s="342"/>
      <c r="D894" s="359">
        <f t="shared" ca="1" si="385"/>
        <v>-0.83507983106965489</v>
      </c>
      <c r="E894" s="360">
        <f t="shared" ca="1" si="386"/>
        <v>-3.1663237460615257</v>
      </c>
      <c r="F894" s="357">
        <f t="shared" ca="1" si="387"/>
        <v>3.2745937746738014</v>
      </c>
      <c r="G894" s="359">
        <f t="shared" ca="1" si="388"/>
        <v>16.370662098673229</v>
      </c>
      <c r="H894" s="360">
        <f t="shared" ca="1" si="389"/>
        <v>-130.24167775697163</v>
      </c>
      <c r="I894" s="357">
        <f t="shared" ca="1" si="390"/>
        <v>131.26649687753451</v>
      </c>
      <c r="J894" s="359">
        <f t="shared" ca="1" si="391"/>
        <v>953.1802660510491</v>
      </c>
      <c r="K894" s="360">
        <f t="shared" ca="1" si="392"/>
        <v>-10.566709256998275</v>
      </c>
      <c r="L894" s="357">
        <f t="shared" ca="1" si="377"/>
        <v>953.23883415105934</v>
      </c>
      <c r="M894" s="359">
        <f t="shared" ca="1" si="393"/>
        <v>-1.4457575789389681</v>
      </c>
      <c r="N894" s="357">
        <f t="shared" ca="1" si="394"/>
        <v>-82.835807472254828</v>
      </c>
      <c r="O894" s="343"/>
      <c r="P894" s="363">
        <f t="shared" ca="1" si="395"/>
        <v>23</v>
      </c>
      <c r="Q894" s="357">
        <f t="shared" ca="1" si="396"/>
        <v>0</v>
      </c>
      <c r="R894" s="359">
        <f t="shared" ca="1" si="397"/>
        <v>0</v>
      </c>
      <c r="S894" s="360">
        <f t="shared" ca="1" si="398"/>
        <v>8.3819999999999997</v>
      </c>
      <c r="T894" s="357">
        <f t="shared" ca="1" si="378"/>
        <v>82.227419999999995</v>
      </c>
      <c r="U894" s="364">
        <f t="shared" ca="1" si="379"/>
        <v>0</v>
      </c>
      <c r="V894" s="359">
        <f t="shared" ca="1" si="380"/>
        <v>1.2262951061344813</v>
      </c>
      <c r="W894" s="357">
        <f t="shared" ca="1" si="381"/>
        <v>56.1258145915968</v>
      </c>
      <c r="X894" s="343"/>
      <c r="Y894" s="367" t="str">
        <f t="shared" ca="1" si="399"/>
        <v/>
      </c>
      <c r="Z894" s="368" t="str">
        <f t="shared" ca="1" si="400"/>
        <v/>
      </c>
      <c r="AA894" s="369" t="str">
        <f t="shared" ca="1" si="401"/>
        <v/>
      </c>
      <c r="AB894" s="344"/>
      <c r="AC894" s="363" t="e">
        <f t="shared" ca="1" si="402"/>
        <v>#N/A</v>
      </c>
      <c r="AD894" s="376" t="e">
        <f t="shared" ca="1" si="403"/>
        <v>#N/A</v>
      </c>
      <c r="AE894" s="377" t="e">
        <f t="shared" ca="1" si="382"/>
        <v>#N/A</v>
      </c>
      <c r="AF894" s="344"/>
      <c r="AG894" s="359">
        <f t="shared" ca="1" si="404"/>
        <v>3.0374571354580828</v>
      </c>
      <c r="AH894" s="357">
        <f t="shared" ca="1" si="405"/>
        <v>-6.6959534415500004</v>
      </c>
    </row>
    <row r="895" spans="1:34" x14ac:dyDescent="0.2">
      <c r="A895" s="402">
        <f t="shared" ca="1" si="383"/>
        <v>1E-4</v>
      </c>
      <c r="B895" s="357">
        <f t="shared" ca="1" si="384"/>
        <v>35.31780000000078</v>
      </c>
      <c r="C895" s="342"/>
      <c r="D895" s="359">
        <f t="shared" ca="1" si="385"/>
        <v>-0.83507859124292083</v>
      </c>
      <c r="E895" s="360">
        <f t="shared" ca="1" si="386"/>
        <v>-3.1662835683218304</v>
      </c>
      <c r="F895" s="357">
        <f t="shared" ca="1" si="387"/>
        <v>3.2745546091914677</v>
      </c>
      <c r="G895" s="359">
        <f t="shared" ca="1" si="388"/>
        <v>16.370578590814105</v>
      </c>
      <c r="H895" s="360">
        <f t="shared" ca="1" si="389"/>
        <v>-130.24199438532847</v>
      </c>
      <c r="I895" s="357">
        <f t="shared" ca="1" si="390"/>
        <v>131.26680061944816</v>
      </c>
      <c r="J895" s="359">
        <f t="shared" ca="1" si="391"/>
        <v>953.1802660510491</v>
      </c>
      <c r="K895" s="360">
        <f t="shared" ca="1" si="392"/>
        <v>-10.57973344060539</v>
      </c>
      <c r="L895" s="357">
        <f t="shared" ca="1" si="377"/>
        <v>953.23897861387468</v>
      </c>
      <c r="M895" s="359">
        <f t="shared" ca="1" si="393"/>
        <v>-1.4457585109615956</v>
      </c>
      <c r="N895" s="357">
        <f t="shared" ca="1" si="394"/>
        <v>-82.835860873217797</v>
      </c>
      <c r="O895" s="343"/>
      <c r="P895" s="363">
        <f t="shared" ca="1" si="395"/>
        <v>23</v>
      </c>
      <c r="Q895" s="357">
        <f t="shared" ca="1" si="396"/>
        <v>0</v>
      </c>
      <c r="R895" s="359">
        <f t="shared" ca="1" si="397"/>
        <v>0</v>
      </c>
      <c r="S895" s="360">
        <f t="shared" ca="1" si="398"/>
        <v>8.3819999999999997</v>
      </c>
      <c r="T895" s="357">
        <f t="shared" ca="1" si="378"/>
        <v>82.227419999999995</v>
      </c>
      <c r="U895" s="364">
        <f t="shared" ca="1" si="379"/>
        <v>0</v>
      </c>
      <c r="V895" s="359">
        <f t="shared" ca="1" si="380"/>
        <v>1.2262967032852297</v>
      </c>
      <c r="W895" s="357">
        <f t="shared" ca="1" si="381"/>
        <v>56.126147434373841</v>
      </c>
      <c r="X895" s="343"/>
      <c r="Y895" s="367" t="str">
        <f t="shared" ca="1" si="399"/>
        <v/>
      </c>
      <c r="Z895" s="368" t="str">
        <f t="shared" ca="1" si="400"/>
        <v/>
      </c>
      <c r="AA895" s="369" t="str">
        <f t="shared" ca="1" si="401"/>
        <v/>
      </c>
      <c r="AB895" s="344"/>
      <c r="AC895" s="363" t="e">
        <f t="shared" ca="1" si="402"/>
        <v>#N/A</v>
      </c>
      <c r="AD895" s="376" t="e">
        <f t="shared" ca="1" si="403"/>
        <v>#N/A</v>
      </c>
      <c r="AE895" s="377" t="e">
        <f t="shared" ca="1" si="382"/>
        <v>#N/A</v>
      </c>
      <c r="AF895" s="344"/>
      <c r="AG895" s="359">
        <f t="shared" ca="1" si="404"/>
        <v>3.0374185663038684</v>
      </c>
      <c r="AH895" s="357">
        <f t="shared" ca="1" si="405"/>
        <v>-6.6959931509898354</v>
      </c>
    </row>
    <row r="896" spans="1:34" x14ac:dyDescent="0.2">
      <c r="A896" s="402">
        <f t="shared" ca="1" si="383"/>
        <v>1E-4</v>
      </c>
      <c r="B896" s="357">
        <f t="shared" ca="1" si="384"/>
        <v>35.317900000000783</v>
      </c>
      <c r="C896" s="342"/>
      <c r="D896" s="359">
        <f t="shared" ca="1" si="385"/>
        <v>-0.83507735137626038</v>
      </c>
      <c r="E896" s="360">
        <f t="shared" ca="1" si="386"/>
        <v>-3.1662433907931202</v>
      </c>
      <c r="F896" s="357">
        <f t="shared" ca="1" si="387"/>
        <v>3.2745154439279571</v>
      </c>
      <c r="G896" s="359">
        <f t="shared" ca="1" si="388"/>
        <v>16.370495083078968</v>
      </c>
      <c r="H896" s="360">
        <f t="shared" ca="1" si="389"/>
        <v>-130.24231100966756</v>
      </c>
      <c r="I896" s="357">
        <f t="shared" ca="1" si="390"/>
        <v>131.26710435750491</v>
      </c>
      <c r="J896" s="359">
        <f t="shared" ca="1" si="391"/>
        <v>953.1802660510491</v>
      </c>
      <c r="K896" s="360">
        <f t="shared" ca="1" si="392"/>
        <v>-10.59275765587514</v>
      </c>
      <c r="L896" s="357">
        <f t="shared" ca="1" si="377"/>
        <v>953.23912325497054</v>
      </c>
      <c r="M896" s="359">
        <f t="shared" ca="1" si="393"/>
        <v>-1.4457594429751557</v>
      </c>
      <c r="N896" s="357">
        <f t="shared" ca="1" si="394"/>
        <v>-82.835914273661231</v>
      </c>
      <c r="O896" s="343"/>
      <c r="P896" s="363">
        <f t="shared" ca="1" si="395"/>
        <v>23</v>
      </c>
      <c r="Q896" s="357">
        <f t="shared" ca="1" si="396"/>
        <v>0</v>
      </c>
      <c r="R896" s="359">
        <f t="shared" ca="1" si="397"/>
        <v>0</v>
      </c>
      <c r="S896" s="360">
        <f t="shared" ca="1" si="398"/>
        <v>8.3819999999999997</v>
      </c>
      <c r="T896" s="357">
        <f t="shared" ca="1" si="378"/>
        <v>82.227419999999995</v>
      </c>
      <c r="U896" s="364">
        <f t="shared" ca="1" si="379"/>
        <v>0</v>
      </c>
      <c r="V896" s="359">
        <f t="shared" ca="1" si="380"/>
        <v>1.2262983004419421</v>
      </c>
      <c r="W896" s="357">
        <f t="shared" ca="1" si="381"/>
        <v>56.126480275403253</v>
      </c>
      <c r="X896" s="343"/>
      <c r="Y896" s="367" t="str">
        <f t="shared" ca="1" si="399"/>
        <v/>
      </c>
      <c r="Z896" s="368" t="str">
        <f t="shared" ca="1" si="400"/>
        <v/>
      </c>
      <c r="AA896" s="369" t="str">
        <f t="shared" ca="1" si="401"/>
        <v/>
      </c>
      <c r="AB896" s="344"/>
      <c r="AC896" s="363" t="e">
        <f t="shared" ca="1" si="402"/>
        <v>#N/A</v>
      </c>
      <c r="AD896" s="376" t="e">
        <f t="shared" ca="1" si="403"/>
        <v>#N/A</v>
      </c>
      <c r="AE896" s="377" t="e">
        <f t="shared" ca="1" si="382"/>
        <v>#N/A</v>
      </c>
      <c r="AF896" s="344"/>
      <c r="AG896" s="359">
        <f t="shared" ca="1" si="404"/>
        <v>3.037379997338606</v>
      </c>
      <c r="AH896" s="357">
        <f t="shared" ca="1" si="405"/>
        <v>-6.6960328602211696</v>
      </c>
    </row>
    <row r="897" spans="1:34" x14ac:dyDescent="0.2">
      <c r="A897" s="402">
        <f t="shared" ca="1" si="383"/>
        <v>1E-4</v>
      </c>
      <c r="B897" s="357">
        <f t="shared" ca="1" si="384"/>
        <v>35.318000000000787</v>
      </c>
      <c r="C897" s="342"/>
      <c r="D897" s="359">
        <f t="shared" ca="1" si="385"/>
        <v>-0.83507611146967253</v>
      </c>
      <c r="E897" s="360">
        <f t="shared" ca="1" si="386"/>
        <v>-3.1662032134753924</v>
      </c>
      <c r="F897" s="357">
        <f t="shared" ca="1" si="387"/>
        <v>3.2744762788832675</v>
      </c>
      <c r="G897" s="359">
        <f t="shared" ca="1" si="388"/>
        <v>16.37041157546782</v>
      </c>
      <c r="H897" s="360">
        <f t="shared" ca="1" si="389"/>
        <v>-130.2426276299889</v>
      </c>
      <c r="I897" s="357">
        <f t="shared" ca="1" si="390"/>
        <v>131.26740809170477</v>
      </c>
      <c r="J897" s="359">
        <f t="shared" ca="1" si="391"/>
        <v>953.1802660510491</v>
      </c>
      <c r="K897" s="360">
        <f t="shared" ca="1" si="392"/>
        <v>-10.605781902807122</v>
      </c>
      <c r="L897" s="357">
        <f t="shared" ca="1" si="377"/>
        <v>953.23926807434805</v>
      </c>
      <c r="M897" s="359">
        <f t="shared" ca="1" si="393"/>
        <v>-1.4457603749796484</v>
      </c>
      <c r="N897" s="357">
        <f t="shared" ca="1" si="394"/>
        <v>-82.835967673585159</v>
      </c>
      <c r="O897" s="343"/>
      <c r="P897" s="363">
        <f t="shared" ca="1" si="395"/>
        <v>23</v>
      </c>
      <c r="Q897" s="357">
        <f t="shared" ca="1" si="396"/>
        <v>0</v>
      </c>
      <c r="R897" s="359">
        <f t="shared" ca="1" si="397"/>
        <v>0</v>
      </c>
      <c r="S897" s="360">
        <f t="shared" ca="1" si="398"/>
        <v>8.3819999999999997</v>
      </c>
      <c r="T897" s="357">
        <f t="shared" ca="1" si="378"/>
        <v>82.227419999999995</v>
      </c>
      <c r="U897" s="364">
        <f t="shared" ca="1" si="379"/>
        <v>0</v>
      </c>
      <c r="V897" s="359">
        <f t="shared" ca="1" si="380"/>
        <v>1.2262998976046184</v>
      </c>
      <c r="W897" s="357">
        <f t="shared" ca="1" si="381"/>
        <v>56.126813114684992</v>
      </c>
      <c r="X897" s="343"/>
      <c r="Y897" s="367" t="str">
        <f t="shared" ca="1" si="399"/>
        <v/>
      </c>
      <c r="Z897" s="368" t="str">
        <f t="shared" ca="1" si="400"/>
        <v/>
      </c>
      <c r="AA897" s="369" t="str">
        <f t="shared" ca="1" si="401"/>
        <v/>
      </c>
      <c r="AB897" s="344"/>
      <c r="AC897" s="363" t="e">
        <f t="shared" ca="1" si="402"/>
        <v>#N/A</v>
      </c>
      <c r="AD897" s="376" t="e">
        <f t="shared" ca="1" si="403"/>
        <v>#N/A</v>
      </c>
      <c r="AE897" s="377" t="e">
        <f t="shared" ca="1" si="382"/>
        <v>#N/A</v>
      </c>
      <c r="AF897" s="344"/>
      <c r="AG897" s="359">
        <f t="shared" ca="1" si="404"/>
        <v>3.0373414285622964</v>
      </c>
      <c r="AH897" s="357">
        <f t="shared" ca="1" si="405"/>
        <v>-6.6960725692440057</v>
      </c>
    </row>
    <row r="898" spans="1:34" x14ac:dyDescent="0.2">
      <c r="A898" s="402">
        <f t="shared" ca="1" si="383"/>
        <v>1E-4</v>
      </c>
      <c r="B898" s="357">
        <f t="shared" ca="1" si="384"/>
        <v>35.31810000000079</v>
      </c>
      <c r="C898" s="342"/>
      <c r="D898" s="359">
        <f t="shared" ca="1" si="385"/>
        <v>-0.8350748715231584</v>
      </c>
      <c r="E898" s="360">
        <f t="shared" ca="1" si="386"/>
        <v>-3.1661630363686522</v>
      </c>
      <c r="F898" s="357">
        <f t="shared" ca="1" si="387"/>
        <v>3.2744371140574042</v>
      </c>
      <c r="G898" s="359">
        <f t="shared" ca="1" si="388"/>
        <v>16.370328067980669</v>
      </c>
      <c r="H898" s="360">
        <f t="shared" ca="1" si="389"/>
        <v>-130.24294424629255</v>
      </c>
      <c r="I898" s="357">
        <f t="shared" ca="1" si="390"/>
        <v>131.2677118220478</v>
      </c>
      <c r="J898" s="359">
        <f t="shared" ca="1" si="391"/>
        <v>953.1802660510491</v>
      </c>
      <c r="K898" s="360">
        <f t="shared" ca="1" si="392"/>
        <v>-10.618806181400936</v>
      </c>
      <c r="L898" s="357">
        <f t="shared" ca="1" si="377"/>
        <v>953.23941307200835</v>
      </c>
      <c r="M898" s="359">
        <f t="shared" ca="1" si="393"/>
        <v>-1.4457613069750737</v>
      </c>
      <c r="N898" s="357">
        <f t="shared" ca="1" si="394"/>
        <v>-82.836021072989553</v>
      </c>
      <c r="O898" s="343"/>
      <c r="P898" s="363">
        <f t="shared" ca="1" si="395"/>
        <v>23</v>
      </c>
      <c r="Q898" s="357">
        <f t="shared" ca="1" si="396"/>
        <v>0</v>
      </c>
      <c r="R898" s="359">
        <f t="shared" ca="1" si="397"/>
        <v>0</v>
      </c>
      <c r="S898" s="360">
        <f t="shared" ca="1" si="398"/>
        <v>8.3819999999999997</v>
      </c>
      <c r="T898" s="357">
        <f t="shared" ca="1" si="378"/>
        <v>82.227419999999995</v>
      </c>
      <c r="U898" s="364">
        <f t="shared" ca="1" si="379"/>
        <v>0</v>
      </c>
      <c r="V898" s="359">
        <f t="shared" ca="1" si="380"/>
        <v>1.2263014947732587</v>
      </c>
      <c r="W898" s="357">
        <f t="shared" ca="1" si="381"/>
        <v>56.127145952219095</v>
      </c>
      <c r="X898" s="343"/>
      <c r="Y898" s="367" t="str">
        <f t="shared" ca="1" si="399"/>
        <v/>
      </c>
      <c r="Z898" s="368" t="str">
        <f t="shared" ca="1" si="400"/>
        <v/>
      </c>
      <c r="AA898" s="369" t="str">
        <f t="shared" ca="1" si="401"/>
        <v/>
      </c>
      <c r="AB898" s="344"/>
      <c r="AC898" s="363" t="e">
        <f t="shared" ca="1" si="402"/>
        <v>#N/A</v>
      </c>
      <c r="AD898" s="376" t="e">
        <f t="shared" ca="1" si="403"/>
        <v>#N/A</v>
      </c>
      <c r="AE898" s="377" t="e">
        <f t="shared" ca="1" si="382"/>
        <v>#N/A</v>
      </c>
      <c r="AF898" s="344"/>
      <c r="AG898" s="359">
        <f t="shared" ca="1" si="404"/>
        <v>3.0373028599749397</v>
      </c>
      <c r="AH898" s="357">
        <f t="shared" ca="1" si="405"/>
        <v>-6.6961122780583384</v>
      </c>
    </row>
    <row r="899" spans="1:34" x14ac:dyDescent="0.2">
      <c r="A899" s="402">
        <f t="shared" ca="1" si="383"/>
        <v>1E-4</v>
      </c>
      <c r="B899" s="357">
        <f t="shared" ca="1" si="384"/>
        <v>35.318200000000793</v>
      </c>
      <c r="C899" s="342"/>
      <c r="D899" s="359">
        <f t="shared" ca="1" si="385"/>
        <v>-0.8350736315367201</v>
      </c>
      <c r="E899" s="360">
        <f t="shared" ca="1" si="386"/>
        <v>-3.1661228594728952</v>
      </c>
      <c r="F899" s="357">
        <f t="shared" ca="1" si="387"/>
        <v>3.2743979494503637</v>
      </c>
      <c r="G899" s="359">
        <f t="shared" ca="1" si="388"/>
        <v>16.370244560617515</v>
      </c>
      <c r="H899" s="360">
        <f t="shared" ca="1" si="389"/>
        <v>-130.24326085857851</v>
      </c>
      <c r="I899" s="357">
        <f t="shared" ca="1" si="390"/>
        <v>131.26801554853398</v>
      </c>
      <c r="J899" s="359">
        <f t="shared" ca="1" si="391"/>
        <v>953.1802660510491</v>
      </c>
      <c r="K899" s="360">
        <f t="shared" ca="1" si="392"/>
        <v>-10.63183049165618</v>
      </c>
      <c r="L899" s="357">
        <f t="shared" ca="1" si="377"/>
        <v>953.2395582479528</v>
      </c>
      <c r="M899" s="359">
        <f t="shared" ca="1" si="393"/>
        <v>-1.445762238961432</v>
      </c>
      <c r="N899" s="357">
        <f t="shared" ca="1" si="394"/>
        <v>-82.83607447187444</v>
      </c>
      <c r="O899" s="343"/>
      <c r="P899" s="363">
        <f t="shared" ca="1" si="395"/>
        <v>23</v>
      </c>
      <c r="Q899" s="357">
        <f t="shared" ca="1" si="396"/>
        <v>0</v>
      </c>
      <c r="R899" s="359">
        <f t="shared" ca="1" si="397"/>
        <v>0</v>
      </c>
      <c r="S899" s="360">
        <f t="shared" ca="1" si="398"/>
        <v>8.3819999999999997</v>
      </c>
      <c r="T899" s="357">
        <f t="shared" ca="1" si="378"/>
        <v>82.227419999999995</v>
      </c>
      <c r="U899" s="364">
        <f t="shared" ca="1" si="379"/>
        <v>0</v>
      </c>
      <c r="V899" s="359">
        <f t="shared" ca="1" si="380"/>
        <v>1.2263030919478632</v>
      </c>
      <c r="W899" s="357">
        <f t="shared" ca="1" si="381"/>
        <v>56.127478788005519</v>
      </c>
      <c r="X899" s="343"/>
      <c r="Y899" s="367" t="str">
        <f t="shared" ca="1" si="399"/>
        <v/>
      </c>
      <c r="Z899" s="368" t="str">
        <f t="shared" ca="1" si="400"/>
        <v/>
      </c>
      <c r="AA899" s="369" t="str">
        <f t="shared" ca="1" si="401"/>
        <v/>
      </c>
      <c r="AB899" s="344"/>
      <c r="AC899" s="363" t="e">
        <f t="shared" ca="1" si="402"/>
        <v>#N/A</v>
      </c>
      <c r="AD899" s="376" t="e">
        <f t="shared" ca="1" si="403"/>
        <v>#N/A</v>
      </c>
      <c r="AE899" s="377" t="e">
        <f t="shared" ca="1" si="382"/>
        <v>#N/A</v>
      </c>
      <c r="AF899" s="344"/>
      <c r="AG899" s="359">
        <f t="shared" ca="1" si="404"/>
        <v>3.0372642915765322</v>
      </c>
      <c r="AH899" s="357">
        <f t="shared" ca="1" si="405"/>
        <v>-6.696151986664173</v>
      </c>
    </row>
    <row r="900" spans="1:34" x14ac:dyDescent="0.2">
      <c r="A900" s="402">
        <f t="shared" ca="1" si="383"/>
        <v>1E-4</v>
      </c>
      <c r="B900" s="357">
        <f t="shared" ca="1" si="384"/>
        <v>35.318300000000797</v>
      </c>
      <c r="C900" s="342"/>
      <c r="D900" s="359">
        <f t="shared" ca="1" si="385"/>
        <v>-0.83507239151035584</v>
      </c>
      <c r="E900" s="360">
        <f t="shared" ca="1" si="386"/>
        <v>-3.1660826827881268</v>
      </c>
      <c r="F900" s="357">
        <f t="shared" ca="1" si="387"/>
        <v>3.2743587850621512</v>
      </c>
      <c r="G900" s="359">
        <f t="shared" ca="1" si="388"/>
        <v>16.370161053378364</v>
      </c>
      <c r="H900" s="360">
        <f t="shared" ca="1" si="389"/>
        <v>-130.2435774668468</v>
      </c>
      <c r="I900" s="357">
        <f t="shared" ca="1" si="390"/>
        <v>131.26831927116334</v>
      </c>
      <c r="J900" s="359">
        <f t="shared" ca="1" si="391"/>
        <v>953.1802660510491</v>
      </c>
      <c r="K900" s="360">
        <f t="shared" ca="1" si="392"/>
        <v>-10.644854833572451</v>
      </c>
      <c r="L900" s="357">
        <f t="shared" ref="L900:L963" ca="1" si="406">SQRT(pos_x^2+pos_z^2)</f>
        <v>953.23970360218243</v>
      </c>
      <c r="M900" s="359">
        <f t="shared" ca="1" si="393"/>
        <v>-1.4457631709387233</v>
      </c>
      <c r="N900" s="357">
        <f t="shared" ca="1" si="394"/>
        <v>-82.836127870239835</v>
      </c>
      <c r="O900" s="343"/>
      <c r="P900" s="363">
        <f t="shared" ca="1" si="395"/>
        <v>23</v>
      </c>
      <c r="Q900" s="357">
        <f t="shared" ca="1" si="396"/>
        <v>0</v>
      </c>
      <c r="R900" s="359">
        <f t="shared" ca="1" si="397"/>
        <v>0</v>
      </c>
      <c r="S900" s="360">
        <f t="shared" ca="1" si="398"/>
        <v>8.3819999999999997</v>
      </c>
      <c r="T900" s="357">
        <f t="shared" ref="T900:T963" ca="1" si="407">m*g</f>
        <v>82.227419999999995</v>
      </c>
      <c r="U900" s="364">
        <f t="shared" ref="U900:U963" ca="1" si="408">IF(pos_xz&lt;L_rampe,Poids*COS(Beta),0)</f>
        <v>0</v>
      </c>
      <c r="V900" s="359">
        <f t="shared" ref="V900:V963" ca="1" si="409">Rho_moyen*(20000-Alt_rampe-pos_z)/(20000+Alt_rampe+pos_z)</f>
        <v>1.2263046891284315</v>
      </c>
      <c r="W900" s="357">
        <f t="shared" ref="W900:W963" ca="1" si="410">1/2*Rho*Sref*Cx*vit_xz^2</f>
        <v>56.127811622044234</v>
      </c>
      <c r="X900" s="343"/>
      <c r="Y900" s="367" t="str">
        <f t="shared" ca="1" si="399"/>
        <v/>
      </c>
      <c r="Z900" s="368" t="str">
        <f t="shared" ca="1" si="400"/>
        <v/>
      </c>
      <c r="AA900" s="369" t="str">
        <f t="shared" ca="1" si="401"/>
        <v/>
      </c>
      <c r="AB900" s="344"/>
      <c r="AC900" s="363" t="e">
        <f t="shared" ca="1" si="402"/>
        <v>#N/A</v>
      </c>
      <c r="AD900" s="376" t="e">
        <f t="shared" ca="1" si="403"/>
        <v>#N/A</v>
      </c>
      <c r="AE900" s="377" t="e">
        <f t="shared" ref="AE900:AE963" ca="1" si="411">IF(t&lt;T_para, pos_z, NA())</f>
        <v>#N/A</v>
      </c>
      <c r="AF900" s="344"/>
      <c r="AG900" s="359">
        <f t="shared" ca="1" si="404"/>
        <v>3.0372257233670839</v>
      </c>
      <c r="AH900" s="357">
        <f t="shared" ca="1" si="405"/>
        <v>-6.6961916950615032</v>
      </c>
    </row>
    <row r="901" spans="1:34" x14ac:dyDescent="0.2">
      <c r="A901" s="402">
        <f t="shared" ref="A901:A964" ca="1" si="412">IF(B900+0.01&lt;=T_ini+ROUNDUP(Temps_fin_propu,0), 0.01, IF(K900&gt;0, 0.1, 0.0001))</f>
        <v>1E-4</v>
      </c>
      <c r="B901" s="357">
        <f t="shared" ref="B901:B964" ca="1" si="413">B900+pas</f>
        <v>35.3184000000008</v>
      </c>
      <c r="C901" s="342"/>
      <c r="D901" s="359">
        <f t="shared" ref="D901:D964" ca="1" si="414">IF(AND(L900&lt;L_rampe,Poussee&lt;Poids*SIN(M900)),0,(-W900+Poussee)/m*COS(M900)-U900/m*SIN(M900))</f>
        <v>-0.83507115144406685</v>
      </c>
      <c r="E901" s="360">
        <f t="shared" ref="E901:E964" ca="1" si="415">IF(AND(L900&lt;L_rampe,Poussee&lt;Poids*SIN(M900)),0,(-W900+Poussee)/m*SIN(M900)+U900/m*COS(M900)-Poids/m)</f>
        <v>-3.1660425063143496</v>
      </c>
      <c r="F901" s="357">
        <f t="shared" ref="F901:F964" ca="1" si="416">SQRT(acc_x^2+acc_z^2)</f>
        <v>3.2743196208927694</v>
      </c>
      <c r="G901" s="359">
        <f t="shared" ref="G901:G964" ca="1" si="417">G900+acc_x*pas</f>
        <v>16.370077546263222</v>
      </c>
      <c r="H901" s="360">
        <f t="shared" ref="H901:H964" ca="1" si="418">H900+acc_z*pas</f>
        <v>-130.24389407109743</v>
      </c>
      <c r="I901" s="357">
        <f t="shared" ref="I901:I964" ca="1" si="419">SQRT(vit_x^2+vit_z^2)</f>
        <v>131.26862298993586</v>
      </c>
      <c r="J901" s="359">
        <f t="shared" ref="J901:J964" ca="1" si="420">J900+0.5*(vit_x+G900)*pas*(K900&gt;=0)</f>
        <v>953.1802660510491</v>
      </c>
      <c r="K901" s="360">
        <f t="shared" ref="K901:K964" ca="1" si="421">K900+0.5*(vit_z+H900)*pas</f>
        <v>-10.657879207149348</v>
      </c>
      <c r="L901" s="357">
        <f t="shared" ca="1" si="406"/>
        <v>953.2398491346986</v>
      </c>
      <c r="M901" s="359">
        <f t="shared" ref="M901:M964" ca="1" si="422">IF(AND(L900&gt;L_rampe,G901&gt;0),ATAN2(G901,H901),$M$4)</f>
        <v>-1.4457641029069479</v>
      </c>
      <c r="N901" s="357">
        <f t="shared" ref="N901:N964" ca="1" si="423">DEGREES(Beta)</f>
        <v>-82.836181268085753</v>
      </c>
      <c r="O901" s="343"/>
      <c r="P901" s="363">
        <f t="shared" ref="P901:P964" ca="1" si="424">MATCH(t-pas/2-T_ini,CdP_t)</f>
        <v>23</v>
      </c>
      <c r="Q901" s="357">
        <f t="shared" ref="Q901:Q964" ca="1" si="425">(INDEX(CdP,2,i_P+1)-INDEX(CdP,2,i_P+0))/(INDEX(CdP,1,i_P+1)-INDEX(CdP,1,i_P+0))*(t-pas/2-T_ini-INDEX(CdP,1,i_P+0))+INDEX(CdP,2,i_P+0)</f>
        <v>0</v>
      </c>
      <c r="R901" s="359">
        <f t="shared" ref="R901:R964" ca="1" si="426">Poussee/(g*ISP)</f>
        <v>0</v>
      </c>
      <c r="S901" s="360">
        <f t="shared" ref="S901:S964" ca="1" si="427">S900-Débit*pas</f>
        <v>8.3819999999999997</v>
      </c>
      <c r="T901" s="357">
        <f t="shared" ca="1" si="407"/>
        <v>82.227419999999995</v>
      </c>
      <c r="U901" s="364">
        <f t="shared" ca="1" si="408"/>
        <v>0</v>
      </c>
      <c r="V901" s="359">
        <f t="shared" ca="1" si="409"/>
        <v>1.2263062863149634</v>
      </c>
      <c r="W901" s="357">
        <f t="shared" ca="1" si="410"/>
        <v>56.128144454335214</v>
      </c>
      <c r="X901" s="343"/>
      <c r="Y901" s="367" t="str">
        <f t="shared" ref="Y901:Y964" ca="1" si="428">IF(AND(pos_z&lt;=0,K900&gt;0),"Impact balistique","") &amp; IF(AND(H902&lt;0,vit_z&gt;=0),"Apogée","") &amp; IF(AND(Poussee=0,Q900&gt;0),"Fin de propulsion","") &amp; IF(AND(L902&gt;L_rampe,pos_xz&lt;=L_rampe),"Sortie de rampe","")</f>
        <v/>
      </c>
      <c r="Z901" s="368" t="str">
        <f t="shared" ref="Z901:Z964" ca="1" si="429">IF(ABS(t-T_para)&lt;pas/2,"Para","")</f>
        <v/>
      </c>
      <c r="AA901" s="369" t="str">
        <f t="shared" ref="AA901:AA964" ca="1" si="430">IF(ABS(t-T_satellite)&lt;pas/2,"Satellite","")</f>
        <v/>
      </c>
      <c r="AB901" s="344"/>
      <c r="AC901" s="363" t="e">
        <f t="shared" ref="AC901:AC964" ca="1" si="431">IF(ABS(t-ROUND(t,0))&lt;0.001,t,NA())</f>
        <v>#N/A</v>
      </c>
      <c r="AD901" s="376" t="e">
        <f t="shared" ref="AD901:AD964" ca="1" si="432">IF(ABS(t-ROUND(t,0))&lt;0.001,pos_x,NA())</f>
        <v>#N/A</v>
      </c>
      <c r="AE901" s="377" t="e">
        <f t="shared" ca="1" si="411"/>
        <v>#N/A</v>
      </c>
      <c r="AF901" s="344"/>
      <c r="AG901" s="359">
        <f t="shared" ref="AG901:AG964" ca="1" si="433">IF(AND(L900&lt;L_rampe,Poussee&lt;Poids*SIN(M900)),0,(-W900+Poussee)/m-Poids*SIN(M900)/m)</f>
        <v>3.0371871553465937</v>
      </c>
      <c r="AH901" s="357">
        <f t="shared" ref="AH901:AH964" ca="1" si="434">IF(AND(L900&lt;L_rampe,Poussee&lt;Poids*SIN(M900)), g*SIN(M900), (-W900+Poussee)/m)</f>
        <v>-6.6962314032503265</v>
      </c>
    </row>
    <row r="902" spans="1:34" x14ac:dyDescent="0.2">
      <c r="A902" s="402">
        <f t="shared" ca="1" si="412"/>
        <v>1E-4</v>
      </c>
      <c r="B902" s="357">
        <f t="shared" ca="1" si="413"/>
        <v>35.318500000000803</v>
      </c>
      <c r="C902" s="342"/>
      <c r="D902" s="359">
        <f t="shared" ca="1" si="414"/>
        <v>-0.83506991133785269</v>
      </c>
      <c r="E902" s="360">
        <f t="shared" ca="1" si="415"/>
        <v>-3.1660023300515672</v>
      </c>
      <c r="F902" s="357">
        <f t="shared" ca="1" si="416"/>
        <v>3.2742804569422215</v>
      </c>
      <c r="G902" s="359">
        <f t="shared" ca="1" si="417"/>
        <v>16.369994039272086</v>
      </c>
      <c r="H902" s="360">
        <f t="shared" ca="1" si="418"/>
        <v>-130.24421067133042</v>
      </c>
      <c r="I902" s="357">
        <f t="shared" ca="1" si="419"/>
        <v>131.26892670485162</v>
      </c>
      <c r="J902" s="359">
        <f t="shared" ca="1" si="420"/>
        <v>953.1802660510491</v>
      </c>
      <c r="K902" s="360">
        <f t="shared" ca="1" si="421"/>
        <v>-10.67090361238647</v>
      </c>
      <c r="L902" s="357">
        <f t="shared" ca="1" si="406"/>
        <v>953.23999484550245</v>
      </c>
      <c r="M902" s="359">
        <f t="shared" ca="1" si="422"/>
        <v>-1.4457650348661057</v>
      </c>
      <c r="N902" s="357">
        <f t="shared" ca="1" si="423"/>
        <v>-82.836234665412178</v>
      </c>
      <c r="O902" s="343"/>
      <c r="P902" s="363">
        <f t="shared" ca="1" si="424"/>
        <v>23</v>
      </c>
      <c r="Q902" s="357">
        <f t="shared" ca="1" si="425"/>
        <v>0</v>
      </c>
      <c r="R902" s="359">
        <f t="shared" ca="1" si="426"/>
        <v>0</v>
      </c>
      <c r="S902" s="360">
        <f t="shared" ca="1" si="427"/>
        <v>8.3819999999999997</v>
      </c>
      <c r="T902" s="357">
        <f t="shared" ca="1" si="407"/>
        <v>82.227419999999995</v>
      </c>
      <c r="U902" s="364">
        <f t="shared" ca="1" si="408"/>
        <v>0</v>
      </c>
      <c r="V902" s="359">
        <f t="shared" ca="1" si="409"/>
        <v>1.2263078835074597</v>
      </c>
      <c r="W902" s="357">
        <f t="shared" ca="1" si="410"/>
        <v>56.1284772848785</v>
      </c>
      <c r="X902" s="343"/>
      <c r="Y902" s="367" t="str">
        <f t="shared" ca="1" si="428"/>
        <v/>
      </c>
      <c r="Z902" s="368" t="str">
        <f t="shared" ca="1" si="429"/>
        <v/>
      </c>
      <c r="AA902" s="369" t="str">
        <f t="shared" ca="1" si="430"/>
        <v/>
      </c>
      <c r="AB902" s="344"/>
      <c r="AC902" s="363" t="e">
        <f t="shared" ca="1" si="431"/>
        <v>#N/A</v>
      </c>
      <c r="AD902" s="376" t="e">
        <f t="shared" ca="1" si="432"/>
        <v>#N/A</v>
      </c>
      <c r="AE902" s="377" t="e">
        <f t="shared" ca="1" si="411"/>
        <v>#N/A</v>
      </c>
      <c r="AF902" s="344"/>
      <c r="AG902" s="359">
        <f t="shared" ca="1" si="433"/>
        <v>3.0371485875150706</v>
      </c>
      <c r="AH902" s="357">
        <f t="shared" ca="1" si="434"/>
        <v>-6.6962711112306392</v>
      </c>
    </row>
    <row r="903" spans="1:34" x14ac:dyDescent="0.2">
      <c r="A903" s="402">
        <f t="shared" ca="1" si="412"/>
        <v>1E-4</v>
      </c>
      <c r="B903" s="357">
        <f t="shared" ca="1" si="413"/>
        <v>35.318600000000806</v>
      </c>
      <c r="C903" s="342"/>
      <c r="D903" s="359">
        <f t="shared" ca="1" si="414"/>
        <v>-0.83506867119171591</v>
      </c>
      <c r="E903" s="360">
        <f t="shared" ca="1" si="415"/>
        <v>-3.1659621539997751</v>
      </c>
      <c r="F903" s="357">
        <f t="shared" ca="1" si="416"/>
        <v>3.2742412932105043</v>
      </c>
      <c r="G903" s="359">
        <f t="shared" ca="1" si="417"/>
        <v>16.369910532404965</v>
      </c>
      <c r="H903" s="360">
        <f t="shared" ca="1" si="418"/>
        <v>-130.24452726754583</v>
      </c>
      <c r="I903" s="357">
        <f t="shared" ca="1" si="419"/>
        <v>131.26923041591061</v>
      </c>
      <c r="J903" s="359">
        <f t="shared" ca="1" si="420"/>
        <v>953.1802660510491</v>
      </c>
      <c r="K903" s="360">
        <f t="shared" ca="1" si="421"/>
        <v>-10.683928049283413</v>
      </c>
      <c r="L903" s="357">
        <f t="shared" ca="1" si="406"/>
        <v>953.24014073459523</v>
      </c>
      <c r="M903" s="359">
        <f t="shared" ca="1" si="422"/>
        <v>-1.4457659668161971</v>
      </c>
      <c r="N903" s="357">
        <f t="shared" ca="1" si="423"/>
        <v>-82.836288062219126</v>
      </c>
      <c r="O903" s="343"/>
      <c r="P903" s="363">
        <f t="shared" ca="1" si="424"/>
        <v>23</v>
      </c>
      <c r="Q903" s="357">
        <f t="shared" ca="1" si="425"/>
        <v>0</v>
      </c>
      <c r="R903" s="359">
        <f t="shared" ca="1" si="426"/>
        <v>0</v>
      </c>
      <c r="S903" s="360">
        <f t="shared" ca="1" si="427"/>
        <v>8.3819999999999997</v>
      </c>
      <c r="T903" s="357">
        <f t="shared" ca="1" si="407"/>
        <v>82.227419999999995</v>
      </c>
      <c r="U903" s="364">
        <f t="shared" ca="1" si="408"/>
        <v>0</v>
      </c>
      <c r="V903" s="359">
        <f t="shared" ca="1" si="409"/>
        <v>1.2263094807059194</v>
      </c>
      <c r="W903" s="357">
        <f t="shared" ca="1" si="410"/>
        <v>56.128810113674021</v>
      </c>
      <c r="X903" s="343"/>
      <c r="Y903" s="367" t="str">
        <f t="shared" ca="1" si="428"/>
        <v/>
      </c>
      <c r="Z903" s="368" t="str">
        <f t="shared" ca="1" si="429"/>
        <v/>
      </c>
      <c r="AA903" s="369" t="str">
        <f t="shared" ca="1" si="430"/>
        <v/>
      </c>
      <c r="AB903" s="344"/>
      <c r="AC903" s="363" t="e">
        <f t="shared" ca="1" si="431"/>
        <v>#N/A</v>
      </c>
      <c r="AD903" s="376" t="e">
        <f t="shared" ca="1" si="432"/>
        <v>#N/A</v>
      </c>
      <c r="AE903" s="377" t="e">
        <f t="shared" ca="1" si="411"/>
        <v>#N/A</v>
      </c>
      <c r="AF903" s="344"/>
      <c r="AG903" s="359">
        <f t="shared" ca="1" si="433"/>
        <v>3.0371100198725065</v>
      </c>
      <c r="AH903" s="357">
        <f t="shared" ca="1" si="434"/>
        <v>-6.6963108190024458</v>
      </c>
    </row>
    <row r="904" spans="1:34" x14ac:dyDescent="0.2">
      <c r="A904" s="402">
        <f t="shared" ca="1" si="412"/>
        <v>1E-4</v>
      </c>
      <c r="B904" s="357">
        <f t="shared" ca="1" si="413"/>
        <v>35.31870000000081</v>
      </c>
      <c r="C904" s="342"/>
      <c r="D904" s="359">
        <f t="shared" ca="1" si="414"/>
        <v>-0.8350674310056555</v>
      </c>
      <c r="E904" s="360">
        <f t="shared" ca="1" si="415"/>
        <v>-3.1659219781589814</v>
      </c>
      <c r="F904" s="357">
        <f t="shared" ca="1" si="416"/>
        <v>3.2742021296976249</v>
      </c>
      <c r="G904" s="359">
        <f t="shared" ca="1" si="417"/>
        <v>16.369827025661866</v>
      </c>
      <c r="H904" s="360">
        <f t="shared" ca="1" si="418"/>
        <v>-130.24484385974364</v>
      </c>
      <c r="I904" s="357">
        <f t="shared" ca="1" si="419"/>
        <v>131.26953412311286</v>
      </c>
      <c r="J904" s="359">
        <f t="shared" ca="1" si="420"/>
        <v>953.1802660510491</v>
      </c>
      <c r="K904" s="360">
        <f t="shared" ca="1" si="421"/>
        <v>-10.696952517839778</v>
      </c>
      <c r="L904" s="357">
        <f t="shared" ca="1" si="406"/>
        <v>953.24028680197819</v>
      </c>
      <c r="M904" s="359">
        <f t="shared" ca="1" si="422"/>
        <v>-1.4457668987572216</v>
      </c>
      <c r="N904" s="357">
        <f t="shared" ca="1" si="423"/>
        <v>-82.836341458506581</v>
      </c>
      <c r="O904" s="343"/>
      <c r="P904" s="363">
        <f t="shared" ca="1" si="424"/>
        <v>23</v>
      </c>
      <c r="Q904" s="357">
        <f t="shared" ca="1" si="425"/>
        <v>0</v>
      </c>
      <c r="R904" s="359">
        <f t="shared" ca="1" si="426"/>
        <v>0</v>
      </c>
      <c r="S904" s="360">
        <f t="shared" ca="1" si="427"/>
        <v>8.3819999999999997</v>
      </c>
      <c r="T904" s="357">
        <f t="shared" ca="1" si="407"/>
        <v>82.227419999999995</v>
      </c>
      <c r="U904" s="364">
        <f t="shared" ca="1" si="408"/>
        <v>0</v>
      </c>
      <c r="V904" s="359">
        <f t="shared" ca="1" si="409"/>
        <v>1.2263110779103432</v>
      </c>
      <c r="W904" s="357">
        <f t="shared" ca="1" si="410"/>
        <v>56.129142940721813</v>
      </c>
      <c r="X904" s="343"/>
      <c r="Y904" s="367" t="str">
        <f t="shared" ca="1" si="428"/>
        <v/>
      </c>
      <c r="Z904" s="368" t="str">
        <f t="shared" ca="1" si="429"/>
        <v/>
      </c>
      <c r="AA904" s="369" t="str">
        <f t="shared" ca="1" si="430"/>
        <v/>
      </c>
      <c r="AB904" s="344"/>
      <c r="AC904" s="363" t="e">
        <f t="shared" ca="1" si="431"/>
        <v>#N/A</v>
      </c>
      <c r="AD904" s="376" t="e">
        <f t="shared" ca="1" si="432"/>
        <v>#N/A</v>
      </c>
      <c r="AE904" s="377" t="e">
        <f t="shared" ca="1" si="411"/>
        <v>#N/A</v>
      </c>
      <c r="AF904" s="344"/>
      <c r="AG904" s="359">
        <f t="shared" ca="1" si="433"/>
        <v>3.0370714524189104</v>
      </c>
      <c r="AH904" s="357">
        <f t="shared" ca="1" si="434"/>
        <v>-6.6963505265657393</v>
      </c>
    </row>
    <row r="905" spans="1:34" x14ac:dyDescent="0.2">
      <c r="A905" s="402">
        <f t="shared" ca="1" si="412"/>
        <v>1E-4</v>
      </c>
      <c r="B905" s="357">
        <f t="shared" ca="1" si="413"/>
        <v>35.318800000000813</v>
      </c>
      <c r="C905" s="342"/>
      <c r="D905" s="359">
        <f t="shared" ca="1" si="414"/>
        <v>-0.83506619077967514</v>
      </c>
      <c r="E905" s="360">
        <f t="shared" ca="1" si="415"/>
        <v>-3.1658818025291824</v>
      </c>
      <c r="F905" s="357">
        <f t="shared" ca="1" si="416"/>
        <v>3.2741629664035816</v>
      </c>
      <c r="G905" s="359">
        <f t="shared" ca="1" si="417"/>
        <v>16.369743519042789</v>
      </c>
      <c r="H905" s="360">
        <f t="shared" ca="1" si="418"/>
        <v>-130.24516044792389</v>
      </c>
      <c r="I905" s="357">
        <f t="shared" ca="1" si="419"/>
        <v>131.2698378264584</v>
      </c>
      <c r="J905" s="359">
        <f t="shared" ca="1" si="420"/>
        <v>953.1802660510491</v>
      </c>
      <c r="K905" s="360">
        <f t="shared" ca="1" si="421"/>
        <v>-10.709977018055161</v>
      </c>
      <c r="L905" s="357">
        <f t="shared" ca="1" si="406"/>
        <v>953.24043304765246</v>
      </c>
      <c r="M905" s="359">
        <f t="shared" ca="1" si="422"/>
        <v>-1.4457678306891801</v>
      </c>
      <c r="N905" s="357">
        <f t="shared" ca="1" si="423"/>
        <v>-82.836394854274602</v>
      </c>
      <c r="O905" s="343"/>
      <c r="P905" s="363">
        <f t="shared" ca="1" si="424"/>
        <v>23</v>
      </c>
      <c r="Q905" s="357">
        <f t="shared" ca="1" si="425"/>
        <v>0</v>
      </c>
      <c r="R905" s="359">
        <f t="shared" ca="1" si="426"/>
        <v>0</v>
      </c>
      <c r="S905" s="360">
        <f t="shared" ca="1" si="427"/>
        <v>8.3819999999999997</v>
      </c>
      <c r="T905" s="357">
        <f t="shared" ca="1" si="407"/>
        <v>82.227419999999995</v>
      </c>
      <c r="U905" s="364">
        <f t="shared" ca="1" si="408"/>
        <v>0</v>
      </c>
      <c r="V905" s="359">
        <f t="shared" ca="1" si="409"/>
        <v>1.2263126751207305</v>
      </c>
      <c r="W905" s="357">
        <f t="shared" ca="1" si="410"/>
        <v>56.129475766021827</v>
      </c>
      <c r="X905" s="343"/>
      <c r="Y905" s="367" t="str">
        <f t="shared" ca="1" si="428"/>
        <v/>
      </c>
      <c r="Z905" s="368" t="str">
        <f t="shared" ca="1" si="429"/>
        <v/>
      </c>
      <c r="AA905" s="369" t="str">
        <f t="shared" ca="1" si="430"/>
        <v/>
      </c>
      <c r="AB905" s="344"/>
      <c r="AC905" s="363" t="e">
        <f t="shared" ca="1" si="431"/>
        <v>#N/A</v>
      </c>
      <c r="AD905" s="376" t="e">
        <f t="shared" ca="1" si="432"/>
        <v>#N/A</v>
      </c>
      <c r="AE905" s="377" t="e">
        <f t="shared" ca="1" si="411"/>
        <v>#N/A</v>
      </c>
      <c r="AF905" s="344"/>
      <c r="AG905" s="359">
        <f t="shared" ca="1" si="433"/>
        <v>3.0370328851542796</v>
      </c>
      <c r="AH905" s="357">
        <f t="shared" ca="1" si="434"/>
        <v>-6.6963902339205221</v>
      </c>
    </row>
    <row r="906" spans="1:34" x14ac:dyDescent="0.2">
      <c r="A906" s="402">
        <f t="shared" ca="1" si="412"/>
        <v>1E-4</v>
      </c>
      <c r="B906" s="357">
        <f t="shared" ca="1" si="413"/>
        <v>35.318900000000816</v>
      </c>
      <c r="C906" s="342"/>
      <c r="D906" s="359">
        <f t="shared" ca="1" si="414"/>
        <v>-0.83506495051377128</v>
      </c>
      <c r="E906" s="360">
        <f t="shared" ca="1" si="415"/>
        <v>-3.1658416271103844</v>
      </c>
      <c r="F906" s="357">
        <f t="shared" ca="1" si="416"/>
        <v>3.2741238033283793</v>
      </c>
      <c r="G906" s="359">
        <f t="shared" ca="1" si="417"/>
        <v>16.369660012547737</v>
      </c>
      <c r="H906" s="360">
        <f t="shared" ca="1" si="418"/>
        <v>-130.2454770320866</v>
      </c>
      <c r="I906" s="357">
        <f t="shared" ca="1" si="419"/>
        <v>131.2701415259472</v>
      </c>
      <c r="J906" s="359">
        <f t="shared" ca="1" si="420"/>
        <v>953.1802660510491</v>
      </c>
      <c r="K906" s="360">
        <f t="shared" ca="1" si="421"/>
        <v>-10.723001549929162</v>
      </c>
      <c r="L906" s="357">
        <f t="shared" ca="1" si="406"/>
        <v>953.2405794716193</v>
      </c>
      <c r="M906" s="359">
        <f t="shared" ca="1" si="422"/>
        <v>-1.4457687626120725</v>
      </c>
      <c r="N906" s="357">
        <f t="shared" ca="1" si="423"/>
        <v>-82.836448249523173</v>
      </c>
      <c r="O906" s="343"/>
      <c r="P906" s="363">
        <f t="shared" ca="1" si="424"/>
        <v>23</v>
      </c>
      <c r="Q906" s="357">
        <f t="shared" ca="1" si="425"/>
        <v>0</v>
      </c>
      <c r="R906" s="359">
        <f t="shared" ca="1" si="426"/>
        <v>0</v>
      </c>
      <c r="S906" s="360">
        <f t="shared" ca="1" si="427"/>
        <v>8.3819999999999997</v>
      </c>
      <c r="T906" s="357">
        <f t="shared" ca="1" si="407"/>
        <v>82.227419999999995</v>
      </c>
      <c r="U906" s="364">
        <f t="shared" ca="1" si="408"/>
        <v>0</v>
      </c>
      <c r="V906" s="359">
        <f t="shared" ca="1" si="409"/>
        <v>1.2263142723370819</v>
      </c>
      <c r="W906" s="357">
        <f t="shared" ca="1" si="410"/>
        <v>56.129808589574047</v>
      </c>
      <c r="X906" s="343"/>
      <c r="Y906" s="367" t="str">
        <f t="shared" ca="1" si="428"/>
        <v/>
      </c>
      <c r="Z906" s="368" t="str">
        <f t="shared" ca="1" si="429"/>
        <v/>
      </c>
      <c r="AA906" s="369" t="str">
        <f t="shared" ca="1" si="430"/>
        <v/>
      </c>
      <c r="AB906" s="344"/>
      <c r="AC906" s="363" t="e">
        <f t="shared" ca="1" si="431"/>
        <v>#N/A</v>
      </c>
      <c r="AD906" s="376" t="e">
        <f t="shared" ca="1" si="432"/>
        <v>#N/A</v>
      </c>
      <c r="AE906" s="377" t="e">
        <f t="shared" ca="1" si="411"/>
        <v>#N/A</v>
      </c>
      <c r="AF906" s="344"/>
      <c r="AG906" s="359">
        <f t="shared" ca="1" si="433"/>
        <v>3.0369943180786176</v>
      </c>
      <c r="AH906" s="357">
        <f t="shared" ca="1" si="434"/>
        <v>-6.6964299410667891</v>
      </c>
    </row>
    <row r="907" spans="1:34" x14ac:dyDescent="0.2">
      <c r="A907" s="402">
        <f t="shared" ca="1" si="412"/>
        <v>1E-4</v>
      </c>
      <c r="B907" s="357">
        <f t="shared" ca="1" si="413"/>
        <v>35.31900000000082</v>
      </c>
      <c r="C907" s="342"/>
      <c r="D907" s="359">
        <f t="shared" ca="1" si="414"/>
        <v>-0.83506371020794556</v>
      </c>
      <c r="E907" s="360">
        <f t="shared" ca="1" si="415"/>
        <v>-3.1658014519025865</v>
      </c>
      <c r="F907" s="357">
        <f t="shared" ca="1" si="416"/>
        <v>3.2740846404720183</v>
      </c>
      <c r="G907" s="359">
        <f t="shared" ca="1" si="417"/>
        <v>16.369576506176717</v>
      </c>
      <c r="H907" s="360">
        <f t="shared" ca="1" si="418"/>
        <v>-130.24579361223178</v>
      </c>
      <c r="I907" s="357">
        <f t="shared" ca="1" si="419"/>
        <v>131.27044522157928</v>
      </c>
      <c r="J907" s="359">
        <f t="shared" ca="1" si="420"/>
        <v>953.1802660510491</v>
      </c>
      <c r="K907" s="360">
        <f t="shared" ca="1" si="421"/>
        <v>-10.736026113461378</v>
      </c>
      <c r="L907" s="357">
        <f t="shared" ca="1" si="406"/>
        <v>953.24072607387984</v>
      </c>
      <c r="M907" s="359">
        <f t="shared" ca="1" si="422"/>
        <v>-1.4457696945258989</v>
      </c>
      <c r="N907" s="357">
        <f t="shared" ca="1" si="423"/>
        <v>-82.83650164425228</v>
      </c>
      <c r="O907" s="343"/>
      <c r="P907" s="363">
        <f t="shared" ca="1" si="424"/>
        <v>23</v>
      </c>
      <c r="Q907" s="357">
        <f t="shared" ca="1" si="425"/>
        <v>0</v>
      </c>
      <c r="R907" s="359">
        <f t="shared" ca="1" si="426"/>
        <v>0</v>
      </c>
      <c r="S907" s="360">
        <f t="shared" ca="1" si="427"/>
        <v>8.3819999999999997</v>
      </c>
      <c r="T907" s="357">
        <f t="shared" ca="1" si="407"/>
        <v>82.227419999999995</v>
      </c>
      <c r="U907" s="364">
        <f t="shared" ca="1" si="408"/>
        <v>0</v>
      </c>
      <c r="V907" s="359">
        <f t="shared" ca="1" si="409"/>
        <v>1.2263158695593965</v>
      </c>
      <c r="W907" s="357">
        <f t="shared" ca="1" si="410"/>
        <v>56.130141411378418</v>
      </c>
      <c r="X907" s="343"/>
      <c r="Y907" s="367" t="str">
        <f t="shared" ca="1" si="428"/>
        <v/>
      </c>
      <c r="Z907" s="368" t="str">
        <f t="shared" ca="1" si="429"/>
        <v/>
      </c>
      <c r="AA907" s="369" t="str">
        <f t="shared" ca="1" si="430"/>
        <v/>
      </c>
      <c r="AB907" s="344"/>
      <c r="AC907" s="363" t="e">
        <f t="shared" ca="1" si="431"/>
        <v>#N/A</v>
      </c>
      <c r="AD907" s="376" t="e">
        <f t="shared" ca="1" si="432"/>
        <v>#N/A</v>
      </c>
      <c r="AE907" s="377" t="e">
        <f t="shared" ca="1" si="411"/>
        <v>#N/A</v>
      </c>
      <c r="AF907" s="344"/>
      <c r="AG907" s="359">
        <f t="shared" ca="1" si="433"/>
        <v>3.0369557511919307</v>
      </c>
      <c r="AH907" s="357">
        <f t="shared" ca="1" si="434"/>
        <v>-6.6964696480045394</v>
      </c>
    </row>
    <row r="908" spans="1:34" x14ac:dyDescent="0.2">
      <c r="A908" s="402">
        <f t="shared" ca="1" si="412"/>
        <v>1E-4</v>
      </c>
      <c r="B908" s="357">
        <f t="shared" ca="1" si="413"/>
        <v>35.319100000000823</v>
      </c>
      <c r="C908" s="342"/>
      <c r="D908" s="359">
        <f t="shared" ca="1" si="414"/>
        <v>-0.83506246986219856</v>
      </c>
      <c r="E908" s="360">
        <f t="shared" ca="1" si="415"/>
        <v>-3.1657612769057994</v>
      </c>
      <c r="F908" s="357">
        <f t="shared" ca="1" si="416"/>
        <v>3.2740454778345081</v>
      </c>
      <c r="G908" s="359">
        <f t="shared" ca="1" si="417"/>
        <v>16.369492999929729</v>
      </c>
      <c r="H908" s="360">
        <f t="shared" ca="1" si="418"/>
        <v>-130.24611018835947</v>
      </c>
      <c r="I908" s="357">
        <f t="shared" ca="1" si="419"/>
        <v>131.27074891335474</v>
      </c>
      <c r="J908" s="359">
        <f t="shared" ca="1" si="420"/>
        <v>953.1802660510491</v>
      </c>
      <c r="K908" s="360">
        <f t="shared" ca="1" si="421"/>
        <v>-10.749050708651408</v>
      </c>
      <c r="L908" s="357">
        <f t="shared" ca="1" si="406"/>
        <v>953.24087285443545</v>
      </c>
      <c r="M908" s="359">
        <f t="shared" ca="1" si="422"/>
        <v>-1.4457706264306593</v>
      </c>
      <c r="N908" s="357">
        <f t="shared" ca="1" si="423"/>
        <v>-82.836555038461967</v>
      </c>
      <c r="O908" s="343"/>
      <c r="P908" s="363">
        <f t="shared" ca="1" si="424"/>
        <v>23</v>
      </c>
      <c r="Q908" s="357">
        <f t="shared" ca="1" si="425"/>
        <v>0</v>
      </c>
      <c r="R908" s="359">
        <f t="shared" ca="1" si="426"/>
        <v>0</v>
      </c>
      <c r="S908" s="360">
        <f t="shared" ca="1" si="427"/>
        <v>8.3819999999999997</v>
      </c>
      <c r="T908" s="357">
        <f t="shared" ca="1" si="407"/>
        <v>82.227419999999995</v>
      </c>
      <c r="U908" s="364">
        <f t="shared" ca="1" si="408"/>
        <v>0</v>
      </c>
      <c r="V908" s="359">
        <f t="shared" ca="1" si="409"/>
        <v>1.2263174667876753</v>
      </c>
      <c r="W908" s="357">
        <f t="shared" ca="1" si="410"/>
        <v>56.130474231435052</v>
      </c>
      <c r="X908" s="343"/>
      <c r="Y908" s="367" t="str">
        <f t="shared" ca="1" si="428"/>
        <v/>
      </c>
      <c r="Z908" s="368" t="str">
        <f t="shared" ca="1" si="429"/>
        <v/>
      </c>
      <c r="AA908" s="369" t="str">
        <f t="shared" ca="1" si="430"/>
        <v/>
      </c>
      <c r="AB908" s="344"/>
      <c r="AC908" s="363" t="e">
        <f t="shared" ca="1" si="431"/>
        <v>#N/A</v>
      </c>
      <c r="AD908" s="376" t="e">
        <f t="shared" ca="1" si="432"/>
        <v>#N/A</v>
      </c>
      <c r="AE908" s="377" t="e">
        <f t="shared" ca="1" si="411"/>
        <v>#N/A</v>
      </c>
      <c r="AF908" s="344"/>
      <c r="AG908" s="359">
        <f t="shared" ca="1" si="433"/>
        <v>3.0369171844942233</v>
      </c>
      <c r="AH908" s="357">
        <f t="shared" ca="1" si="434"/>
        <v>-6.6965093547337649</v>
      </c>
    </row>
    <row r="909" spans="1:34" x14ac:dyDescent="0.2">
      <c r="A909" s="402">
        <f t="shared" ca="1" si="412"/>
        <v>1E-4</v>
      </c>
      <c r="B909" s="357">
        <f t="shared" ca="1" si="413"/>
        <v>35.319200000000826</v>
      </c>
      <c r="C909" s="342"/>
      <c r="D909" s="359">
        <f t="shared" ca="1" si="414"/>
        <v>-0.8350612294765325</v>
      </c>
      <c r="E909" s="360">
        <f t="shared" ca="1" si="415"/>
        <v>-3.1657211021200045</v>
      </c>
      <c r="F909" s="357">
        <f t="shared" ca="1" si="416"/>
        <v>3.2740063154158325</v>
      </c>
      <c r="G909" s="359">
        <f t="shared" ca="1" si="417"/>
        <v>16.369409493806781</v>
      </c>
      <c r="H909" s="360">
        <f t="shared" ca="1" si="418"/>
        <v>-130.24642676046969</v>
      </c>
      <c r="I909" s="357">
        <f t="shared" ca="1" si="419"/>
        <v>131.27105260127354</v>
      </c>
      <c r="J909" s="359">
        <f t="shared" ca="1" si="420"/>
        <v>953.1802660510491</v>
      </c>
      <c r="K909" s="360">
        <f t="shared" ca="1" si="421"/>
        <v>-10.762075335498849</v>
      </c>
      <c r="L909" s="357">
        <f t="shared" ca="1" si="406"/>
        <v>953.24101981328715</v>
      </c>
      <c r="M909" s="359">
        <f t="shared" ca="1" si="422"/>
        <v>-1.445771558326354</v>
      </c>
      <c r="N909" s="357">
        <f t="shared" ca="1" si="423"/>
        <v>-82.836608432152218</v>
      </c>
      <c r="O909" s="343"/>
      <c r="P909" s="363">
        <f t="shared" ca="1" si="424"/>
        <v>23</v>
      </c>
      <c r="Q909" s="357">
        <f t="shared" ca="1" si="425"/>
        <v>0</v>
      </c>
      <c r="R909" s="359">
        <f t="shared" ca="1" si="426"/>
        <v>0</v>
      </c>
      <c r="S909" s="360">
        <f t="shared" ca="1" si="427"/>
        <v>8.3819999999999997</v>
      </c>
      <c r="T909" s="357">
        <f t="shared" ca="1" si="407"/>
        <v>82.227419999999995</v>
      </c>
      <c r="U909" s="364">
        <f t="shared" ca="1" si="408"/>
        <v>0</v>
      </c>
      <c r="V909" s="359">
        <f t="shared" ca="1" si="409"/>
        <v>1.2263190640219177</v>
      </c>
      <c r="W909" s="357">
        <f t="shared" ca="1" si="410"/>
        <v>56.130807049743844</v>
      </c>
      <c r="X909" s="343"/>
      <c r="Y909" s="367" t="str">
        <f t="shared" ca="1" si="428"/>
        <v/>
      </c>
      <c r="Z909" s="368" t="str">
        <f t="shared" ca="1" si="429"/>
        <v/>
      </c>
      <c r="AA909" s="369" t="str">
        <f t="shared" ca="1" si="430"/>
        <v/>
      </c>
      <c r="AB909" s="344"/>
      <c r="AC909" s="363" t="e">
        <f t="shared" ca="1" si="431"/>
        <v>#N/A</v>
      </c>
      <c r="AD909" s="376" t="e">
        <f t="shared" ca="1" si="432"/>
        <v>#N/A</v>
      </c>
      <c r="AE909" s="377" t="e">
        <f t="shared" ca="1" si="411"/>
        <v>#N/A</v>
      </c>
      <c r="AF909" s="344"/>
      <c r="AG909" s="359">
        <f t="shared" ca="1" si="433"/>
        <v>3.0368786179854821</v>
      </c>
      <c r="AH909" s="357">
        <f t="shared" ca="1" si="434"/>
        <v>-6.6965490612544807</v>
      </c>
    </row>
    <row r="910" spans="1:34" x14ac:dyDescent="0.2">
      <c r="A910" s="402">
        <f t="shared" ca="1" si="412"/>
        <v>1E-4</v>
      </c>
      <c r="B910" s="357">
        <f t="shared" ca="1" si="413"/>
        <v>35.31930000000083</v>
      </c>
      <c r="C910" s="342"/>
      <c r="D910" s="359">
        <f t="shared" ca="1" si="414"/>
        <v>-0.83505998905094703</v>
      </c>
      <c r="E910" s="360">
        <f t="shared" ca="1" si="415"/>
        <v>-3.1656809275452202</v>
      </c>
      <c r="F910" s="357">
        <f t="shared" ca="1" si="416"/>
        <v>3.2739671532160082</v>
      </c>
      <c r="G910" s="359">
        <f t="shared" ca="1" si="417"/>
        <v>16.369325987807876</v>
      </c>
      <c r="H910" s="360">
        <f t="shared" ca="1" si="418"/>
        <v>-130.24674332856245</v>
      </c>
      <c r="I910" s="357">
        <f t="shared" ca="1" si="419"/>
        <v>131.27135628533571</v>
      </c>
      <c r="J910" s="359">
        <f t="shared" ca="1" si="420"/>
        <v>953.1802660510491</v>
      </c>
      <c r="K910" s="360">
        <f t="shared" ca="1" si="421"/>
        <v>-10.775099994003302</v>
      </c>
      <c r="L910" s="357">
        <f t="shared" ca="1" si="406"/>
        <v>953.24116695043631</v>
      </c>
      <c r="M910" s="359">
        <f t="shared" ca="1" si="422"/>
        <v>-1.4457724902129832</v>
      </c>
      <c r="N910" s="357">
        <f t="shared" ca="1" si="423"/>
        <v>-82.836661825323048</v>
      </c>
      <c r="O910" s="343"/>
      <c r="P910" s="363">
        <f t="shared" ca="1" si="424"/>
        <v>23</v>
      </c>
      <c r="Q910" s="357">
        <f t="shared" ca="1" si="425"/>
        <v>0</v>
      </c>
      <c r="R910" s="359">
        <f t="shared" ca="1" si="426"/>
        <v>0</v>
      </c>
      <c r="S910" s="360">
        <f t="shared" ca="1" si="427"/>
        <v>8.3819999999999997</v>
      </c>
      <c r="T910" s="357">
        <f t="shared" ca="1" si="407"/>
        <v>82.227419999999995</v>
      </c>
      <c r="U910" s="364">
        <f t="shared" ca="1" si="408"/>
        <v>0</v>
      </c>
      <c r="V910" s="359">
        <f t="shared" ca="1" si="409"/>
        <v>1.2263206612621234</v>
      </c>
      <c r="W910" s="357">
        <f t="shared" ca="1" si="410"/>
        <v>56.131139866304778</v>
      </c>
      <c r="X910" s="343"/>
      <c r="Y910" s="367" t="str">
        <f t="shared" ca="1" si="428"/>
        <v/>
      </c>
      <c r="Z910" s="368" t="str">
        <f t="shared" ca="1" si="429"/>
        <v/>
      </c>
      <c r="AA910" s="369" t="str">
        <f t="shared" ca="1" si="430"/>
        <v/>
      </c>
      <c r="AB910" s="344"/>
      <c r="AC910" s="363" t="e">
        <f t="shared" ca="1" si="431"/>
        <v>#N/A</v>
      </c>
      <c r="AD910" s="376" t="e">
        <f t="shared" ca="1" si="432"/>
        <v>#N/A</v>
      </c>
      <c r="AE910" s="377" t="e">
        <f t="shared" ca="1" si="411"/>
        <v>#N/A</v>
      </c>
      <c r="AF910" s="344"/>
      <c r="AG910" s="359">
        <f t="shared" ca="1" si="433"/>
        <v>3.0368400516657239</v>
      </c>
      <c r="AH910" s="357">
        <f t="shared" ca="1" si="434"/>
        <v>-6.6965887675666718</v>
      </c>
    </row>
    <row r="911" spans="1:34" x14ac:dyDescent="0.2">
      <c r="A911" s="402">
        <f t="shared" ca="1" si="412"/>
        <v>1E-4</v>
      </c>
      <c r="B911" s="357">
        <f t="shared" ca="1" si="413"/>
        <v>35.319400000000833</v>
      </c>
      <c r="C911" s="342"/>
      <c r="D911" s="359">
        <f t="shared" ca="1" si="414"/>
        <v>-0.83505874858544105</v>
      </c>
      <c r="E911" s="360">
        <f t="shared" ca="1" si="415"/>
        <v>-3.1656407531814441</v>
      </c>
      <c r="F911" s="357">
        <f t="shared" ca="1" si="416"/>
        <v>3.2739279912350336</v>
      </c>
      <c r="G911" s="359">
        <f t="shared" ca="1" si="417"/>
        <v>16.369242481933018</v>
      </c>
      <c r="H911" s="360">
        <f t="shared" ca="1" si="418"/>
        <v>-130.24705989263776</v>
      </c>
      <c r="I911" s="357">
        <f t="shared" ca="1" si="419"/>
        <v>131.27165996554126</v>
      </c>
      <c r="J911" s="359">
        <f t="shared" ca="1" si="420"/>
        <v>953.1802660510491</v>
      </c>
      <c r="K911" s="360">
        <f t="shared" ca="1" si="421"/>
        <v>-10.788124684164362</v>
      </c>
      <c r="L911" s="357">
        <f t="shared" ca="1" si="406"/>
        <v>953.24131426588406</v>
      </c>
      <c r="M911" s="359">
        <f t="shared" ca="1" si="422"/>
        <v>-1.4457734220905467</v>
      </c>
      <c r="N911" s="357">
        <f t="shared" ca="1" si="423"/>
        <v>-82.836715217974472</v>
      </c>
      <c r="O911" s="343"/>
      <c r="P911" s="363">
        <f t="shared" ca="1" si="424"/>
        <v>23</v>
      </c>
      <c r="Q911" s="357">
        <f t="shared" ca="1" si="425"/>
        <v>0</v>
      </c>
      <c r="R911" s="359">
        <f t="shared" ca="1" si="426"/>
        <v>0</v>
      </c>
      <c r="S911" s="360">
        <f t="shared" ca="1" si="427"/>
        <v>8.3819999999999997</v>
      </c>
      <c r="T911" s="357">
        <f t="shared" ca="1" si="407"/>
        <v>82.227419999999995</v>
      </c>
      <c r="U911" s="364">
        <f t="shared" ca="1" si="408"/>
        <v>0</v>
      </c>
      <c r="V911" s="359">
        <f t="shared" ca="1" si="409"/>
        <v>1.2263222585082929</v>
      </c>
      <c r="W911" s="357">
        <f t="shared" ca="1" si="410"/>
        <v>56.131472681117856</v>
      </c>
      <c r="X911" s="343"/>
      <c r="Y911" s="367" t="str">
        <f t="shared" ca="1" si="428"/>
        <v/>
      </c>
      <c r="Z911" s="368" t="str">
        <f t="shared" ca="1" si="429"/>
        <v/>
      </c>
      <c r="AA911" s="369" t="str">
        <f t="shared" ca="1" si="430"/>
        <v/>
      </c>
      <c r="AB911" s="344"/>
      <c r="AC911" s="363" t="e">
        <f t="shared" ca="1" si="431"/>
        <v>#N/A</v>
      </c>
      <c r="AD911" s="376" t="e">
        <f t="shared" ca="1" si="432"/>
        <v>#N/A</v>
      </c>
      <c r="AE911" s="377" t="e">
        <f t="shared" ca="1" si="411"/>
        <v>#N/A</v>
      </c>
      <c r="AF911" s="344"/>
      <c r="AG911" s="359">
        <f t="shared" ca="1" si="433"/>
        <v>3.0368014855349461</v>
      </c>
      <c r="AH911" s="357">
        <f t="shared" ca="1" si="434"/>
        <v>-6.696628473670339</v>
      </c>
    </row>
    <row r="912" spans="1:34" x14ac:dyDescent="0.2">
      <c r="A912" s="402">
        <f t="shared" ca="1" si="412"/>
        <v>1E-4</v>
      </c>
      <c r="B912" s="357">
        <f t="shared" ca="1" si="413"/>
        <v>35.319500000000836</v>
      </c>
      <c r="C912" s="342"/>
      <c r="D912" s="359">
        <f t="shared" ca="1" si="414"/>
        <v>-0.83505750808001733</v>
      </c>
      <c r="E912" s="360">
        <f t="shared" ca="1" si="415"/>
        <v>-3.1656005790286779</v>
      </c>
      <c r="F912" s="357">
        <f t="shared" ca="1" si="416"/>
        <v>3.2738888294729112</v>
      </c>
      <c r="G912" s="359">
        <f t="shared" ca="1" si="417"/>
        <v>16.369158976182209</v>
      </c>
      <c r="H912" s="360">
        <f t="shared" ca="1" si="418"/>
        <v>-130.24737645269568</v>
      </c>
      <c r="I912" s="357">
        <f t="shared" ca="1" si="419"/>
        <v>131.27196364189024</v>
      </c>
      <c r="J912" s="359">
        <f t="shared" ca="1" si="420"/>
        <v>953.1802660510491</v>
      </c>
      <c r="K912" s="360">
        <f t="shared" ca="1" si="421"/>
        <v>-10.801149405981629</v>
      </c>
      <c r="L912" s="357">
        <f t="shared" ca="1" si="406"/>
        <v>953.24146175963153</v>
      </c>
      <c r="M912" s="359">
        <f t="shared" ca="1" si="422"/>
        <v>-1.4457743539590449</v>
      </c>
      <c r="N912" s="357">
        <f t="shared" ca="1" si="423"/>
        <v>-82.836768610106475</v>
      </c>
      <c r="O912" s="343"/>
      <c r="P912" s="363">
        <f t="shared" ca="1" si="424"/>
        <v>23</v>
      </c>
      <c r="Q912" s="357">
        <f t="shared" ca="1" si="425"/>
        <v>0</v>
      </c>
      <c r="R912" s="359">
        <f t="shared" ca="1" si="426"/>
        <v>0</v>
      </c>
      <c r="S912" s="360">
        <f t="shared" ca="1" si="427"/>
        <v>8.3819999999999997</v>
      </c>
      <c r="T912" s="357">
        <f t="shared" ca="1" si="407"/>
        <v>82.227419999999995</v>
      </c>
      <c r="U912" s="364">
        <f t="shared" ca="1" si="408"/>
        <v>0</v>
      </c>
      <c r="V912" s="359">
        <f t="shared" ca="1" si="409"/>
        <v>1.2263238557604259</v>
      </c>
      <c r="W912" s="357">
        <f t="shared" ca="1" si="410"/>
        <v>56.131805494183077</v>
      </c>
      <c r="X912" s="343"/>
      <c r="Y912" s="367" t="str">
        <f t="shared" ca="1" si="428"/>
        <v/>
      </c>
      <c r="Z912" s="368" t="str">
        <f t="shared" ca="1" si="429"/>
        <v/>
      </c>
      <c r="AA912" s="369" t="str">
        <f t="shared" ca="1" si="430"/>
        <v/>
      </c>
      <c r="AB912" s="344"/>
      <c r="AC912" s="363" t="e">
        <f t="shared" ca="1" si="431"/>
        <v>#N/A</v>
      </c>
      <c r="AD912" s="376" t="e">
        <f t="shared" ca="1" si="432"/>
        <v>#N/A</v>
      </c>
      <c r="AE912" s="377" t="e">
        <f t="shared" ca="1" si="411"/>
        <v>#N/A</v>
      </c>
      <c r="AF912" s="344"/>
      <c r="AG912" s="359">
        <f t="shared" ca="1" si="433"/>
        <v>3.0367629195931505</v>
      </c>
      <c r="AH912" s="357">
        <f t="shared" ca="1" si="434"/>
        <v>-6.6966681795654805</v>
      </c>
    </row>
    <row r="913" spans="1:34" x14ac:dyDescent="0.2">
      <c r="A913" s="402">
        <f t="shared" ca="1" si="412"/>
        <v>1E-4</v>
      </c>
      <c r="B913" s="357">
        <f t="shared" ca="1" si="413"/>
        <v>35.31960000000084</v>
      </c>
      <c r="C913" s="342"/>
      <c r="D913" s="359">
        <f t="shared" ca="1" si="414"/>
        <v>-0.83505626753467632</v>
      </c>
      <c r="E913" s="360">
        <f t="shared" ca="1" si="415"/>
        <v>-3.1655604050869224</v>
      </c>
      <c r="F913" s="357">
        <f t="shared" ca="1" si="416"/>
        <v>3.2738496679296416</v>
      </c>
      <c r="G913" s="359">
        <f t="shared" ca="1" si="417"/>
        <v>16.369075470555455</v>
      </c>
      <c r="H913" s="360">
        <f t="shared" ca="1" si="418"/>
        <v>-130.24769300873618</v>
      </c>
      <c r="I913" s="357">
        <f t="shared" ca="1" si="419"/>
        <v>131.27226731438262</v>
      </c>
      <c r="J913" s="359">
        <f t="shared" ca="1" si="420"/>
        <v>953.1802660510491</v>
      </c>
      <c r="K913" s="360">
        <f t="shared" ca="1" si="421"/>
        <v>-10.814174159454701</v>
      </c>
      <c r="L913" s="357">
        <f t="shared" ca="1" si="406"/>
        <v>953.2416094316801</v>
      </c>
      <c r="M913" s="359">
        <f t="shared" ca="1" si="422"/>
        <v>-1.445775285818478</v>
      </c>
      <c r="N913" s="357">
        <f t="shared" ca="1" si="423"/>
        <v>-82.836822001719099</v>
      </c>
      <c r="O913" s="343"/>
      <c r="P913" s="363">
        <f t="shared" ca="1" si="424"/>
        <v>23</v>
      </c>
      <c r="Q913" s="357">
        <f t="shared" ca="1" si="425"/>
        <v>0</v>
      </c>
      <c r="R913" s="359">
        <f t="shared" ca="1" si="426"/>
        <v>0</v>
      </c>
      <c r="S913" s="360">
        <f t="shared" ca="1" si="427"/>
        <v>8.3819999999999997</v>
      </c>
      <c r="T913" s="357">
        <f t="shared" ca="1" si="407"/>
        <v>82.227419999999995</v>
      </c>
      <c r="U913" s="364">
        <f t="shared" ca="1" si="408"/>
        <v>0</v>
      </c>
      <c r="V913" s="359">
        <f t="shared" ca="1" si="409"/>
        <v>1.2263254530185224</v>
      </c>
      <c r="W913" s="357">
        <f t="shared" ca="1" si="410"/>
        <v>56.132138305500384</v>
      </c>
      <c r="X913" s="343"/>
      <c r="Y913" s="367" t="str">
        <f t="shared" ca="1" si="428"/>
        <v/>
      </c>
      <c r="Z913" s="368" t="str">
        <f t="shared" ca="1" si="429"/>
        <v/>
      </c>
      <c r="AA913" s="369" t="str">
        <f t="shared" ca="1" si="430"/>
        <v/>
      </c>
      <c r="AB913" s="344"/>
      <c r="AC913" s="363" t="e">
        <f t="shared" ca="1" si="431"/>
        <v>#N/A</v>
      </c>
      <c r="AD913" s="376" t="e">
        <f t="shared" ca="1" si="432"/>
        <v>#N/A</v>
      </c>
      <c r="AE913" s="377" t="e">
        <f t="shared" ca="1" si="411"/>
        <v>#N/A</v>
      </c>
      <c r="AF913" s="344"/>
      <c r="AG913" s="359">
        <f t="shared" ca="1" si="433"/>
        <v>3.0367243538403397</v>
      </c>
      <c r="AH913" s="357">
        <f t="shared" ca="1" si="434"/>
        <v>-6.6967078852520974</v>
      </c>
    </row>
    <row r="914" spans="1:34" x14ac:dyDescent="0.2">
      <c r="A914" s="402">
        <f t="shared" ca="1" si="412"/>
        <v>1E-4</v>
      </c>
      <c r="B914" s="357">
        <f t="shared" ca="1" si="413"/>
        <v>35.319700000000843</v>
      </c>
      <c r="C914" s="342"/>
      <c r="D914" s="359">
        <f t="shared" ca="1" si="414"/>
        <v>-0.8350550269494158</v>
      </c>
      <c r="E914" s="360">
        <f t="shared" ca="1" si="415"/>
        <v>-3.1655202313561821</v>
      </c>
      <c r="F914" s="357">
        <f t="shared" ca="1" si="416"/>
        <v>3.273810506605229</v>
      </c>
      <c r="G914" s="359">
        <f t="shared" ca="1" si="417"/>
        <v>16.368991965052761</v>
      </c>
      <c r="H914" s="360">
        <f t="shared" ca="1" si="418"/>
        <v>-130.2480095607593</v>
      </c>
      <c r="I914" s="357">
        <f t="shared" ca="1" si="419"/>
        <v>131.27257098301843</v>
      </c>
      <c r="J914" s="359">
        <f t="shared" ca="1" si="420"/>
        <v>953.1802660510491</v>
      </c>
      <c r="K914" s="360">
        <f t="shared" ca="1" si="421"/>
        <v>-10.827198944583175</v>
      </c>
      <c r="L914" s="357">
        <f t="shared" ca="1" si="406"/>
        <v>953.2417572820309</v>
      </c>
      <c r="M914" s="359">
        <f t="shared" ca="1" si="422"/>
        <v>-1.4457762176688458</v>
      </c>
      <c r="N914" s="357">
        <f t="shared" ca="1" si="423"/>
        <v>-82.836875392812303</v>
      </c>
      <c r="O914" s="343"/>
      <c r="P914" s="363">
        <f t="shared" ca="1" si="424"/>
        <v>23</v>
      </c>
      <c r="Q914" s="357">
        <f t="shared" ca="1" si="425"/>
        <v>0</v>
      </c>
      <c r="R914" s="359">
        <f t="shared" ca="1" si="426"/>
        <v>0</v>
      </c>
      <c r="S914" s="360">
        <f t="shared" ca="1" si="427"/>
        <v>8.3819999999999997</v>
      </c>
      <c r="T914" s="357">
        <f t="shared" ca="1" si="407"/>
        <v>82.227419999999995</v>
      </c>
      <c r="U914" s="364">
        <f t="shared" ca="1" si="408"/>
        <v>0</v>
      </c>
      <c r="V914" s="359">
        <f t="shared" ca="1" si="409"/>
        <v>1.2263270502825823</v>
      </c>
      <c r="W914" s="357">
        <f t="shared" ca="1" si="410"/>
        <v>56.132471115069777</v>
      </c>
      <c r="X914" s="343"/>
      <c r="Y914" s="367" t="str">
        <f t="shared" ca="1" si="428"/>
        <v/>
      </c>
      <c r="Z914" s="368" t="str">
        <f t="shared" ca="1" si="429"/>
        <v/>
      </c>
      <c r="AA914" s="369" t="str">
        <f t="shared" ca="1" si="430"/>
        <v/>
      </c>
      <c r="AB914" s="344"/>
      <c r="AC914" s="363" t="e">
        <f t="shared" ca="1" si="431"/>
        <v>#N/A</v>
      </c>
      <c r="AD914" s="376" t="e">
        <f t="shared" ca="1" si="432"/>
        <v>#N/A</v>
      </c>
      <c r="AE914" s="377" t="e">
        <f t="shared" ca="1" si="411"/>
        <v>#N/A</v>
      </c>
      <c r="AF914" s="344"/>
      <c r="AG914" s="359">
        <f t="shared" ca="1" si="433"/>
        <v>3.0366857882765173</v>
      </c>
      <c r="AH914" s="357">
        <f t="shared" ca="1" si="434"/>
        <v>-6.6967475907301823</v>
      </c>
    </row>
    <row r="915" spans="1:34" x14ac:dyDescent="0.2">
      <c r="A915" s="402">
        <f t="shared" ca="1" si="412"/>
        <v>1E-4</v>
      </c>
      <c r="B915" s="357">
        <f t="shared" ca="1" si="413"/>
        <v>35.319800000000846</v>
      </c>
      <c r="C915" s="342"/>
      <c r="D915" s="359">
        <f t="shared" ca="1" si="414"/>
        <v>-0.83505378632424032</v>
      </c>
      <c r="E915" s="360">
        <f t="shared" ca="1" si="415"/>
        <v>-3.1654800578364588</v>
      </c>
      <c r="F915" s="357">
        <f t="shared" ca="1" si="416"/>
        <v>3.273771345499676</v>
      </c>
      <c r="G915" s="359">
        <f t="shared" ca="1" si="417"/>
        <v>16.368908459674127</v>
      </c>
      <c r="H915" s="360">
        <f t="shared" ca="1" si="418"/>
        <v>-130.24832610876507</v>
      </c>
      <c r="I915" s="357">
        <f t="shared" ca="1" si="419"/>
        <v>131.27287464779769</v>
      </c>
      <c r="J915" s="359">
        <f t="shared" ca="1" si="420"/>
        <v>953.1802660510491</v>
      </c>
      <c r="K915" s="360">
        <f t="shared" ca="1" si="421"/>
        <v>-10.840223761366651</v>
      </c>
      <c r="L915" s="357">
        <f t="shared" ca="1" si="406"/>
        <v>953.24190531068518</v>
      </c>
      <c r="M915" s="359">
        <f t="shared" ca="1" si="422"/>
        <v>-1.4457771495101488</v>
      </c>
      <c r="N915" s="357">
        <f t="shared" ca="1" si="423"/>
        <v>-82.836928783386142</v>
      </c>
      <c r="O915" s="343"/>
      <c r="P915" s="363">
        <f t="shared" ca="1" si="424"/>
        <v>23</v>
      </c>
      <c r="Q915" s="357">
        <f t="shared" ca="1" si="425"/>
        <v>0</v>
      </c>
      <c r="R915" s="359">
        <f t="shared" ca="1" si="426"/>
        <v>0</v>
      </c>
      <c r="S915" s="360">
        <f t="shared" ca="1" si="427"/>
        <v>8.3819999999999997</v>
      </c>
      <c r="T915" s="357">
        <f t="shared" ca="1" si="407"/>
        <v>82.227419999999995</v>
      </c>
      <c r="U915" s="364">
        <f t="shared" ca="1" si="408"/>
        <v>0</v>
      </c>
      <c r="V915" s="359">
        <f t="shared" ca="1" si="409"/>
        <v>1.2263286475526061</v>
      </c>
      <c r="W915" s="357">
        <f t="shared" ca="1" si="410"/>
        <v>56.132803922891256</v>
      </c>
      <c r="X915" s="343"/>
      <c r="Y915" s="367" t="str">
        <f t="shared" ca="1" si="428"/>
        <v/>
      </c>
      <c r="Z915" s="368" t="str">
        <f t="shared" ca="1" si="429"/>
        <v/>
      </c>
      <c r="AA915" s="369" t="str">
        <f t="shared" ca="1" si="430"/>
        <v/>
      </c>
      <c r="AB915" s="344"/>
      <c r="AC915" s="363" t="e">
        <f t="shared" ca="1" si="431"/>
        <v>#N/A</v>
      </c>
      <c r="AD915" s="376" t="e">
        <f t="shared" ca="1" si="432"/>
        <v>#N/A</v>
      </c>
      <c r="AE915" s="377" t="e">
        <f t="shared" ca="1" si="411"/>
        <v>#N/A</v>
      </c>
      <c r="AF915" s="344"/>
      <c r="AG915" s="359">
        <f t="shared" ca="1" si="433"/>
        <v>3.0366472229016868</v>
      </c>
      <c r="AH915" s="357">
        <f t="shared" ca="1" si="434"/>
        <v>-6.6967872959997354</v>
      </c>
    </row>
    <row r="916" spans="1:34" x14ac:dyDescent="0.2">
      <c r="A916" s="402">
        <f t="shared" ca="1" si="412"/>
        <v>1E-4</v>
      </c>
      <c r="B916" s="357">
        <f t="shared" ca="1" si="413"/>
        <v>35.31990000000085</v>
      </c>
      <c r="C916" s="342"/>
      <c r="D916" s="359">
        <f t="shared" ca="1" si="414"/>
        <v>-0.83505254565914722</v>
      </c>
      <c r="E916" s="360">
        <f t="shared" ca="1" si="415"/>
        <v>-3.1654398845277525</v>
      </c>
      <c r="F916" s="357">
        <f t="shared" ca="1" si="416"/>
        <v>3.273732184612983</v>
      </c>
      <c r="G916" s="359">
        <f t="shared" ca="1" si="417"/>
        <v>16.368824954419562</v>
      </c>
      <c r="H916" s="360">
        <f t="shared" ca="1" si="418"/>
        <v>-130.24864265275352</v>
      </c>
      <c r="I916" s="357">
        <f t="shared" ca="1" si="419"/>
        <v>131.27317830872045</v>
      </c>
      <c r="J916" s="359">
        <f t="shared" ca="1" si="420"/>
        <v>953.1802660510491</v>
      </c>
      <c r="K916" s="360">
        <f t="shared" ca="1" si="421"/>
        <v>-10.853248609804726</v>
      </c>
      <c r="L916" s="357">
        <f t="shared" ca="1" si="406"/>
        <v>953.24205351764408</v>
      </c>
      <c r="M916" s="359">
        <f t="shared" ca="1" si="422"/>
        <v>-1.4457780813423871</v>
      </c>
      <c r="N916" s="357">
        <f t="shared" ca="1" si="423"/>
        <v>-82.836982173440603</v>
      </c>
      <c r="O916" s="343"/>
      <c r="P916" s="363">
        <f t="shared" ca="1" si="424"/>
        <v>23</v>
      </c>
      <c r="Q916" s="357">
        <f t="shared" ca="1" si="425"/>
        <v>0</v>
      </c>
      <c r="R916" s="359">
        <f t="shared" ca="1" si="426"/>
        <v>0</v>
      </c>
      <c r="S916" s="360">
        <f t="shared" ca="1" si="427"/>
        <v>8.3819999999999997</v>
      </c>
      <c r="T916" s="357">
        <f t="shared" ca="1" si="407"/>
        <v>82.227419999999995</v>
      </c>
      <c r="U916" s="364">
        <f t="shared" ca="1" si="408"/>
        <v>0</v>
      </c>
      <c r="V916" s="359">
        <f t="shared" ca="1" si="409"/>
        <v>1.2263302448285931</v>
      </c>
      <c r="W916" s="357">
        <f t="shared" ca="1" si="410"/>
        <v>56.1331367289648</v>
      </c>
      <c r="X916" s="343"/>
      <c r="Y916" s="367" t="str">
        <f t="shared" ca="1" si="428"/>
        <v/>
      </c>
      <c r="Z916" s="368" t="str">
        <f t="shared" ca="1" si="429"/>
        <v/>
      </c>
      <c r="AA916" s="369" t="str">
        <f t="shared" ca="1" si="430"/>
        <v/>
      </c>
      <c r="AB916" s="344"/>
      <c r="AC916" s="363" t="e">
        <f t="shared" ca="1" si="431"/>
        <v>#N/A</v>
      </c>
      <c r="AD916" s="376" t="e">
        <f t="shared" ca="1" si="432"/>
        <v>#N/A</v>
      </c>
      <c r="AE916" s="377" t="e">
        <f t="shared" ca="1" si="411"/>
        <v>#N/A</v>
      </c>
      <c r="AF916" s="344"/>
      <c r="AG916" s="359">
        <f t="shared" ca="1" si="433"/>
        <v>3.0366086577158491</v>
      </c>
      <c r="AH916" s="357">
        <f t="shared" ca="1" si="434"/>
        <v>-6.6968270010607558</v>
      </c>
    </row>
    <row r="917" spans="1:34" x14ac:dyDescent="0.2">
      <c r="A917" s="402">
        <f t="shared" ca="1" si="412"/>
        <v>1E-4</v>
      </c>
      <c r="B917" s="357">
        <f t="shared" ca="1" si="413"/>
        <v>35.320000000000853</v>
      </c>
      <c r="C917" s="342"/>
      <c r="D917" s="359">
        <f t="shared" ca="1" si="414"/>
        <v>-0.83505130495413771</v>
      </c>
      <c r="E917" s="360">
        <f t="shared" ca="1" si="415"/>
        <v>-3.165399711430064</v>
      </c>
      <c r="F917" s="357">
        <f t="shared" ca="1" si="416"/>
        <v>3.27369302394515</v>
      </c>
      <c r="G917" s="359">
        <f t="shared" ca="1" si="417"/>
        <v>16.368741449289068</v>
      </c>
      <c r="H917" s="360">
        <f t="shared" ca="1" si="418"/>
        <v>-130.24895919272467</v>
      </c>
      <c r="I917" s="357">
        <f t="shared" ca="1" si="419"/>
        <v>131.27348196578671</v>
      </c>
      <c r="J917" s="359">
        <f t="shared" ca="1" si="420"/>
        <v>953.1802660510491</v>
      </c>
      <c r="K917" s="360">
        <f t="shared" ca="1" si="421"/>
        <v>-10.866273489897001</v>
      </c>
      <c r="L917" s="357">
        <f t="shared" ca="1" si="406"/>
        <v>953.24220190290885</v>
      </c>
      <c r="M917" s="359">
        <f t="shared" ca="1" si="422"/>
        <v>-1.4457790131655606</v>
      </c>
      <c r="N917" s="357">
        <f t="shared" ca="1" si="423"/>
        <v>-82.8370355629757</v>
      </c>
      <c r="O917" s="343"/>
      <c r="P917" s="363">
        <f t="shared" ca="1" si="424"/>
        <v>23</v>
      </c>
      <c r="Q917" s="357">
        <f t="shared" ca="1" si="425"/>
        <v>0</v>
      </c>
      <c r="R917" s="359">
        <f t="shared" ca="1" si="426"/>
        <v>0</v>
      </c>
      <c r="S917" s="360">
        <f t="shared" ca="1" si="427"/>
        <v>8.3819999999999997</v>
      </c>
      <c r="T917" s="357">
        <f t="shared" ca="1" si="407"/>
        <v>82.227419999999995</v>
      </c>
      <c r="U917" s="364">
        <f t="shared" ca="1" si="408"/>
        <v>0</v>
      </c>
      <c r="V917" s="359">
        <f t="shared" ca="1" si="409"/>
        <v>1.2263318421105434</v>
      </c>
      <c r="W917" s="357">
        <f t="shared" ca="1" si="410"/>
        <v>56.133469533290409</v>
      </c>
      <c r="X917" s="343"/>
      <c r="Y917" s="367" t="str">
        <f t="shared" ca="1" si="428"/>
        <v/>
      </c>
      <c r="Z917" s="368" t="str">
        <f t="shared" ca="1" si="429"/>
        <v/>
      </c>
      <c r="AA917" s="369" t="str">
        <f t="shared" ca="1" si="430"/>
        <v/>
      </c>
      <c r="AB917" s="344"/>
      <c r="AC917" s="363" t="e">
        <f t="shared" ca="1" si="431"/>
        <v>#N/A</v>
      </c>
      <c r="AD917" s="376" t="e">
        <f t="shared" ca="1" si="432"/>
        <v>#N/A</v>
      </c>
      <c r="AE917" s="377" t="e">
        <f t="shared" ca="1" si="411"/>
        <v>#N/A</v>
      </c>
      <c r="AF917" s="344"/>
      <c r="AG917" s="359">
        <f t="shared" ca="1" si="433"/>
        <v>3.0365700927190034</v>
      </c>
      <c r="AH917" s="357">
        <f t="shared" ca="1" si="434"/>
        <v>-6.6968667059132425</v>
      </c>
    </row>
    <row r="918" spans="1:34" x14ac:dyDescent="0.2">
      <c r="A918" s="402">
        <f t="shared" ca="1" si="412"/>
        <v>1E-4</v>
      </c>
      <c r="B918" s="357">
        <f t="shared" ca="1" si="413"/>
        <v>35.320100000000856</v>
      </c>
      <c r="C918" s="342"/>
      <c r="D918" s="359">
        <f t="shared" ca="1" si="414"/>
        <v>-0.83505006420921379</v>
      </c>
      <c r="E918" s="360">
        <f t="shared" ca="1" si="415"/>
        <v>-3.1653595385433952</v>
      </c>
      <c r="F918" s="357">
        <f t="shared" ca="1" si="416"/>
        <v>3.2736538634961803</v>
      </c>
      <c r="G918" s="359">
        <f t="shared" ca="1" si="417"/>
        <v>16.368657944282646</v>
      </c>
      <c r="H918" s="360">
        <f t="shared" ca="1" si="418"/>
        <v>-130.24927572867853</v>
      </c>
      <c r="I918" s="357">
        <f t="shared" ca="1" si="419"/>
        <v>131.2737856189965</v>
      </c>
      <c r="J918" s="359">
        <f t="shared" ca="1" si="420"/>
        <v>953.1802660510491</v>
      </c>
      <c r="K918" s="360">
        <f t="shared" ca="1" si="421"/>
        <v>-10.879298401643071</v>
      </c>
      <c r="L918" s="357">
        <f t="shared" ca="1" si="406"/>
        <v>953.24235046648073</v>
      </c>
      <c r="M918" s="359">
        <f t="shared" ca="1" si="422"/>
        <v>-1.4457799449796696</v>
      </c>
      <c r="N918" s="357">
        <f t="shared" ca="1" si="423"/>
        <v>-82.837088951991433</v>
      </c>
      <c r="O918" s="343"/>
      <c r="P918" s="363">
        <f t="shared" ca="1" si="424"/>
        <v>23</v>
      </c>
      <c r="Q918" s="357">
        <f t="shared" ca="1" si="425"/>
        <v>0</v>
      </c>
      <c r="R918" s="359">
        <f t="shared" ca="1" si="426"/>
        <v>0</v>
      </c>
      <c r="S918" s="360">
        <f t="shared" ca="1" si="427"/>
        <v>8.3819999999999997</v>
      </c>
      <c r="T918" s="357">
        <f t="shared" ca="1" si="407"/>
        <v>82.227419999999995</v>
      </c>
      <c r="U918" s="364">
        <f t="shared" ca="1" si="408"/>
        <v>0</v>
      </c>
      <c r="V918" s="359">
        <f t="shared" ca="1" si="409"/>
        <v>1.2263334393984573</v>
      </c>
      <c r="W918" s="357">
        <f t="shared" ca="1" si="410"/>
        <v>56.133802335868076</v>
      </c>
      <c r="X918" s="343"/>
      <c r="Y918" s="367" t="str">
        <f t="shared" ca="1" si="428"/>
        <v/>
      </c>
      <c r="Z918" s="368" t="str">
        <f t="shared" ca="1" si="429"/>
        <v/>
      </c>
      <c r="AA918" s="369" t="str">
        <f t="shared" ca="1" si="430"/>
        <v/>
      </c>
      <c r="AB918" s="344"/>
      <c r="AC918" s="363" t="e">
        <f t="shared" ca="1" si="431"/>
        <v>#N/A</v>
      </c>
      <c r="AD918" s="376" t="e">
        <f t="shared" ca="1" si="432"/>
        <v>#N/A</v>
      </c>
      <c r="AE918" s="377" t="e">
        <f t="shared" ca="1" si="411"/>
        <v>#N/A</v>
      </c>
      <c r="AF918" s="344"/>
      <c r="AG918" s="359">
        <f t="shared" ca="1" si="433"/>
        <v>3.0365315279111513</v>
      </c>
      <c r="AH918" s="357">
        <f t="shared" ca="1" si="434"/>
        <v>-6.6969064105571956</v>
      </c>
    </row>
    <row r="919" spans="1:34" x14ac:dyDescent="0.2">
      <c r="A919" s="402">
        <f t="shared" ca="1" si="412"/>
        <v>1E-4</v>
      </c>
      <c r="B919" s="357">
        <f t="shared" ca="1" si="413"/>
        <v>35.32020000000086</v>
      </c>
      <c r="C919" s="342"/>
      <c r="D919" s="359">
        <f t="shared" ca="1" si="414"/>
        <v>-0.83504882342437514</v>
      </c>
      <c r="E919" s="360">
        <f t="shared" ca="1" si="415"/>
        <v>-3.165319365867747</v>
      </c>
      <c r="F919" s="357">
        <f t="shared" ca="1" si="416"/>
        <v>3.2736147032660745</v>
      </c>
      <c r="G919" s="359">
        <f t="shared" ca="1" si="417"/>
        <v>16.368574439400302</v>
      </c>
      <c r="H919" s="360">
        <f t="shared" ca="1" si="418"/>
        <v>-130.24959226061512</v>
      </c>
      <c r="I919" s="357">
        <f t="shared" ca="1" si="419"/>
        <v>131.27408926834983</v>
      </c>
      <c r="J919" s="359">
        <f t="shared" ca="1" si="420"/>
        <v>953.1802660510491</v>
      </c>
      <c r="K919" s="360">
        <f t="shared" ca="1" si="421"/>
        <v>-10.892323345042536</v>
      </c>
      <c r="L919" s="357">
        <f t="shared" ca="1" si="406"/>
        <v>953.24249920836087</v>
      </c>
      <c r="M919" s="359">
        <f t="shared" ca="1" si="422"/>
        <v>-1.4457808767847142</v>
      </c>
      <c r="N919" s="357">
        <f t="shared" ca="1" si="423"/>
        <v>-82.83714234048783</v>
      </c>
      <c r="O919" s="343"/>
      <c r="P919" s="363">
        <f t="shared" ca="1" si="424"/>
        <v>23</v>
      </c>
      <c r="Q919" s="357">
        <f t="shared" ca="1" si="425"/>
        <v>0</v>
      </c>
      <c r="R919" s="359">
        <f t="shared" ca="1" si="426"/>
        <v>0</v>
      </c>
      <c r="S919" s="360">
        <f t="shared" ca="1" si="427"/>
        <v>8.3819999999999997</v>
      </c>
      <c r="T919" s="357">
        <f t="shared" ca="1" si="407"/>
        <v>82.227419999999995</v>
      </c>
      <c r="U919" s="364">
        <f t="shared" ca="1" si="408"/>
        <v>0</v>
      </c>
      <c r="V919" s="359">
        <f t="shared" ca="1" si="409"/>
        <v>1.2263350366923345</v>
      </c>
      <c r="W919" s="357">
        <f t="shared" ca="1" si="410"/>
        <v>56.134135136697751</v>
      </c>
      <c r="X919" s="343"/>
      <c r="Y919" s="367" t="str">
        <f t="shared" ca="1" si="428"/>
        <v/>
      </c>
      <c r="Z919" s="368" t="str">
        <f t="shared" ca="1" si="429"/>
        <v/>
      </c>
      <c r="AA919" s="369" t="str">
        <f t="shared" ca="1" si="430"/>
        <v/>
      </c>
      <c r="AB919" s="344"/>
      <c r="AC919" s="363" t="e">
        <f t="shared" ca="1" si="431"/>
        <v>#N/A</v>
      </c>
      <c r="AD919" s="376" t="e">
        <f t="shared" ca="1" si="432"/>
        <v>#N/A</v>
      </c>
      <c r="AE919" s="377" t="e">
        <f t="shared" ca="1" si="411"/>
        <v>#N/A</v>
      </c>
      <c r="AF919" s="344"/>
      <c r="AG919" s="359">
        <f t="shared" ca="1" si="433"/>
        <v>3.0364929632922992</v>
      </c>
      <c r="AH919" s="357">
        <f t="shared" ca="1" si="434"/>
        <v>-6.6969461149926124</v>
      </c>
    </row>
    <row r="920" spans="1:34" x14ac:dyDescent="0.2">
      <c r="A920" s="402">
        <f t="shared" ca="1" si="412"/>
        <v>1E-4</v>
      </c>
      <c r="B920" s="357">
        <f t="shared" ca="1" si="413"/>
        <v>35.320300000000863</v>
      </c>
      <c r="C920" s="342"/>
      <c r="D920" s="359">
        <f t="shared" ca="1" si="414"/>
        <v>-0.83504758259962142</v>
      </c>
      <c r="E920" s="360">
        <f t="shared" ca="1" si="415"/>
        <v>-3.1652791934031237</v>
      </c>
      <c r="F920" s="357">
        <f t="shared" ca="1" si="416"/>
        <v>3.2735755432548368</v>
      </c>
      <c r="G920" s="359">
        <f t="shared" ca="1" si="417"/>
        <v>16.368490934642043</v>
      </c>
      <c r="H920" s="360">
        <f t="shared" ca="1" si="418"/>
        <v>-130.24990878853447</v>
      </c>
      <c r="I920" s="357">
        <f t="shared" ca="1" si="419"/>
        <v>131.27439291384673</v>
      </c>
      <c r="J920" s="359">
        <f t="shared" ca="1" si="420"/>
        <v>953.1802660510491</v>
      </c>
      <c r="K920" s="360">
        <f t="shared" ca="1" si="421"/>
        <v>-10.905348320094994</v>
      </c>
      <c r="L920" s="357">
        <f t="shared" ca="1" si="406"/>
        <v>953.2426481285504</v>
      </c>
      <c r="M920" s="359">
        <f t="shared" ca="1" si="422"/>
        <v>-1.4457818085806946</v>
      </c>
      <c r="N920" s="357">
        <f t="shared" ca="1" si="423"/>
        <v>-82.837195728464877</v>
      </c>
      <c r="O920" s="343"/>
      <c r="P920" s="363">
        <f t="shared" ca="1" si="424"/>
        <v>23</v>
      </c>
      <c r="Q920" s="357">
        <f t="shared" ca="1" si="425"/>
        <v>0</v>
      </c>
      <c r="R920" s="359">
        <f t="shared" ca="1" si="426"/>
        <v>0</v>
      </c>
      <c r="S920" s="360">
        <f t="shared" ca="1" si="427"/>
        <v>8.3819999999999997</v>
      </c>
      <c r="T920" s="357">
        <f t="shared" ca="1" si="407"/>
        <v>82.227419999999995</v>
      </c>
      <c r="U920" s="364">
        <f t="shared" ca="1" si="408"/>
        <v>0</v>
      </c>
      <c r="V920" s="359">
        <f t="shared" ca="1" si="409"/>
        <v>1.2263366339921749</v>
      </c>
      <c r="W920" s="357">
        <f t="shared" ca="1" si="410"/>
        <v>56.134467935779433</v>
      </c>
      <c r="X920" s="343"/>
      <c r="Y920" s="367" t="str">
        <f t="shared" ca="1" si="428"/>
        <v/>
      </c>
      <c r="Z920" s="368" t="str">
        <f t="shared" ca="1" si="429"/>
        <v/>
      </c>
      <c r="AA920" s="369" t="str">
        <f t="shared" ca="1" si="430"/>
        <v/>
      </c>
      <c r="AB920" s="344"/>
      <c r="AC920" s="363" t="e">
        <f t="shared" ca="1" si="431"/>
        <v>#N/A</v>
      </c>
      <c r="AD920" s="376" t="e">
        <f t="shared" ca="1" si="432"/>
        <v>#N/A</v>
      </c>
      <c r="AE920" s="377" t="e">
        <f t="shared" ca="1" si="411"/>
        <v>#N/A</v>
      </c>
      <c r="AF920" s="344"/>
      <c r="AG920" s="359">
        <f t="shared" ca="1" si="433"/>
        <v>3.0364543988624462</v>
      </c>
      <c r="AH920" s="357">
        <f t="shared" ca="1" si="434"/>
        <v>-6.6969858192194884</v>
      </c>
    </row>
    <row r="921" spans="1:34" x14ac:dyDescent="0.2">
      <c r="A921" s="402">
        <f t="shared" ca="1" si="412"/>
        <v>1E-4</v>
      </c>
      <c r="B921" s="357">
        <f t="shared" ca="1" si="413"/>
        <v>35.320400000000866</v>
      </c>
      <c r="C921" s="342"/>
      <c r="D921" s="359">
        <f t="shared" ca="1" si="414"/>
        <v>-0.83504634173495429</v>
      </c>
      <c r="E921" s="360">
        <f t="shared" ca="1" si="415"/>
        <v>-3.1652390211495263</v>
      </c>
      <c r="F921" s="357">
        <f t="shared" ca="1" si="416"/>
        <v>3.2735363834624689</v>
      </c>
      <c r="G921" s="359">
        <f t="shared" ca="1" si="417"/>
        <v>16.368407430007871</v>
      </c>
      <c r="H921" s="360">
        <f t="shared" ca="1" si="418"/>
        <v>-130.25022531243658</v>
      </c>
      <c r="I921" s="357">
        <f t="shared" ca="1" si="419"/>
        <v>131.27469655548717</v>
      </c>
      <c r="J921" s="359">
        <f t="shared" ca="1" si="420"/>
        <v>953.1802660510491</v>
      </c>
      <c r="K921" s="360">
        <f t="shared" ca="1" si="421"/>
        <v>-10.918373326800042</v>
      </c>
      <c r="L921" s="357">
        <f t="shared" ca="1" si="406"/>
        <v>953.24279722705069</v>
      </c>
      <c r="M921" s="359">
        <f t="shared" ca="1" si="422"/>
        <v>-1.4457827403676109</v>
      </c>
      <c r="N921" s="357">
        <f t="shared" ca="1" si="423"/>
        <v>-82.837249115922575</v>
      </c>
      <c r="O921" s="343"/>
      <c r="P921" s="363">
        <f t="shared" ca="1" si="424"/>
        <v>23</v>
      </c>
      <c r="Q921" s="357">
        <f t="shared" ca="1" si="425"/>
        <v>0</v>
      </c>
      <c r="R921" s="359">
        <f t="shared" ca="1" si="426"/>
        <v>0</v>
      </c>
      <c r="S921" s="360">
        <f t="shared" ca="1" si="427"/>
        <v>8.3819999999999997</v>
      </c>
      <c r="T921" s="357">
        <f t="shared" ca="1" si="407"/>
        <v>82.227419999999995</v>
      </c>
      <c r="U921" s="364">
        <f t="shared" ca="1" si="408"/>
        <v>0</v>
      </c>
      <c r="V921" s="359">
        <f t="shared" ca="1" si="409"/>
        <v>1.2263382312979785</v>
      </c>
      <c r="W921" s="357">
        <f t="shared" ca="1" si="410"/>
        <v>56.134800733113096</v>
      </c>
      <c r="X921" s="343"/>
      <c r="Y921" s="367" t="str">
        <f t="shared" ca="1" si="428"/>
        <v/>
      </c>
      <c r="Z921" s="368" t="str">
        <f t="shared" ca="1" si="429"/>
        <v/>
      </c>
      <c r="AA921" s="369" t="str">
        <f t="shared" ca="1" si="430"/>
        <v/>
      </c>
      <c r="AB921" s="344"/>
      <c r="AC921" s="363" t="e">
        <f t="shared" ca="1" si="431"/>
        <v>#N/A</v>
      </c>
      <c r="AD921" s="376" t="e">
        <f t="shared" ca="1" si="432"/>
        <v>#N/A</v>
      </c>
      <c r="AE921" s="377" t="e">
        <f t="shared" ca="1" si="411"/>
        <v>#N/A</v>
      </c>
      <c r="AF921" s="344"/>
      <c r="AG921" s="359">
        <f t="shared" ca="1" si="433"/>
        <v>3.0364158346215957</v>
      </c>
      <c r="AH921" s="357">
        <f t="shared" ca="1" si="434"/>
        <v>-6.6970255232378237</v>
      </c>
    </row>
    <row r="922" spans="1:34" x14ac:dyDescent="0.2">
      <c r="A922" s="402">
        <f t="shared" ca="1" si="412"/>
        <v>1E-4</v>
      </c>
      <c r="B922" s="357">
        <f t="shared" ca="1" si="413"/>
        <v>35.32050000000087</v>
      </c>
      <c r="C922" s="342"/>
      <c r="D922" s="359">
        <f t="shared" ca="1" si="414"/>
        <v>-0.83504510083037342</v>
      </c>
      <c r="E922" s="360">
        <f t="shared" ca="1" si="415"/>
        <v>-3.1651988491069583</v>
      </c>
      <c r="F922" s="357">
        <f t="shared" ca="1" si="416"/>
        <v>3.2734972238889744</v>
      </c>
      <c r="G922" s="359">
        <f t="shared" ca="1" si="417"/>
        <v>16.368323925497787</v>
      </c>
      <c r="H922" s="360">
        <f t="shared" ca="1" si="418"/>
        <v>-130.25054183232149</v>
      </c>
      <c r="I922" s="357">
        <f t="shared" ca="1" si="419"/>
        <v>131.27500019327118</v>
      </c>
      <c r="J922" s="359">
        <f t="shared" ca="1" si="420"/>
        <v>953.1802660510491</v>
      </c>
      <c r="K922" s="360">
        <f t="shared" ca="1" si="421"/>
        <v>-10.93139836515728</v>
      </c>
      <c r="L922" s="357">
        <f t="shared" ca="1" si="406"/>
        <v>953.24294650386298</v>
      </c>
      <c r="M922" s="359">
        <f t="shared" ca="1" si="422"/>
        <v>-1.4457836721454631</v>
      </c>
      <c r="N922" s="357">
        <f t="shared" ca="1" si="423"/>
        <v>-82.83730250286095</v>
      </c>
      <c r="O922" s="343"/>
      <c r="P922" s="363">
        <f t="shared" ca="1" si="424"/>
        <v>23</v>
      </c>
      <c r="Q922" s="357">
        <f t="shared" ca="1" si="425"/>
        <v>0</v>
      </c>
      <c r="R922" s="359">
        <f t="shared" ca="1" si="426"/>
        <v>0</v>
      </c>
      <c r="S922" s="360">
        <f t="shared" ca="1" si="427"/>
        <v>8.3819999999999997</v>
      </c>
      <c r="T922" s="357">
        <f t="shared" ca="1" si="407"/>
        <v>82.227419999999995</v>
      </c>
      <c r="U922" s="364">
        <f t="shared" ca="1" si="408"/>
        <v>0</v>
      </c>
      <c r="V922" s="359">
        <f t="shared" ca="1" si="409"/>
        <v>1.2263398286097453</v>
      </c>
      <c r="W922" s="357">
        <f t="shared" ca="1" si="410"/>
        <v>56.135133528698702</v>
      </c>
      <c r="X922" s="343"/>
      <c r="Y922" s="367" t="str">
        <f t="shared" ca="1" si="428"/>
        <v/>
      </c>
      <c r="Z922" s="368" t="str">
        <f t="shared" ca="1" si="429"/>
        <v/>
      </c>
      <c r="AA922" s="369" t="str">
        <f t="shared" ca="1" si="430"/>
        <v/>
      </c>
      <c r="AB922" s="344"/>
      <c r="AC922" s="363" t="e">
        <f t="shared" ca="1" si="431"/>
        <v>#N/A</v>
      </c>
      <c r="AD922" s="376" t="e">
        <f t="shared" ca="1" si="432"/>
        <v>#N/A</v>
      </c>
      <c r="AE922" s="377" t="e">
        <f t="shared" ca="1" si="411"/>
        <v>#N/A</v>
      </c>
      <c r="AF922" s="344"/>
      <c r="AG922" s="359">
        <f t="shared" ca="1" si="433"/>
        <v>3.036377270569754</v>
      </c>
      <c r="AH922" s="357">
        <f t="shared" ca="1" si="434"/>
        <v>-6.6970652270476139</v>
      </c>
    </row>
    <row r="923" spans="1:34" x14ac:dyDescent="0.2">
      <c r="A923" s="402">
        <f t="shared" ca="1" si="412"/>
        <v>1E-4</v>
      </c>
      <c r="B923" s="357">
        <f t="shared" ca="1" si="413"/>
        <v>35.320600000000873</v>
      </c>
      <c r="C923" s="342"/>
      <c r="D923" s="359">
        <f t="shared" ca="1" si="414"/>
        <v>-0.83504385988588004</v>
      </c>
      <c r="E923" s="360">
        <f t="shared" ca="1" si="415"/>
        <v>-3.1651586772754241</v>
      </c>
      <c r="F923" s="357">
        <f t="shared" ca="1" si="416"/>
        <v>3.2734580645343572</v>
      </c>
      <c r="G923" s="359">
        <f t="shared" ca="1" si="417"/>
        <v>16.3682404211118</v>
      </c>
      <c r="H923" s="360">
        <f t="shared" ca="1" si="418"/>
        <v>-130.25085834818921</v>
      </c>
      <c r="I923" s="357">
        <f t="shared" ca="1" si="419"/>
        <v>131.27530382719885</v>
      </c>
      <c r="J923" s="359">
        <f t="shared" ca="1" si="420"/>
        <v>953.1802660510491</v>
      </c>
      <c r="K923" s="360">
        <f t="shared" ca="1" si="421"/>
        <v>-10.944423435166305</v>
      </c>
      <c r="L923" s="357">
        <f t="shared" ca="1" si="406"/>
        <v>953.24309595898831</v>
      </c>
      <c r="M923" s="359">
        <f t="shared" ca="1" si="422"/>
        <v>-1.4457846039142515</v>
      </c>
      <c r="N923" s="357">
        <f t="shared" ca="1" si="423"/>
        <v>-82.837355889280005</v>
      </c>
      <c r="O923" s="343"/>
      <c r="P923" s="363">
        <f t="shared" ca="1" si="424"/>
        <v>23</v>
      </c>
      <c r="Q923" s="357">
        <f t="shared" ca="1" si="425"/>
        <v>0</v>
      </c>
      <c r="R923" s="359">
        <f t="shared" ca="1" si="426"/>
        <v>0</v>
      </c>
      <c r="S923" s="360">
        <f t="shared" ca="1" si="427"/>
        <v>8.3819999999999997</v>
      </c>
      <c r="T923" s="357">
        <f t="shared" ca="1" si="407"/>
        <v>82.227419999999995</v>
      </c>
      <c r="U923" s="364">
        <f t="shared" ca="1" si="408"/>
        <v>0</v>
      </c>
      <c r="V923" s="359">
        <f t="shared" ca="1" si="409"/>
        <v>1.2263414259274756</v>
      </c>
      <c r="W923" s="357">
        <f t="shared" ca="1" si="410"/>
        <v>56.135466322536331</v>
      </c>
      <c r="X923" s="343"/>
      <c r="Y923" s="367" t="str">
        <f t="shared" ca="1" si="428"/>
        <v/>
      </c>
      <c r="Z923" s="368" t="str">
        <f t="shared" ca="1" si="429"/>
        <v/>
      </c>
      <c r="AA923" s="369" t="str">
        <f t="shared" ca="1" si="430"/>
        <v/>
      </c>
      <c r="AB923" s="344"/>
      <c r="AC923" s="363" t="e">
        <f t="shared" ca="1" si="431"/>
        <v>#N/A</v>
      </c>
      <c r="AD923" s="376" t="e">
        <f t="shared" ca="1" si="432"/>
        <v>#N/A</v>
      </c>
      <c r="AE923" s="377" t="e">
        <f t="shared" ca="1" si="411"/>
        <v>#N/A</v>
      </c>
      <c r="AF923" s="344"/>
      <c r="AG923" s="359">
        <f t="shared" ca="1" si="433"/>
        <v>3.0363387067069212</v>
      </c>
      <c r="AH923" s="357">
        <f t="shared" ca="1" si="434"/>
        <v>-6.6971049306488553</v>
      </c>
    </row>
    <row r="924" spans="1:34" x14ac:dyDescent="0.2">
      <c r="A924" s="402">
        <f t="shared" ca="1" si="412"/>
        <v>1E-4</v>
      </c>
      <c r="B924" s="357">
        <f t="shared" ca="1" si="413"/>
        <v>35.320700000000876</v>
      </c>
      <c r="C924" s="342"/>
      <c r="D924" s="359">
        <f t="shared" ca="1" si="414"/>
        <v>-0.83504261890147546</v>
      </c>
      <c r="E924" s="360">
        <f t="shared" ca="1" si="415"/>
        <v>-3.1651185056549132</v>
      </c>
      <c r="F924" s="357">
        <f t="shared" ca="1" si="416"/>
        <v>3.2734189053986085</v>
      </c>
      <c r="G924" s="359">
        <f t="shared" ca="1" si="417"/>
        <v>16.368156916849909</v>
      </c>
      <c r="H924" s="360">
        <f t="shared" ca="1" si="418"/>
        <v>-130.25117486003978</v>
      </c>
      <c r="I924" s="357">
        <f t="shared" ca="1" si="419"/>
        <v>131.27560745727016</v>
      </c>
      <c r="J924" s="359">
        <f t="shared" ca="1" si="420"/>
        <v>953.1802660510491</v>
      </c>
      <c r="K924" s="360">
        <f t="shared" ca="1" si="421"/>
        <v>-10.957448536826716</v>
      </c>
      <c r="L924" s="357">
        <f t="shared" ca="1" si="406"/>
        <v>953.24324559242802</v>
      </c>
      <c r="M924" s="359">
        <f t="shared" ca="1" si="422"/>
        <v>-1.4457855356739762</v>
      </c>
      <c r="N924" s="357">
        <f t="shared" ca="1" si="423"/>
        <v>-82.837409275179752</v>
      </c>
      <c r="O924" s="343"/>
      <c r="P924" s="363">
        <f t="shared" ca="1" si="424"/>
        <v>23</v>
      </c>
      <c r="Q924" s="357">
        <f t="shared" ca="1" si="425"/>
        <v>0</v>
      </c>
      <c r="R924" s="359">
        <f t="shared" ca="1" si="426"/>
        <v>0</v>
      </c>
      <c r="S924" s="360">
        <f t="shared" ca="1" si="427"/>
        <v>8.3819999999999997</v>
      </c>
      <c r="T924" s="357">
        <f t="shared" ca="1" si="407"/>
        <v>82.227419999999995</v>
      </c>
      <c r="U924" s="364">
        <f t="shared" ca="1" si="408"/>
        <v>0</v>
      </c>
      <c r="V924" s="359">
        <f t="shared" ca="1" si="409"/>
        <v>1.2263430232511696</v>
      </c>
      <c r="W924" s="357">
        <f t="shared" ca="1" si="410"/>
        <v>56.135799114625925</v>
      </c>
      <c r="X924" s="343"/>
      <c r="Y924" s="367" t="str">
        <f t="shared" ca="1" si="428"/>
        <v/>
      </c>
      <c r="Z924" s="368" t="str">
        <f t="shared" ca="1" si="429"/>
        <v/>
      </c>
      <c r="AA924" s="369" t="str">
        <f t="shared" ca="1" si="430"/>
        <v/>
      </c>
      <c r="AB924" s="344"/>
      <c r="AC924" s="363" t="e">
        <f t="shared" ca="1" si="431"/>
        <v>#N/A</v>
      </c>
      <c r="AD924" s="376" t="e">
        <f t="shared" ca="1" si="432"/>
        <v>#N/A</v>
      </c>
      <c r="AE924" s="377" t="e">
        <f t="shared" ca="1" si="411"/>
        <v>#N/A</v>
      </c>
      <c r="AF924" s="344"/>
      <c r="AG924" s="359">
        <f t="shared" ca="1" si="433"/>
        <v>3.0363001430330909</v>
      </c>
      <c r="AH924" s="357">
        <f t="shared" ca="1" si="434"/>
        <v>-6.6971446340415577</v>
      </c>
    </row>
    <row r="925" spans="1:34" x14ac:dyDescent="0.2">
      <c r="A925" s="402">
        <f t="shared" ca="1" si="412"/>
        <v>1E-4</v>
      </c>
      <c r="B925" s="357">
        <f t="shared" ca="1" si="413"/>
        <v>35.320800000000879</v>
      </c>
      <c r="C925" s="342"/>
      <c r="D925" s="359">
        <f t="shared" ca="1" si="414"/>
        <v>-0.83504137787715893</v>
      </c>
      <c r="E925" s="360">
        <f t="shared" ca="1" si="415"/>
        <v>-3.1650783342454343</v>
      </c>
      <c r="F925" s="357">
        <f t="shared" ca="1" si="416"/>
        <v>3.2733797464817362</v>
      </c>
      <c r="G925" s="359">
        <f t="shared" ca="1" si="417"/>
        <v>16.368073412712121</v>
      </c>
      <c r="H925" s="360">
        <f t="shared" ca="1" si="418"/>
        <v>-130.2514913678732</v>
      </c>
      <c r="I925" s="357">
        <f t="shared" ca="1" si="419"/>
        <v>131.27591108348508</v>
      </c>
      <c r="J925" s="359">
        <f t="shared" ca="1" si="420"/>
        <v>953.1802660510491</v>
      </c>
      <c r="K925" s="360">
        <f t="shared" ca="1" si="421"/>
        <v>-10.970473670138112</v>
      </c>
      <c r="L925" s="357">
        <f t="shared" ca="1" si="406"/>
        <v>953.24339540418316</v>
      </c>
      <c r="M925" s="359">
        <f t="shared" ca="1" si="422"/>
        <v>-1.4457864674246372</v>
      </c>
      <c r="N925" s="357">
        <f t="shared" ca="1" si="423"/>
        <v>-82.837462660560192</v>
      </c>
      <c r="O925" s="343"/>
      <c r="P925" s="363">
        <f t="shared" ca="1" si="424"/>
        <v>23</v>
      </c>
      <c r="Q925" s="357">
        <f t="shared" ca="1" si="425"/>
        <v>0</v>
      </c>
      <c r="R925" s="359">
        <f t="shared" ca="1" si="426"/>
        <v>0</v>
      </c>
      <c r="S925" s="360">
        <f t="shared" ca="1" si="427"/>
        <v>8.3819999999999997</v>
      </c>
      <c r="T925" s="357">
        <f t="shared" ca="1" si="407"/>
        <v>82.227419999999995</v>
      </c>
      <c r="U925" s="364">
        <f t="shared" ca="1" si="408"/>
        <v>0</v>
      </c>
      <c r="V925" s="359">
        <f t="shared" ca="1" si="409"/>
        <v>1.2263446205808262</v>
      </c>
      <c r="W925" s="357">
        <f t="shared" ca="1" si="410"/>
        <v>56.136131904967399</v>
      </c>
      <c r="X925" s="343"/>
      <c r="Y925" s="367" t="str">
        <f t="shared" ca="1" si="428"/>
        <v/>
      </c>
      <c r="Z925" s="368" t="str">
        <f t="shared" ca="1" si="429"/>
        <v/>
      </c>
      <c r="AA925" s="369" t="str">
        <f t="shared" ca="1" si="430"/>
        <v/>
      </c>
      <c r="AB925" s="344"/>
      <c r="AC925" s="363" t="e">
        <f t="shared" ca="1" si="431"/>
        <v>#N/A</v>
      </c>
      <c r="AD925" s="376" t="e">
        <f t="shared" ca="1" si="432"/>
        <v>#N/A</v>
      </c>
      <c r="AE925" s="377" t="e">
        <f t="shared" ca="1" si="411"/>
        <v>#N/A</v>
      </c>
      <c r="AF925" s="344"/>
      <c r="AG925" s="359">
        <f t="shared" ca="1" si="433"/>
        <v>3.0362615795482695</v>
      </c>
      <c r="AH925" s="357">
        <f t="shared" ca="1" si="434"/>
        <v>-6.6971843372257132</v>
      </c>
    </row>
    <row r="926" spans="1:34" x14ac:dyDescent="0.2">
      <c r="A926" s="402">
        <f t="shared" ca="1" si="412"/>
        <v>1E-4</v>
      </c>
      <c r="B926" s="357">
        <f t="shared" ca="1" si="413"/>
        <v>35.320900000000883</v>
      </c>
      <c r="C926" s="342"/>
      <c r="D926" s="359">
        <f t="shared" ca="1" si="414"/>
        <v>-0.83504013681293099</v>
      </c>
      <c r="E926" s="360">
        <f t="shared" ca="1" si="415"/>
        <v>-3.1650381630469964</v>
      </c>
      <c r="F926" s="357">
        <f t="shared" ca="1" si="416"/>
        <v>3.2733405877837494</v>
      </c>
      <c r="G926" s="359">
        <f t="shared" ca="1" si="417"/>
        <v>16.367989908698441</v>
      </c>
      <c r="H926" s="360">
        <f t="shared" ca="1" si="418"/>
        <v>-130.25180787168949</v>
      </c>
      <c r="I926" s="357">
        <f t="shared" ca="1" si="419"/>
        <v>131.27621470584367</v>
      </c>
      <c r="J926" s="359">
        <f t="shared" ca="1" si="420"/>
        <v>953.1802660510491</v>
      </c>
      <c r="K926" s="360">
        <f t="shared" ca="1" si="421"/>
        <v>-10.98349883510009</v>
      </c>
      <c r="L926" s="357">
        <f t="shared" ca="1" si="406"/>
        <v>953.24354539425519</v>
      </c>
      <c r="M926" s="359">
        <f t="shared" ca="1" si="422"/>
        <v>-1.4457873991662349</v>
      </c>
      <c r="N926" s="357">
        <f t="shared" ca="1" si="423"/>
        <v>-82.837516045421339</v>
      </c>
      <c r="O926" s="343"/>
      <c r="P926" s="363">
        <f t="shared" ca="1" si="424"/>
        <v>23</v>
      </c>
      <c r="Q926" s="357">
        <f t="shared" ca="1" si="425"/>
        <v>0</v>
      </c>
      <c r="R926" s="359">
        <f t="shared" ca="1" si="426"/>
        <v>0</v>
      </c>
      <c r="S926" s="360">
        <f t="shared" ca="1" si="427"/>
        <v>8.3819999999999997</v>
      </c>
      <c r="T926" s="357">
        <f t="shared" ca="1" si="407"/>
        <v>82.227419999999995</v>
      </c>
      <c r="U926" s="364">
        <f t="shared" ca="1" si="408"/>
        <v>0</v>
      </c>
      <c r="V926" s="359">
        <f t="shared" ca="1" si="409"/>
        <v>1.2263462179164455</v>
      </c>
      <c r="W926" s="357">
        <f t="shared" ca="1" si="410"/>
        <v>56.136464693560775</v>
      </c>
      <c r="X926" s="343"/>
      <c r="Y926" s="367" t="str">
        <f t="shared" ca="1" si="428"/>
        <v/>
      </c>
      <c r="Z926" s="368" t="str">
        <f t="shared" ca="1" si="429"/>
        <v/>
      </c>
      <c r="AA926" s="369" t="str">
        <f t="shared" ca="1" si="430"/>
        <v/>
      </c>
      <c r="AB926" s="344"/>
      <c r="AC926" s="363" t="e">
        <f t="shared" ca="1" si="431"/>
        <v>#N/A</v>
      </c>
      <c r="AD926" s="376" t="e">
        <f t="shared" ca="1" si="432"/>
        <v>#N/A</v>
      </c>
      <c r="AE926" s="377" t="e">
        <f t="shared" ca="1" si="411"/>
        <v>#N/A</v>
      </c>
      <c r="AF926" s="344"/>
      <c r="AG926" s="359">
        <f t="shared" ca="1" si="433"/>
        <v>3.0362230162524675</v>
      </c>
      <c r="AH926" s="357">
        <f t="shared" ca="1" si="434"/>
        <v>-6.6972240402013128</v>
      </c>
    </row>
    <row r="927" spans="1:34" x14ac:dyDescent="0.2">
      <c r="A927" s="402">
        <f t="shared" ca="1" si="412"/>
        <v>1E-4</v>
      </c>
      <c r="B927" s="357">
        <f t="shared" ca="1" si="413"/>
        <v>35.321000000000886</v>
      </c>
      <c r="C927" s="342"/>
      <c r="D927" s="359">
        <f t="shared" ca="1" si="414"/>
        <v>-0.83503889570879208</v>
      </c>
      <c r="E927" s="360">
        <f t="shared" ca="1" si="415"/>
        <v>-3.1649979920595976</v>
      </c>
      <c r="F927" s="357">
        <f t="shared" ca="1" si="416"/>
        <v>3.2733014293046465</v>
      </c>
      <c r="G927" s="359">
        <f t="shared" ca="1" si="417"/>
        <v>16.36790640480887</v>
      </c>
      <c r="H927" s="360">
        <f t="shared" ca="1" si="418"/>
        <v>-130.25212437148869</v>
      </c>
      <c r="I927" s="357">
        <f t="shared" ca="1" si="419"/>
        <v>131.27651832434597</v>
      </c>
      <c r="J927" s="359">
        <f t="shared" ca="1" si="420"/>
        <v>953.1802660510491</v>
      </c>
      <c r="K927" s="360">
        <f t="shared" ca="1" si="421"/>
        <v>-10.996524031712248</v>
      </c>
      <c r="L927" s="357">
        <f t="shared" ca="1" si="406"/>
        <v>953.24369556264503</v>
      </c>
      <c r="M927" s="359">
        <f t="shared" ca="1" si="422"/>
        <v>-1.4457883308987691</v>
      </c>
      <c r="N927" s="357">
        <f t="shared" ca="1" si="423"/>
        <v>-82.837569429763178</v>
      </c>
      <c r="O927" s="343"/>
      <c r="P927" s="363">
        <f t="shared" ca="1" si="424"/>
        <v>23</v>
      </c>
      <c r="Q927" s="357">
        <f t="shared" ca="1" si="425"/>
        <v>0</v>
      </c>
      <c r="R927" s="359">
        <f t="shared" ca="1" si="426"/>
        <v>0</v>
      </c>
      <c r="S927" s="360">
        <f t="shared" ca="1" si="427"/>
        <v>8.3819999999999997</v>
      </c>
      <c r="T927" s="357">
        <f t="shared" ca="1" si="407"/>
        <v>82.227419999999995</v>
      </c>
      <c r="U927" s="364">
        <f t="shared" ca="1" si="408"/>
        <v>0</v>
      </c>
      <c r="V927" s="359">
        <f t="shared" ca="1" si="409"/>
        <v>1.2263478152580283</v>
      </c>
      <c r="W927" s="357">
        <f t="shared" ca="1" si="410"/>
        <v>56.136797480406067</v>
      </c>
      <c r="X927" s="343"/>
      <c r="Y927" s="367" t="str">
        <f t="shared" ca="1" si="428"/>
        <v/>
      </c>
      <c r="Z927" s="368" t="str">
        <f t="shared" ca="1" si="429"/>
        <v/>
      </c>
      <c r="AA927" s="369" t="str">
        <f t="shared" ca="1" si="430"/>
        <v/>
      </c>
      <c r="AB927" s="344"/>
      <c r="AC927" s="363" t="e">
        <f t="shared" ca="1" si="431"/>
        <v>#N/A</v>
      </c>
      <c r="AD927" s="376" t="e">
        <f t="shared" ca="1" si="432"/>
        <v>#N/A</v>
      </c>
      <c r="AE927" s="377" t="e">
        <f t="shared" ca="1" si="411"/>
        <v>#N/A</v>
      </c>
      <c r="AF927" s="344"/>
      <c r="AG927" s="359">
        <f t="shared" ca="1" si="433"/>
        <v>3.036184453145685</v>
      </c>
      <c r="AH927" s="357">
        <f t="shared" ca="1" si="434"/>
        <v>-6.6972637429683584</v>
      </c>
    </row>
    <row r="928" spans="1:34" x14ac:dyDescent="0.2">
      <c r="A928" s="402">
        <f t="shared" ca="1" si="412"/>
        <v>1E-4</v>
      </c>
      <c r="B928" s="357">
        <f t="shared" ca="1" si="413"/>
        <v>35.321100000000889</v>
      </c>
      <c r="C928" s="342"/>
      <c r="D928" s="359">
        <f t="shared" ca="1" si="414"/>
        <v>-0.8350376545647441</v>
      </c>
      <c r="E928" s="360">
        <f t="shared" ca="1" si="415"/>
        <v>-3.1649578212832354</v>
      </c>
      <c r="F928" s="357">
        <f t="shared" ca="1" si="416"/>
        <v>3.2732622710444264</v>
      </c>
      <c r="G928" s="359">
        <f t="shared" ca="1" si="417"/>
        <v>16.367822901043414</v>
      </c>
      <c r="H928" s="360">
        <f t="shared" ca="1" si="418"/>
        <v>-130.25244086727082</v>
      </c>
      <c r="I928" s="357">
        <f t="shared" ca="1" si="419"/>
        <v>131.27682193899196</v>
      </c>
      <c r="J928" s="359">
        <f t="shared" ca="1" si="420"/>
        <v>953.1802660510491</v>
      </c>
      <c r="K928" s="360">
        <f t="shared" ca="1" si="421"/>
        <v>-11.009549259974186</v>
      </c>
      <c r="L928" s="357">
        <f t="shared" ca="1" si="406"/>
        <v>953.24384590935415</v>
      </c>
      <c r="M928" s="359">
        <f t="shared" ca="1" si="422"/>
        <v>-1.4457892626222404</v>
      </c>
      <c r="N928" s="357">
        <f t="shared" ca="1" si="423"/>
        <v>-82.837622813585753</v>
      </c>
      <c r="O928" s="343"/>
      <c r="P928" s="363">
        <f t="shared" ca="1" si="424"/>
        <v>23</v>
      </c>
      <c r="Q928" s="357">
        <f t="shared" ca="1" si="425"/>
        <v>0</v>
      </c>
      <c r="R928" s="359">
        <f t="shared" ca="1" si="426"/>
        <v>0</v>
      </c>
      <c r="S928" s="360">
        <f t="shared" ca="1" si="427"/>
        <v>8.3819999999999997</v>
      </c>
      <c r="T928" s="357">
        <f t="shared" ca="1" si="407"/>
        <v>82.227419999999995</v>
      </c>
      <c r="U928" s="364">
        <f t="shared" ca="1" si="408"/>
        <v>0</v>
      </c>
      <c r="V928" s="359">
        <f t="shared" ca="1" si="409"/>
        <v>1.2263494126055747</v>
      </c>
      <c r="W928" s="357">
        <f t="shared" ca="1" si="410"/>
        <v>56.137130265503274</v>
      </c>
      <c r="X928" s="343"/>
      <c r="Y928" s="367" t="str">
        <f t="shared" ca="1" si="428"/>
        <v/>
      </c>
      <c r="Z928" s="368" t="str">
        <f t="shared" ca="1" si="429"/>
        <v/>
      </c>
      <c r="AA928" s="369" t="str">
        <f t="shared" ca="1" si="430"/>
        <v/>
      </c>
      <c r="AB928" s="344"/>
      <c r="AC928" s="363" t="e">
        <f t="shared" ca="1" si="431"/>
        <v>#N/A</v>
      </c>
      <c r="AD928" s="376" t="e">
        <f t="shared" ca="1" si="432"/>
        <v>#N/A</v>
      </c>
      <c r="AE928" s="377" t="e">
        <f t="shared" ca="1" si="411"/>
        <v>#N/A</v>
      </c>
      <c r="AF928" s="344"/>
      <c r="AG928" s="359">
        <f t="shared" ca="1" si="433"/>
        <v>3.0361458902279184</v>
      </c>
      <c r="AH928" s="357">
        <f t="shared" ca="1" si="434"/>
        <v>-6.6973034455268516</v>
      </c>
    </row>
    <row r="929" spans="1:34" x14ac:dyDescent="0.2">
      <c r="A929" s="402">
        <f t="shared" ca="1" si="412"/>
        <v>1E-4</v>
      </c>
      <c r="B929" s="357">
        <f t="shared" ca="1" si="413"/>
        <v>35.321200000000893</v>
      </c>
      <c r="C929" s="342"/>
      <c r="D929" s="359">
        <f t="shared" ca="1" si="414"/>
        <v>-0.83503641338078571</v>
      </c>
      <c r="E929" s="360">
        <f t="shared" ca="1" si="415"/>
        <v>-3.1649176507179106</v>
      </c>
      <c r="F929" s="357">
        <f t="shared" ca="1" si="416"/>
        <v>3.273223113003088</v>
      </c>
      <c r="G929" s="359">
        <f t="shared" ca="1" si="417"/>
        <v>16.367739397402076</v>
      </c>
      <c r="H929" s="360">
        <f t="shared" ca="1" si="418"/>
        <v>-130.25275735903588</v>
      </c>
      <c r="I929" s="357">
        <f t="shared" ca="1" si="419"/>
        <v>131.27712554978169</v>
      </c>
      <c r="J929" s="359">
        <f t="shared" ca="1" si="420"/>
        <v>953.1802660510491</v>
      </c>
      <c r="K929" s="360">
        <f t="shared" ca="1" si="421"/>
        <v>-11.022574519885501</v>
      </c>
      <c r="L929" s="357">
        <f t="shared" ca="1" si="406"/>
        <v>953.24399643438358</v>
      </c>
      <c r="M929" s="359">
        <f t="shared" ca="1" si="422"/>
        <v>-1.4457901943366485</v>
      </c>
      <c r="N929" s="357">
        <f t="shared" ca="1" si="423"/>
        <v>-82.837676196889049</v>
      </c>
      <c r="O929" s="343"/>
      <c r="P929" s="363">
        <f t="shared" ca="1" si="424"/>
        <v>23</v>
      </c>
      <c r="Q929" s="357">
        <f t="shared" ca="1" si="425"/>
        <v>0</v>
      </c>
      <c r="R929" s="359">
        <f t="shared" ca="1" si="426"/>
        <v>0</v>
      </c>
      <c r="S929" s="360">
        <f t="shared" ca="1" si="427"/>
        <v>8.3819999999999997</v>
      </c>
      <c r="T929" s="357">
        <f t="shared" ca="1" si="407"/>
        <v>82.227419999999995</v>
      </c>
      <c r="U929" s="364">
        <f t="shared" ca="1" si="408"/>
        <v>0</v>
      </c>
      <c r="V929" s="359">
        <f t="shared" ca="1" si="409"/>
        <v>1.2263510099590833</v>
      </c>
      <c r="W929" s="357">
        <f t="shared" ca="1" si="410"/>
        <v>56.137463048852318</v>
      </c>
      <c r="X929" s="343"/>
      <c r="Y929" s="367" t="str">
        <f t="shared" ca="1" si="428"/>
        <v/>
      </c>
      <c r="Z929" s="368" t="str">
        <f t="shared" ca="1" si="429"/>
        <v/>
      </c>
      <c r="AA929" s="369" t="str">
        <f t="shared" ca="1" si="430"/>
        <v/>
      </c>
      <c r="AB929" s="344"/>
      <c r="AC929" s="363" t="e">
        <f t="shared" ca="1" si="431"/>
        <v>#N/A</v>
      </c>
      <c r="AD929" s="376" t="e">
        <f t="shared" ca="1" si="432"/>
        <v>#N/A</v>
      </c>
      <c r="AE929" s="377" t="e">
        <f t="shared" ca="1" si="411"/>
        <v>#N/A</v>
      </c>
      <c r="AF929" s="344"/>
      <c r="AG929" s="359">
        <f t="shared" ca="1" si="433"/>
        <v>3.0361073274991677</v>
      </c>
      <c r="AH929" s="357">
        <f t="shared" ca="1" si="434"/>
        <v>-6.6973431478767926</v>
      </c>
    </row>
    <row r="930" spans="1:34" x14ac:dyDescent="0.2">
      <c r="A930" s="402">
        <f t="shared" ca="1" si="412"/>
        <v>1E-4</v>
      </c>
      <c r="B930" s="357">
        <f t="shared" ca="1" si="413"/>
        <v>35.321300000000896</v>
      </c>
      <c r="C930" s="342"/>
      <c r="D930" s="359">
        <f t="shared" ca="1" si="414"/>
        <v>-0.83503517215691891</v>
      </c>
      <c r="E930" s="360">
        <f t="shared" ca="1" si="415"/>
        <v>-3.1648774803636321</v>
      </c>
      <c r="F930" s="357">
        <f t="shared" ca="1" si="416"/>
        <v>3.2731839551806416</v>
      </c>
      <c r="G930" s="359">
        <f t="shared" ca="1" si="417"/>
        <v>16.367655893884859</v>
      </c>
      <c r="H930" s="360">
        <f t="shared" ca="1" si="418"/>
        <v>-130.25307384678391</v>
      </c>
      <c r="I930" s="357">
        <f t="shared" ca="1" si="419"/>
        <v>131.27742915671516</v>
      </c>
      <c r="J930" s="359">
        <f t="shared" ca="1" si="420"/>
        <v>953.1802660510491</v>
      </c>
      <c r="K930" s="360">
        <f t="shared" ca="1" si="421"/>
        <v>-11.035599811445792</v>
      </c>
      <c r="L930" s="357">
        <f t="shared" ca="1" si="406"/>
        <v>953.24414713773467</v>
      </c>
      <c r="M930" s="359">
        <f t="shared" ca="1" si="422"/>
        <v>-1.4457911260419936</v>
      </c>
      <c r="N930" s="357">
        <f t="shared" ca="1" si="423"/>
        <v>-82.837729579673081</v>
      </c>
      <c r="O930" s="343"/>
      <c r="P930" s="363">
        <f t="shared" ca="1" si="424"/>
        <v>23</v>
      </c>
      <c r="Q930" s="357">
        <f t="shared" ca="1" si="425"/>
        <v>0</v>
      </c>
      <c r="R930" s="359">
        <f t="shared" ca="1" si="426"/>
        <v>0</v>
      </c>
      <c r="S930" s="360">
        <f t="shared" ca="1" si="427"/>
        <v>8.3819999999999997</v>
      </c>
      <c r="T930" s="357">
        <f t="shared" ca="1" si="407"/>
        <v>82.227419999999995</v>
      </c>
      <c r="U930" s="364">
        <f t="shared" ca="1" si="408"/>
        <v>0</v>
      </c>
      <c r="V930" s="359">
        <f t="shared" ca="1" si="409"/>
        <v>1.2263526073185558</v>
      </c>
      <c r="W930" s="357">
        <f t="shared" ca="1" si="410"/>
        <v>56.137795830453278</v>
      </c>
      <c r="X930" s="343"/>
      <c r="Y930" s="367" t="str">
        <f t="shared" ca="1" si="428"/>
        <v/>
      </c>
      <c r="Z930" s="368" t="str">
        <f t="shared" ca="1" si="429"/>
        <v/>
      </c>
      <c r="AA930" s="369" t="str">
        <f t="shared" ca="1" si="430"/>
        <v/>
      </c>
      <c r="AB930" s="344"/>
      <c r="AC930" s="363" t="e">
        <f t="shared" ca="1" si="431"/>
        <v>#N/A</v>
      </c>
      <c r="AD930" s="376" t="e">
        <f t="shared" ca="1" si="432"/>
        <v>#N/A</v>
      </c>
      <c r="AE930" s="377" t="e">
        <f t="shared" ca="1" si="411"/>
        <v>#N/A</v>
      </c>
      <c r="AF930" s="344"/>
      <c r="AG930" s="359">
        <f t="shared" ca="1" si="433"/>
        <v>3.0360687649594453</v>
      </c>
      <c r="AH930" s="357">
        <f t="shared" ca="1" si="434"/>
        <v>-6.6973828500181725</v>
      </c>
    </row>
    <row r="931" spans="1:34" x14ac:dyDescent="0.2">
      <c r="A931" s="402">
        <f t="shared" ca="1" si="412"/>
        <v>1E-4</v>
      </c>
      <c r="B931" s="357">
        <f t="shared" ca="1" si="413"/>
        <v>35.321400000000899</v>
      </c>
      <c r="C931" s="342"/>
      <c r="D931" s="359">
        <f t="shared" ca="1" si="414"/>
        <v>-0.83503393089314515</v>
      </c>
      <c r="E931" s="360">
        <f t="shared" ca="1" si="415"/>
        <v>-3.1648373102203902</v>
      </c>
      <c r="F931" s="357">
        <f t="shared" ca="1" si="416"/>
        <v>3.2731447975770784</v>
      </c>
      <c r="G931" s="359">
        <f t="shared" ca="1" si="417"/>
        <v>16.36757239049177</v>
      </c>
      <c r="H931" s="360">
        <f t="shared" ca="1" si="418"/>
        <v>-130.25339033051492</v>
      </c>
      <c r="I931" s="357">
        <f t="shared" ca="1" si="419"/>
        <v>131.27773275979237</v>
      </c>
      <c r="J931" s="359">
        <f t="shared" ca="1" si="420"/>
        <v>953.1802660510491</v>
      </c>
      <c r="K931" s="360">
        <f t="shared" ca="1" si="421"/>
        <v>-11.048625134654657</v>
      </c>
      <c r="L931" s="357">
        <f t="shared" ca="1" si="406"/>
        <v>953.24429801940846</v>
      </c>
      <c r="M931" s="359">
        <f t="shared" ca="1" si="422"/>
        <v>-1.4457920577382761</v>
      </c>
      <c r="N931" s="357">
        <f t="shared" ca="1" si="423"/>
        <v>-82.837782961937862</v>
      </c>
      <c r="O931" s="343"/>
      <c r="P931" s="363">
        <f t="shared" ca="1" si="424"/>
        <v>23</v>
      </c>
      <c r="Q931" s="357">
        <f t="shared" ca="1" si="425"/>
        <v>0</v>
      </c>
      <c r="R931" s="359">
        <f t="shared" ca="1" si="426"/>
        <v>0</v>
      </c>
      <c r="S931" s="360">
        <f t="shared" ca="1" si="427"/>
        <v>8.3819999999999997</v>
      </c>
      <c r="T931" s="357">
        <f t="shared" ca="1" si="407"/>
        <v>82.227419999999995</v>
      </c>
      <c r="U931" s="364">
        <f t="shared" ca="1" si="408"/>
        <v>0</v>
      </c>
      <c r="V931" s="359">
        <f t="shared" ca="1" si="409"/>
        <v>1.2263542046839908</v>
      </c>
      <c r="W931" s="357">
        <f t="shared" ca="1" si="410"/>
        <v>56.138128610306019</v>
      </c>
      <c r="X931" s="343"/>
      <c r="Y931" s="367" t="str">
        <f t="shared" ca="1" si="428"/>
        <v/>
      </c>
      <c r="Z931" s="368" t="str">
        <f t="shared" ca="1" si="429"/>
        <v/>
      </c>
      <c r="AA931" s="369" t="str">
        <f t="shared" ca="1" si="430"/>
        <v/>
      </c>
      <c r="AB931" s="344"/>
      <c r="AC931" s="363" t="e">
        <f t="shared" ca="1" si="431"/>
        <v>#N/A</v>
      </c>
      <c r="AD931" s="376" t="e">
        <f t="shared" ca="1" si="432"/>
        <v>#N/A</v>
      </c>
      <c r="AE931" s="377" t="e">
        <f t="shared" ca="1" si="411"/>
        <v>#N/A</v>
      </c>
      <c r="AF931" s="344"/>
      <c r="AG931" s="359">
        <f t="shared" ca="1" si="433"/>
        <v>3.0360302026087389</v>
      </c>
      <c r="AH931" s="357">
        <f t="shared" ca="1" si="434"/>
        <v>-6.697422551951</v>
      </c>
    </row>
    <row r="932" spans="1:34" x14ac:dyDescent="0.2">
      <c r="A932" s="402">
        <f t="shared" ca="1" si="412"/>
        <v>1E-4</v>
      </c>
      <c r="B932" s="357">
        <f t="shared" ca="1" si="413"/>
        <v>35.321500000000903</v>
      </c>
      <c r="C932" s="342"/>
      <c r="D932" s="359">
        <f t="shared" ca="1" si="414"/>
        <v>-0.83503268958946097</v>
      </c>
      <c r="E932" s="360">
        <f t="shared" ca="1" si="415"/>
        <v>-3.1647971402882016</v>
      </c>
      <c r="F932" s="357">
        <f t="shared" ca="1" si="416"/>
        <v>3.273105640192413</v>
      </c>
      <c r="G932" s="359">
        <f t="shared" ca="1" si="417"/>
        <v>16.367488887222812</v>
      </c>
      <c r="H932" s="360">
        <f t="shared" ca="1" si="418"/>
        <v>-130.25370681022895</v>
      </c>
      <c r="I932" s="357">
        <f t="shared" ca="1" si="419"/>
        <v>131.27803635901338</v>
      </c>
      <c r="J932" s="359">
        <f t="shared" ca="1" si="420"/>
        <v>953.1802660510491</v>
      </c>
      <c r="K932" s="360">
        <f t="shared" ca="1" si="421"/>
        <v>-11.061650489511694</v>
      </c>
      <c r="L932" s="357">
        <f t="shared" ca="1" si="406"/>
        <v>953.24444907940631</v>
      </c>
      <c r="M932" s="359">
        <f t="shared" ca="1" si="422"/>
        <v>-1.4457929894254959</v>
      </c>
      <c r="N932" s="357">
        <f t="shared" ca="1" si="423"/>
        <v>-82.837836343683378</v>
      </c>
      <c r="O932" s="343"/>
      <c r="P932" s="363">
        <f t="shared" ca="1" si="424"/>
        <v>23</v>
      </c>
      <c r="Q932" s="357">
        <f t="shared" ca="1" si="425"/>
        <v>0</v>
      </c>
      <c r="R932" s="359">
        <f t="shared" ca="1" si="426"/>
        <v>0</v>
      </c>
      <c r="S932" s="360">
        <f t="shared" ca="1" si="427"/>
        <v>8.3819999999999997</v>
      </c>
      <c r="T932" s="357">
        <f t="shared" ca="1" si="407"/>
        <v>82.227419999999995</v>
      </c>
      <c r="U932" s="364">
        <f t="shared" ca="1" si="408"/>
        <v>0</v>
      </c>
      <c r="V932" s="359">
        <f t="shared" ca="1" si="409"/>
        <v>1.2263558020553889</v>
      </c>
      <c r="W932" s="357">
        <f t="shared" ca="1" si="410"/>
        <v>56.138461388410619</v>
      </c>
      <c r="X932" s="343"/>
      <c r="Y932" s="367" t="str">
        <f t="shared" ca="1" si="428"/>
        <v/>
      </c>
      <c r="Z932" s="368" t="str">
        <f t="shared" ca="1" si="429"/>
        <v/>
      </c>
      <c r="AA932" s="369" t="str">
        <f t="shared" ca="1" si="430"/>
        <v/>
      </c>
      <c r="AB932" s="344"/>
      <c r="AC932" s="363" t="e">
        <f t="shared" ca="1" si="431"/>
        <v>#N/A</v>
      </c>
      <c r="AD932" s="376" t="e">
        <f t="shared" ca="1" si="432"/>
        <v>#N/A</v>
      </c>
      <c r="AE932" s="377" t="e">
        <f t="shared" ca="1" si="411"/>
        <v>#N/A</v>
      </c>
      <c r="AF932" s="344"/>
      <c r="AG932" s="359">
        <f t="shared" ca="1" si="433"/>
        <v>3.0359916404470679</v>
      </c>
      <c r="AH932" s="357">
        <f t="shared" ca="1" si="434"/>
        <v>-6.6974622536752593</v>
      </c>
    </row>
    <row r="933" spans="1:34" x14ac:dyDescent="0.2">
      <c r="A933" s="402">
        <f t="shared" ca="1" si="412"/>
        <v>1E-4</v>
      </c>
      <c r="B933" s="357">
        <f t="shared" ca="1" si="413"/>
        <v>35.321600000000906</v>
      </c>
      <c r="C933" s="342"/>
      <c r="D933" s="359">
        <f t="shared" ca="1" si="414"/>
        <v>-0.83503144824587072</v>
      </c>
      <c r="E933" s="360">
        <f t="shared" ca="1" si="415"/>
        <v>-3.1647569705670566</v>
      </c>
      <c r="F933" s="357">
        <f t="shared" ca="1" si="416"/>
        <v>3.2730664830266387</v>
      </c>
      <c r="G933" s="359">
        <f t="shared" ca="1" si="417"/>
        <v>16.367405384077987</v>
      </c>
      <c r="H933" s="360">
        <f t="shared" ca="1" si="418"/>
        <v>-130.254023285926</v>
      </c>
      <c r="I933" s="357">
        <f t="shared" ca="1" si="419"/>
        <v>131.27833995437823</v>
      </c>
      <c r="J933" s="359">
        <f t="shared" ca="1" si="420"/>
        <v>953.1802660510491</v>
      </c>
      <c r="K933" s="360">
        <f t="shared" ca="1" si="421"/>
        <v>-11.074675876016501</v>
      </c>
      <c r="L933" s="357">
        <f t="shared" ca="1" si="406"/>
        <v>953.24460031772935</v>
      </c>
      <c r="M933" s="359">
        <f t="shared" ca="1" si="422"/>
        <v>-1.4457939211036532</v>
      </c>
      <c r="N933" s="357">
        <f t="shared" ca="1" si="423"/>
        <v>-82.837889724909658</v>
      </c>
      <c r="O933" s="343"/>
      <c r="P933" s="363">
        <f t="shared" ca="1" si="424"/>
        <v>23</v>
      </c>
      <c r="Q933" s="357">
        <f t="shared" ca="1" si="425"/>
        <v>0</v>
      </c>
      <c r="R933" s="359">
        <f t="shared" ca="1" si="426"/>
        <v>0</v>
      </c>
      <c r="S933" s="360">
        <f t="shared" ca="1" si="427"/>
        <v>8.3819999999999997</v>
      </c>
      <c r="T933" s="357">
        <f t="shared" ca="1" si="407"/>
        <v>82.227419999999995</v>
      </c>
      <c r="U933" s="364">
        <f t="shared" ca="1" si="408"/>
        <v>0</v>
      </c>
      <c r="V933" s="359">
        <f t="shared" ca="1" si="409"/>
        <v>1.2263573994327499</v>
      </c>
      <c r="W933" s="357">
        <f t="shared" ca="1" si="410"/>
        <v>56.138794164767056</v>
      </c>
      <c r="X933" s="343"/>
      <c r="Y933" s="367" t="str">
        <f t="shared" ca="1" si="428"/>
        <v/>
      </c>
      <c r="Z933" s="368" t="str">
        <f t="shared" ca="1" si="429"/>
        <v/>
      </c>
      <c r="AA933" s="369" t="str">
        <f t="shared" ca="1" si="430"/>
        <v/>
      </c>
      <c r="AB933" s="344"/>
      <c r="AC933" s="363" t="e">
        <f t="shared" ca="1" si="431"/>
        <v>#N/A</v>
      </c>
      <c r="AD933" s="376" t="e">
        <f t="shared" ca="1" si="432"/>
        <v>#N/A</v>
      </c>
      <c r="AE933" s="377" t="e">
        <f t="shared" ca="1" si="411"/>
        <v>#N/A</v>
      </c>
      <c r="AF933" s="344"/>
      <c r="AG933" s="359">
        <f t="shared" ca="1" si="433"/>
        <v>3.0359530784744218</v>
      </c>
      <c r="AH933" s="357">
        <f t="shared" ca="1" si="434"/>
        <v>-6.6975019551909591</v>
      </c>
    </row>
    <row r="934" spans="1:34" x14ac:dyDescent="0.2">
      <c r="A934" s="402">
        <f t="shared" ca="1" si="412"/>
        <v>1E-4</v>
      </c>
      <c r="B934" s="357">
        <f t="shared" ca="1" si="413"/>
        <v>35.321700000000909</v>
      </c>
      <c r="C934" s="342"/>
      <c r="D934" s="359">
        <f t="shared" ca="1" si="414"/>
        <v>-0.83503020686237439</v>
      </c>
      <c r="E934" s="360">
        <f t="shared" ca="1" si="415"/>
        <v>-3.1647168010569589</v>
      </c>
      <c r="F934" s="357">
        <f t="shared" ca="1" si="416"/>
        <v>3.2730273260797578</v>
      </c>
      <c r="G934" s="359">
        <f t="shared" ca="1" si="417"/>
        <v>16.3673218810573</v>
      </c>
      <c r="H934" s="360">
        <f t="shared" ca="1" si="418"/>
        <v>-130.25433975760609</v>
      </c>
      <c r="I934" s="357">
        <f t="shared" ca="1" si="419"/>
        <v>131.27864354588684</v>
      </c>
      <c r="J934" s="359">
        <f t="shared" ca="1" si="420"/>
        <v>953.1802660510491</v>
      </c>
      <c r="K934" s="360">
        <f t="shared" ca="1" si="421"/>
        <v>-11.087701294168678</v>
      </c>
      <c r="L934" s="357">
        <f t="shared" ca="1" si="406"/>
        <v>953.24475173437884</v>
      </c>
      <c r="M934" s="359">
        <f t="shared" ca="1" si="422"/>
        <v>-1.4457948527727482</v>
      </c>
      <c r="N934" s="357">
        <f t="shared" ca="1" si="423"/>
        <v>-82.837943105616702</v>
      </c>
      <c r="O934" s="343"/>
      <c r="P934" s="363">
        <f t="shared" ca="1" si="424"/>
        <v>23</v>
      </c>
      <c r="Q934" s="357">
        <f t="shared" ca="1" si="425"/>
        <v>0</v>
      </c>
      <c r="R934" s="359">
        <f t="shared" ca="1" si="426"/>
        <v>0</v>
      </c>
      <c r="S934" s="360">
        <f t="shared" ca="1" si="427"/>
        <v>8.3819999999999997</v>
      </c>
      <c r="T934" s="357">
        <f t="shared" ca="1" si="407"/>
        <v>82.227419999999995</v>
      </c>
      <c r="U934" s="364">
        <f t="shared" ca="1" si="408"/>
        <v>0</v>
      </c>
      <c r="V934" s="359">
        <f t="shared" ca="1" si="409"/>
        <v>1.2263589968160735</v>
      </c>
      <c r="W934" s="357">
        <f t="shared" ca="1" si="410"/>
        <v>56.139126939375231</v>
      </c>
      <c r="X934" s="343"/>
      <c r="Y934" s="367" t="str">
        <f t="shared" ca="1" si="428"/>
        <v/>
      </c>
      <c r="Z934" s="368" t="str">
        <f t="shared" ca="1" si="429"/>
        <v/>
      </c>
      <c r="AA934" s="369" t="str">
        <f t="shared" ca="1" si="430"/>
        <v/>
      </c>
      <c r="AB934" s="344"/>
      <c r="AC934" s="363" t="e">
        <f t="shared" ca="1" si="431"/>
        <v>#N/A</v>
      </c>
      <c r="AD934" s="376" t="e">
        <f t="shared" ca="1" si="432"/>
        <v>#N/A</v>
      </c>
      <c r="AE934" s="377" t="e">
        <f t="shared" ca="1" si="411"/>
        <v>#N/A</v>
      </c>
      <c r="AF934" s="344"/>
      <c r="AG934" s="359">
        <f t="shared" ca="1" si="433"/>
        <v>3.0359145166908039</v>
      </c>
      <c r="AH934" s="357">
        <f t="shared" ca="1" si="434"/>
        <v>-6.6975416564980979</v>
      </c>
    </row>
    <row r="935" spans="1:34" x14ac:dyDescent="0.2">
      <c r="A935" s="402">
        <f t="shared" ca="1" si="412"/>
        <v>1E-4</v>
      </c>
      <c r="B935" s="357">
        <f t="shared" ca="1" si="413"/>
        <v>35.321800000000913</v>
      </c>
      <c r="C935" s="342"/>
      <c r="D935" s="359">
        <f t="shared" ca="1" si="414"/>
        <v>-0.83502896543897065</v>
      </c>
      <c r="E935" s="360">
        <f t="shared" ca="1" si="415"/>
        <v>-3.1646766317579189</v>
      </c>
      <c r="F935" s="357">
        <f t="shared" ca="1" si="416"/>
        <v>3.2729881693517813</v>
      </c>
      <c r="G935" s="359">
        <f t="shared" ca="1" si="417"/>
        <v>16.367238378160756</v>
      </c>
      <c r="H935" s="360">
        <f t="shared" ca="1" si="418"/>
        <v>-130.25465622526926</v>
      </c>
      <c r="I935" s="357">
        <f t="shared" ca="1" si="419"/>
        <v>131.27894713353933</v>
      </c>
      <c r="J935" s="359">
        <f t="shared" ca="1" si="420"/>
        <v>953.1802660510491</v>
      </c>
      <c r="K935" s="360">
        <f t="shared" ca="1" si="421"/>
        <v>-11.100726743967822</v>
      </c>
      <c r="L935" s="357">
        <f t="shared" ca="1" si="406"/>
        <v>953.24490332935591</v>
      </c>
      <c r="M935" s="359">
        <f t="shared" ca="1" si="422"/>
        <v>-1.4457957844327809</v>
      </c>
      <c r="N935" s="357">
        <f t="shared" ca="1" si="423"/>
        <v>-82.83799648580451</v>
      </c>
      <c r="O935" s="343"/>
      <c r="P935" s="363">
        <f t="shared" ca="1" si="424"/>
        <v>23</v>
      </c>
      <c r="Q935" s="357">
        <f t="shared" ca="1" si="425"/>
        <v>0</v>
      </c>
      <c r="R935" s="359">
        <f t="shared" ca="1" si="426"/>
        <v>0</v>
      </c>
      <c r="S935" s="360">
        <f t="shared" ca="1" si="427"/>
        <v>8.3819999999999997</v>
      </c>
      <c r="T935" s="357">
        <f t="shared" ca="1" si="407"/>
        <v>82.227419999999995</v>
      </c>
      <c r="U935" s="364">
        <f t="shared" ca="1" si="408"/>
        <v>0</v>
      </c>
      <c r="V935" s="359">
        <f t="shared" ca="1" si="409"/>
        <v>1.2263605942053604</v>
      </c>
      <c r="W935" s="357">
        <f t="shared" ca="1" si="410"/>
        <v>56.139459712235244</v>
      </c>
      <c r="X935" s="343"/>
      <c r="Y935" s="367" t="str">
        <f t="shared" ca="1" si="428"/>
        <v/>
      </c>
      <c r="Z935" s="368" t="str">
        <f t="shared" ca="1" si="429"/>
        <v/>
      </c>
      <c r="AA935" s="369" t="str">
        <f t="shared" ca="1" si="430"/>
        <v/>
      </c>
      <c r="AB935" s="344"/>
      <c r="AC935" s="363" t="e">
        <f t="shared" ca="1" si="431"/>
        <v>#N/A</v>
      </c>
      <c r="AD935" s="376" t="e">
        <f t="shared" ca="1" si="432"/>
        <v>#N/A</v>
      </c>
      <c r="AE935" s="377" t="e">
        <f t="shared" ca="1" si="411"/>
        <v>#N/A</v>
      </c>
      <c r="AF935" s="344"/>
      <c r="AG935" s="359">
        <f t="shared" ca="1" si="433"/>
        <v>3.035875955096226</v>
      </c>
      <c r="AH935" s="357">
        <f t="shared" ca="1" si="434"/>
        <v>-6.6975813575966638</v>
      </c>
    </row>
    <row r="936" spans="1:34" x14ac:dyDescent="0.2">
      <c r="A936" s="402">
        <f t="shared" ca="1" si="412"/>
        <v>1E-4</v>
      </c>
      <c r="B936" s="357">
        <f t="shared" ca="1" si="413"/>
        <v>35.321900000000916</v>
      </c>
      <c r="C936" s="342"/>
      <c r="D936" s="359">
        <f t="shared" ca="1" si="414"/>
        <v>-0.83502772397566249</v>
      </c>
      <c r="E936" s="360">
        <f t="shared" ca="1" si="415"/>
        <v>-3.1646364626699244</v>
      </c>
      <c r="F936" s="357">
        <f t="shared" ca="1" si="416"/>
        <v>3.2729490128426972</v>
      </c>
      <c r="G936" s="359">
        <f t="shared" ca="1" si="417"/>
        <v>16.367154875388358</v>
      </c>
      <c r="H936" s="360">
        <f t="shared" ca="1" si="418"/>
        <v>-130.25497268891553</v>
      </c>
      <c r="I936" s="357">
        <f t="shared" ca="1" si="419"/>
        <v>131.27925071733569</v>
      </c>
      <c r="J936" s="359">
        <f t="shared" ca="1" si="420"/>
        <v>953.1802660510491</v>
      </c>
      <c r="K936" s="360">
        <f t="shared" ca="1" si="421"/>
        <v>-11.113752225413531</v>
      </c>
      <c r="L936" s="357">
        <f t="shared" ca="1" si="406"/>
        <v>953.24505510266169</v>
      </c>
      <c r="M936" s="359">
        <f t="shared" ca="1" si="422"/>
        <v>-1.4457967160837515</v>
      </c>
      <c r="N936" s="357">
        <f t="shared" ca="1" si="423"/>
        <v>-82.83804986547311</v>
      </c>
      <c r="O936" s="343"/>
      <c r="P936" s="363">
        <f t="shared" ca="1" si="424"/>
        <v>23</v>
      </c>
      <c r="Q936" s="357">
        <f t="shared" ca="1" si="425"/>
        <v>0</v>
      </c>
      <c r="R936" s="359">
        <f t="shared" ca="1" si="426"/>
        <v>0</v>
      </c>
      <c r="S936" s="360">
        <f t="shared" ca="1" si="427"/>
        <v>8.3819999999999997</v>
      </c>
      <c r="T936" s="357">
        <f t="shared" ca="1" si="407"/>
        <v>82.227419999999995</v>
      </c>
      <c r="U936" s="364">
        <f t="shared" ca="1" si="408"/>
        <v>0</v>
      </c>
      <c r="V936" s="359">
        <f t="shared" ca="1" si="409"/>
        <v>1.22636219160061</v>
      </c>
      <c r="W936" s="357">
        <f t="shared" ca="1" si="410"/>
        <v>56.13979248334703</v>
      </c>
      <c r="X936" s="343"/>
      <c r="Y936" s="367" t="str">
        <f t="shared" ca="1" si="428"/>
        <v/>
      </c>
      <c r="Z936" s="368" t="str">
        <f t="shared" ca="1" si="429"/>
        <v/>
      </c>
      <c r="AA936" s="369" t="str">
        <f t="shared" ca="1" si="430"/>
        <v/>
      </c>
      <c r="AB936" s="344"/>
      <c r="AC936" s="363" t="e">
        <f t="shared" ca="1" si="431"/>
        <v>#N/A</v>
      </c>
      <c r="AD936" s="376" t="e">
        <f t="shared" ca="1" si="432"/>
        <v>#N/A</v>
      </c>
      <c r="AE936" s="377" t="e">
        <f t="shared" ca="1" si="411"/>
        <v>#N/A</v>
      </c>
      <c r="AF936" s="344"/>
      <c r="AG936" s="359">
        <f t="shared" ca="1" si="433"/>
        <v>3.0358373936906791</v>
      </c>
      <c r="AH936" s="357">
        <f t="shared" ca="1" si="434"/>
        <v>-6.6976210584866678</v>
      </c>
    </row>
    <row r="937" spans="1:34" x14ac:dyDescent="0.2">
      <c r="A937" s="402">
        <f t="shared" ca="1" si="412"/>
        <v>1E-4</v>
      </c>
      <c r="B937" s="357">
        <f t="shared" ca="1" si="413"/>
        <v>35.322000000000919</v>
      </c>
      <c r="C937" s="342"/>
      <c r="D937" s="359">
        <f t="shared" ca="1" si="414"/>
        <v>-0.83502648247244926</v>
      </c>
      <c r="E937" s="360">
        <f t="shared" ca="1" si="415"/>
        <v>-3.164596293792985</v>
      </c>
      <c r="F937" s="357">
        <f t="shared" ca="1" si="416"/>
        <v>3.2729098565525154</v>
      </c>
      <c r="G937" s="359">
        <f t="shared" ca="1" si="417"/>
        <v>16.36707137274011</v>
      </c>
      <c r="H937" s="360">
        <f t="shared" ca="1" si="418"/>
        <v>-130.2552891485449</v>
      </c>
      <c r="I937" s="357">
        <f t="shared" ca="1" si="419"/>
        <v>131.27955429727589</v>
      </c>
      <c r="J937" s="359">
        <f t="shared" ca="1" si="420"/>
        <v>953.1802660510491</v>
      </c>
      <c r="K937" s="360">
        <f t="shared" ca="1" si="421"/>
        <v>-11.126777738505405</v>
      </c>
      <c r="L937" s="357">
        <f t="shared" ca="1" si="406"/>
        <v>953.24520705429768</v>
      </c>
      <c r="M937" s="359">
        <f t="shared" ca="1" si="422"/>
        <v>-1.4457976477256602</v>
      </c>
      <c r="N937" s="357">
        <f t="shared" ca="1" si="423"/>
        <v>-82.838103244622502</v>
      </c>
      <c r="O937" s="343"/>
      <c r="P937" s="363">
        <f t="shared" ca="1" si="424"/>
        <v>23</v>
      </c>
      <c r="Q937" s="357">
        <f t="shared" ca="1" si="425"/>
        <v>0</v>
      </c>
      <c r="R937" s="359">
        <f t="shared" ca="1" si="426"/>
        <v>0</v>
      </c>
      <c r="S937" s="360">
        <f t="shared" ca="1" si="427"/>
        <v>8.3819999999999997</v>
      </c>
      <c r="T937" s="357">
        <f t="shared" ca="1" si="407"/>
        <v>82.227419999999995</v>
      </c>
      <c r="U937" s="364">
        <f t="shared" ca="1" si="408"/>
        <v>0</v>
      </c>
      <c r="V937" s="359">
        <f t="shared" ca="1" si="409"/>
        <v>1.226363789001822</v>
      </c>
      <c r="W937" s="357">
        <f t="shared" ca="1" si="410"/>
        <v>56.140125252710526</v>
      </c>
      <c r="X937" s="343"/>
      <c r="Y937" s="367" t="str">
        <f t="shared" ca="1" si="428"/>
        <v/>
      </c>
      <c r="Z937" s="368" t="str">
        <f t="shared" ca="1" si="429"/>
        <v/>
      </c>
      <c r="AA937" s="369" t="str">
        <f t="shared" ca="1" si="430"/>
        <v/>
      </c>
      <c r="AB937" s="344"/>
      <c r="AC937" s="363" t="e">
        <f t="shared" ca="1" si="431"/>
        <v>#N/A</v>
      </c>
      <c r="AD937" s="376" t="e">
        <f t="shared" ca="1" si="432"/>
        <v>#N/A</v>
      </c>
      <c r="AE937" s="377" t="e">
        <f t="shared" ca="1" si="411"/>
        <v>#N/A</v>
      </c>
      <c r="AF937" s="344"/>
      <c r="AG937" s="359">
        <f t="shared" ca="1" si="433"/>
        <v>3.0357988324741685</v>
      </c>
      <c r="AH937" s="357">
        <f t="shared" ca="1" si="434"/>
        <v>-6.6976607591681026</v>
      </c>
    </row>
    <row r="938" spans="1:34" x14ac:dyDescent="0.2">
      <c r="A938" s="402">
        <f t="shared" ca="1" si="412"/>
        <v>1E-4</v>
      </c>
      <c r="B938" s="357">
        <f t="shared" ca="1" si="413"/>
        <v>35.322100000000923</v>
      </c>
      <c r="C938" s="342"/>
      <c r="D938" s="359">
        <f t="shared" ca="1" si="414"/>
        <v>-0.83502524092933006</v>
      </c>
      <c r="E938" s="360">
        <f t="shared" ca="1" si="415"/>
        <v>-3.1645561251271079</v>
      </c>
      <c r="F938" s="357">
        <f t="shared" ca="1" si="416"/>
        <v>3.272870700481243</v>
      </c>
      <c r="G938" s="359">
        <f t="shared" ca="1" si="417"/>
        <v>16.366987870216018</v>
      </c>
      <c r="H938" s="360">
        <f t="shared" ca="1" si="418"/>
        <v>-130.25560560415741</v>
      </c>
      <c r="I938" s="357">
        <f t="shared" ca="1" si="419"/>
        <v>131.27985787336002</v>
      </c>
      <c r="J938" s="359">
        <f t="shared" ca="1" si="420"/>
        <v>953.1802660510491</v>
      </c>
      <c r="K938" s="360">
        <f t="shared" ca="1" si="421"/>
        <v>-11.13980328324304</v>
      </c>
      <c r="L938" s="357">
        <f t="shared" ca="1" si="406"/>
        <v>953.24535918426488</v>
      </c>
      <c r="M938" s="359">
        <f t="shared" ca="1" si="422"/>
        <v>-1.4457985793585071</v>
      </c>
      <c r="N938" s="357">
        <f t="shared" ca="1" si="423"/>
        <v>-82.838156623252672</v>
      </c>
      <c r="O938" s="343"/>
      <c r="P938" s="363">
        <f t="shared" ca="1" si="424"/>
        <v>23</v>
      </c>
      <c r="Q938" s="357">
        <f t="shared" ca="1" si="425"/>
        <v>0</v>
      </c>
      <c r="R938" s="359">
        <f t="shared" ca="1" si="426"/>
        <v>0</v>
      </c>
      <c r="S938" s="360">
        <f t="shared" ca="1" si="427"/>
        <v>8.3819999999999997</v>
      </c>
      <c r="T938" s="357">
        <f t="shared" ca="1" si="407"/>
        <v>82.227419999999995</v>
      </c>
      <c r="U938" s="364">
        <f t="shared" ca="1" si="408"/>
        <v>0</v>
      </c>
      <c r="V938" s="359">
        <f t="shared" ca="1" si="409"/>
        <v>1.2263653864089976</v>
      </c>
      <c r="W938" s="357">
        <f t="shared" ca="1" si="410"/>
        <v>56.140458020325816</v>
      </c>
      <c r="X938" s="343"/>
      <c r="Y938" s="367" t="str">
        <f t="shared" ca="1" si="428"/>
        <v/>
      </c>
      <c r="Z938" s="368" t="str">
        <f t="shared" ca="1" si="429"/>
        <v/>
      </c>
      <c r="AA938" s="369" t="str">
        <f t="shared" ca="1" si="430"/>
        <v/>
      </c>
      <c r="AB938" s="344"/>
      <c r="AC938" s="363" t="e">
        <f t="shared" ca="1" si="431"/>
        <v>#N/A</v>
      </c>
      <c r="AD938" s="376" t="e">
        <f t="shared" ca="1" si="432"/>
        <v>#N/A</v>
      </c>
      <c r="AE938" s="377" t="e">
        <f t="shared" ca="1" si="411"/>
        <v>#N/A</v>
      </c>
      <c r="AF938" s="344"/>
      <c r="AG938" s="359">
        <f t="shared" ca="1" si="433"/>
        <v>3.0357602714467022</v>
      </c>
      <c r="AH938" s="357">
        <f t="shared" ca="1" si="434"/>
        <v>-6.6977004596409602</v>
      </c>
    </row>
    <row r="939" spans="1:34" x14ac:dyDescent="0.2">
      <c r="A939" s="402">
        <f t="shared" ca="1" si="412"/>
        <v>1E-4</v>
      </c>
      <c r="B939" s="357">
        <f t="shared" ca="1" si="413"/>
        <v>35.322200000000926</v>
      </c>
      <c r="C939" s="342"/>
      <c r="D939" s="359">
        <f t="shared" ca="1" si="414"/>
        <v>-0.835023999346308</v>
      </c>
      <c r="E939" s="360">
        <f t="shared" ca="1" si="415"/>
        <v>-3.1645159566722825</v>
      </c>
      <c r="F939" s="357">
        <f t="shared" ca="1" si="416"/>
        <v>3.27283154462887</v>
      </c>
      <c r="G939" s="359">
        <f t="shared" ca="1" si="417"/>
        <v>16.366904367816083</v>
      </c>
      <c r="H939" s="360">
        <f t="shared" ca="1" si="418"/>
        <v>-130.25592205575308</v>
      </c>
      <c r="I939" s="357">
        <f t="shared" ca="1" si="419"/>
        <v>131.28016144558802</v>
      </c>
      <c r="J939" s="359">
        <f t="shared" ca="1" si="420"/>
        <v>953.1802660510491</v>
      </c>
      <c r="K939" s="360">
        <f t="shared" ca="1" si="421"/>
        <v>-11.152828859626036</v>
      </c>
      <c r="L939" s="357">
        <f t="shared" ca="1" si="406"/>
        <v>953.24551149256456</v>
      </c>
      <c r="M939" s="359">
        <f t="shared" ca="1" si="422"/>
        <v>-1.4457995109822923</v>
      </c>
      <c r="N939" s="357">
        <f t="shared" ca="1" si="423"/>
        <v>-82.838210001363663</v>
      </c>
      <c r="O939" s="343"/>
      <c r="P939" s="363">
        <f t="shared" ca="1" si="424"/>
        <v>23</v>
      </c>
      <c r="Q939" s="357">
        <f t="shared" ca="1" si="425"/>
        <v>0</v>
      </c>
      <c r="R939" s="359">
        <f t="shared" ca="1" si="426"/>
        <v>0</v>
      </c>
      <c r="S939" s="360">
        <f t="shared" ca="1" si="427"/>
        <v>8.3819999999999997</v>
      </c>
      <c r="T939" s="357">
        <f t="shared" ca="1" si="407"/>
        <v>82.227419999999995</v>
      </c>
      <c r="U939" s="364">
        <f t="shared" ca="1" si="408"/>
        <v>0</v>
      </c>
      <c r="V939" s="359">
        <f t="shared" ca="1" si="409"/>
        <v>1.2263669838221356</v>
      </c>
      <c r="W939" s="357">
        <f t="shared" ca="1" si="410"/>
        <v>56.140790786192781</v>
      </c>
      <c r="X939" s="343"/>
      <c r="Y939" s="367" t="str">
        <f t="shared" ca="1" si="428"/>
        <v/>
      </c>
      <c r="Z939" s="368" t="str">
        <f t="shared" ca="1" si="429"/>
        <v/>
      </c>
      <c r="AA939" s="369" t="str">
        <f t="shared" ca="1" si="430"/>
        <v/>
      </c>
      <c r="AB939" s="344"/>
      <c r="AC939" s="363" t="e">
        <f t="shared" ca="1" si="431"/>
        <v>#N/A</v>
      </c>
      <c r="AD939" s="376" t="e">
        <f t="shared" ca="1" si="432"/>
        <v>#N/A</v>
      </c>
      <c r="AE939" s="377" t="e">
        <f t="shared" ca="1" si="411"/>
        <v>#N/A</v>
      </c>
      <c r="AF939" s="344"/>
      <c r="AG939" s="359">
        <f t="shared" ca="1" si="433"/>
        <v>3.0357217106082732</v>
      </c>
      <c r="AH939" s="357">
        <f t="shared" ca="1" si="434"/>
        <v>-6.6977401599052513</v>
      </c>
    </row>
    <row r="940" spans="1:34" x14ac:dyDescent="0.2">
      <c r="A940" s="402">
        <f t="shared" ca="1" si="412"/>
        <v>1E-4</v>
      </c>
      <c r="B940" s="357">
        <f t="shared" ca="1" si="413"/>
        <v>35.322300000000929</v>
      </c>
      <c r="C940" s="342"/>
      <c r="D940" s="359">
        <f t="shared" ca="1" si="414"/>
        <v>-0.83502275772338153</v>
      </c>
      <c r="E940" s="360">
        <f t="shared" ca="1" si="415"/>
        <v>-3.164475788428522</v>
      </c>
      <c r="F940" s="357">
        <f t="shared" ca="1" si="416"/>
        <v>3.2727923889954091</v>
      </c>
      <c r="G940" s="359">
        <f t="shared" ca="1" si="417"/>
        <v>16.366820865540312</v>
      </c>
      <c r="H940" s="360">
        <f t="shared" ca="1" si="418"/>
        <v>-130.25623850333193</v>
      </c>
      <c r="I940" s="357">
        <f t="shared" ca="1" si="419"/>
        <v>131.28046501396</v>
      </c>
      <c r="J940" s="359">
        <f t="shared" ca="1" si="420"/>
        <v>953.1802660510491</v>
      </c>
      <c r="K940" s="360">
        <f t="shared" ca="1" si="421"/>
        <v>-11.16585446765399</v>
      </c>
      <c r="L940" s="357">
        <f t="shared" ca="1" si="406"/>
        <v>953.24566397919784</v>
      </c>
      <c r="M940" s="359">
        <f t="shared" ca="1" si="422"/>
        <v>-1.4458004425970159</v>
      </c>
      <c r="N940" s="357">
        <f t="shared" ca="1" si="423"/>
        <v>-82.83826337895546</v>
      </c>
      <c r="O940" s="343"/>
      <c r="P940" s="363">
        <f t="shared" ca="1" si="424"/>
        <v>23</v>
      </c>
      <c r="Q940" s="357">
        <f t="shared" ca="1" si="425"/>
        <v>0</v>
      </c>
      <c r="R940" s="359">
        <f t="shared" ca="1" si="426"/>
        <v>0</v>
      </c>
      <c r="S940" s="360">
        <f t="shared" ca="1" si="427"/>
        <v>8.3819999999999997</v>
      </c>
      <c r="T940" s="357">
        <f t="shared" ca="1" si="407"/>
        <v>82.227419999999995</v>
      </c>
      <c r="U940" s="364">
        <f t="shared" ca="1" si="408"/>
        <v>0</v>
      </c>
      <c r="V940" s="359">
        <f t="shared" ca="1" si="409"/>
        <v>1.2263685812412359</v>
      </c>
      <c r="W940" s="357">
        <f t="shared" ca="1" si="410"/>
        <v>56.141123550311477</v>
      </c>
      <c r="X940" s="343"/>
      <c r="Y940" s="367" t="str">
        <f t="shared" ca="1" si="428"/>
        <v/>
      </c>
      <c r="Z940" s="368" t="str">
        <f t="shared" ca="1" si="429"/>
        <v/>
      </c>
      <c r="AA940" s="369" t="str">
        <f t="shared" ca="1" si="430"/>
        <v/>
      </c>
      <c r="AB940" s="344"/>
      <c r="AC940" s="363" t="e">
        <f t="shared" ca="1" si="431"/>
        <v>#N/A</v>
      </c>
      <c r="AD940" s="376" t="e">
        <f t="shared" ca="1" si="432"/>
        <v>#N/A</v>
      </c>
      <c r="AE940" s="377" t="e">
        <f t="shared" ca="1" si="411"/>
        <v>#N/A</v>
      </c>
      <c r="AF940" s="344"/>
      <c r="AG940" s="359">
        <f t="shared" ca="1" si="433"/>
        <v>3.0356831499588921</v>
      </c>
      <c r="AH940" s="357">
        <f t="shared" ca="1" si="434"/>
        <v>-6.6977798599609617</v>
      </c>
    </row>
    <row r="941" spans="1:34" x14ac:dyDescent="0.2">
      <c r="A941" s="402">
        <f t="shared" ca="1" si="412"/>
        <v>1E-4</v>
      </c>
      <c r="B941" s="357">
        <f t="shared" ca="1" si="413"/>
        <v>35.322400000000933</v>
      </c>
      <c r="C941" s="342"/>
      <c r="D941" s="359">
        <f t="shared" ca="1" si="414"/>
        <v>-0.83502151606055308</v>
      </c>
      <c r="E941" s="360">
        <f t="shared" ca="1" si="415"/>
        <v>-3.164435620395821</v>
      </c>
      <c r="F941" s="357">
        <f t="shared" ca="1" si="416"/>
        <v>3.2727532335808562</v>
      </c>
      <c r="G941" s="359">
        <f t="shared" ca="1" si="417"/>
        <v>16.366737363388705</v>
      </c>
      <c r="H941" s="360">
        <f t="shared" ca="1" si="418"/>
        <v>-130.25655494689397</v>
      </c>
      <c r="I941" s="357">
        <f t="shared" ca="1" si="419"/>
        <v>131.28076857847594</v>
      </c>
      <c r="J941" s="359">
        <f t="shared" ca="1" si="420"/>
        <v>953.1802660510491</v>
      </c>
      <c r="K941" s="360">
        <f t="shared" ca="1" si="421"/>
        <v>-11.178880107326501</v>
      </c>
      <c r="L941" s="357">
        <f t="shared" ca="1" si="406"/>
        <v>953.24581664416598</v>
      </c>
      <c r="M941" s="359">
        <f t="shared" ca="1" si="422"/>
        <v>-1.4458013742026783</v>
      </c>
      <c r="N941" s="357">
        <f t="shared" ca="1" si="423"/>
        <v>-82.838316756028078</v>
      </c>
      <c r="O941" s="343"/>
      <c r="P941" s="363">
        <f t="shared" ca="1" si="424"/>
        <v>23</v>
      </c>
      <c r="Q941" s="357">
        <f t="shared" ca="1" si="425"/>
        <v>0</v>
      </c>
      <c r="R941" s="359">
        <f t="shared" ca="1" si="426"/>
        <v>0</v>
      </c>
      <c r="S941" s="360">
        <f t="shared" ca="1" si="427"/>
        <v>8.3819999999999997</v>
      </c>
      <c r="T941" s="357">
        <f t="shared" ca="1" si="407"/>
        <v>82.227419999999995</v>
      </c>
      <c r="U941" s="364">
        <f t="shared" ca="1" si="408"/>
        <v>0</v>
      </c>
      <c r="V941" s="359">
        <f t="shared" ca="1" si="409"/>
        <v>1.2263701786662995</v>
      </c>
      <c r="W941" s="357">
        <f t="shared" ca="1" si="410"/>
        <v>56.14145631268191</v>
      </c>
      <c r="X941" s="343"/>
      <c r="Y941" s="367" t="str">
        <f t="shared" ca="1" si="428"/>
        <v/>
      </c>
      <c r="Z941" s="368" t="str">
        <f t="shared" ca="1" si="429"/>
        <v/>
      </c>
      <c r="AA941" s="369" t="str">
        <f t="shared" ca="1" si="430"/>
        <v/>
      </c>
      <c r="AB941" s="344"/>
      <c r="AC941" s="363" t="e">
        <f t="shared" ca="1" si="431"/>
        <v>#N/A</v>
      </c>
      <c r="AD941" s="376" t="e">
        <f t="shared" ca="1" si="432"/>
        <v>#N/A</v>
      </c>
      <c r="AE941" s="377" t="e">
        <f t="shared" ca="1" si="411"/>
        <v>#N/A</v>
      </c>
      <c r="AF941" s="344"/>
      <c r="AG941" s="359">
        <f t="shared" ca="1" si="433"/>
        <v>3.0356445894985553</v>
      </c>
      <c r="AH941" s="357">
        <f t="shared" ca="1" si="434"/>
        <v>-6.6978195598080985</v>
      </c>
    </row>
    <row r="942" spans="1:34" x14ac:dyDescent="0.2">
      <c r="A942" s="402">
        <f t="shared" ca="1" si="412"/>
        <v>1E-4</v>
      </c>
      <c r="B942" s="357">
        <f t="shared" ca="1" si="413"/>
        <v>35.322500000000936</v>
      </c>
      <c r="C942" s="342"/>
      <c r="D942" s="359">
        <f t="shared" ca="1" si="414"/>
        <v>-0.83502027435782122</v>
      </c>
      <c r="E942" s="360">
        <f t="shared" ca="1" si="415"/>
        <v>-3.1643954525741789</v>
      </c>
      <c r="F942" s="357">
        <f t="shared" ca="1" si="416"/>
        <v>3.27271407838521</v>
      </c>
      <c r="G942" s="359">
        <f t="shared" ca="1" si="417"/>
        <v>16.366653861361268</v>
      </c>
      <c r="H942" s="360">
        <f t="shared" ca="1" si="418"/>
        <v>-130.25687138643923</v>
      </c>
      <c r="I942" s="357">
        <f t="shared" ca="1" si="419"/>
        <v>131.28107213913583</v>
      </c>
      <c r="J942" s="359">
        <f t="shared" ca="1" si="420"/>
        <v>953.1802660510491</v>
      </c>
      <c r="K942" s="360">
        <f t="shared" ca="1" si="421"/>
        <v>-11.191905778643168</v>
      </c>
      <c r="L942" s="357">
        <f t="shared" ca="1" si="406"/>
        <v>953.24596948747012</v>
      </c>
      <c r="M942" s="359">
        <f t="shared" ca="1" si="422"/>
        <v>-1.4458023057992793</v>
      </c>
      <c r="N942" s="357">
        <f t="shared" ca="1" si="423"/>
        <v>-82.838370132581531</v>
      </c>
      <c r="O942" s="343"/>
      <c r="P942" s="363">
        <f t="shared" ca="1" si="424"/>
        <v>23</v>
      </c>
      <c r="Q942" s="357">
        <f t="shared" ca="1" si="425"/>
        <v>0</v>
      </c>
      <c r="R942" s="359">
        <f t="shared" ca="1" si="426"/>
        <v>0</v>
      </c>
      <c r="S942" s="360">
        <f t="shared" ca="1" si="427"/>
        <v>8.3819999999999997</v>
      </c>
      <c r="T942" s="357">
        <f t="shared" ca="1" si="407"/>
        <v>82.227419999999995</v>
      </c>
      <c r="U942" s="364">
        <f t="shared" ca="1" si="408"/>
        <v>0</v>
      </c>
      <c r="V942" s="359">
        <f t="shared" ca="1" si="409"/>
        <v>1.2263717760973254</v>
      </c>
      <c r="W942" s="357">
        <f t="shared" ca="1" si="410"/>
        <v>56.141789073303983</v>
      </c>
      <c r="X942" s="343"/>
      <c r="Y942" s="367" t="str">
        <f t="shared" ca="1" si="428"/>
        <v/>
      </c>
      <c r="Z942" s="368" t="str">
        <f t="shared" ca="1" si="429"/>
        <v/>
      </c>
      <c r="AA942" s="369" t="str">
        <f t="shared" ca="1" si="430"/>
        <v/>
      </c>
      <c r="AB942" s="344"/>
      <c r="AC942" s="363" t="e">
        <f t="shared" ca="1" si="431"/>
        <v>#N/A</v>
      </c>
      <c r="AD942" s="376" t="e">
        <f t="shared" ca="1" si="432"/>
        <v>#N/A</v>
      </c>
      <c r="AE942" s="377" t="e">
        <f t="shared" ca="1" si="411"/>
        <v>#N/A</v>
      </c>
      <c r="AF942" s="344"/>
      <c r="AG942" s="359">
        <f t="shared" ca="1" si="433"/>
        <v>3.0356060292272637</v>
      </c>
      <c r="AH942" s="357">
        <f t="shared" ca="1" si="434"/>
        <v>-6.6978592594466608</v>
      </c>
    </row>
    <row r="943" spans="1:34" x14ac:dyDescent="0.2">
      <c r="A943" s="402">
        <f t="shared" ca="1" si="412"/>
        <v>1E-4</v>
      </c>
      <c r="B943" s="357">
        <f t="shared" ca="1" si="413"/>
        <v>35.322600000000939</v>
      </c>
      <c r="C943" s="342"/>
      <c r="D943" s="359">
        <f t="shared" ca="1" si="414"/>
        <v>-0.83501903261518795</v>
      </c>
      <c r="E943" s="360">
        <f t="shared" ca="1" si="415"/>
        <v>-3.1643552849636061</v>
      </c>
      <c r="F943" s="357">
        <f t="shared" ca="1" si="416"/>
        <v>3.2726749234084811</v>
      </c>
      <c r="G943" s="359">
        <f t="shared" ca="1" si="417"/>
        <v>16.366570359458006</v>
      </c>
      <c r="H943" s="360">
        <f t="shared" ca="1" si="418"/>
        <v>-130.25718782196773</v>
      </c>
      <c r="I943" s="357">
        <f t="shared" ca="1" si="419"/>
        <v>131.28137569593972</v>
      </c>
      <c r="J943" s="359">
        <f t="shared" ca="1" si="420"/>
        <v>953.1802660510491</v>
      </c>
      <c r="K943" s="360">
        <f t="shared" ca="1" si="421"/>
        <v>-11.204931481603587</v>
      </c>
      <c r="L943" s="357">
        <f t="shared" ca="1" si="406"/>
        <v>953.24612250911161</v>
      </c>
      <c r="M943" s="359">
        <f t="shared" ca="1" si="422"/>
        <v>-1.445803237386819</v>
      </c>
      <c r="N943" s="357">
        <f t="shared" ca="1" si="423"/>
        <v>-82.838423508615804</v>
      </c>
      <c r="O943" s="343"/>
      <c r="P943" s="363">
        <f t="shared" ca="1" si="424"/>
        <v>23</v>
      </c>
      <c r="Q943" s="357">
        <f t="shared" ca="1" si="425"/>
        <v>0</v>
      </c>
      <c r="R943" s="359">
        <f t="shared" ca="1" si="426"/>
        <v>0</v>
      </c>
      <c r="S943" s="360">
        <f t="shared" ca="1" si="427"/>
        <v>8.3819999999999997</v>
      </c>
      <c r="T943" s="357">
        <f t="shared" ca="1" si="407"/>
        <v>82.227419999999995</v>
      </c>
      <c r="U943" s="364">
        <f t="shared" ca="1" si="408"/>
        <v>0</v>
      </c>
      <c r="V943" s="359">
        <f t="shared" ca="1" si="409"/>
        <v>1.2263733735343141</v>
      </c>
      <c r="W943" s="357">
        <f t="shared" ca="1" si="410"/>
        <v>56.142121832177722</v>
      </c>
      <c r="X943" s="343"/>
      <c r="Y943" s="367" t="str">
        <f t="shared" ca="1" si="428"/>
        <v/>
      </c>
      <c r="Z943" s="368" t="str">
        <f t="shared" ca="1" si="429"/>
        <v/>
      </c>
      <c r="AA943" s="369" t="str">
        <f t="shared" ca="1" si="430"/>
        <v/>
      </c>
      <c r="AB943" s="344"/>
      <c r="AC943" s="363" t="e">
        <f t="shared" ca="1" si="431"/>
        <v>#N/A</v>
      </c>
      <c r="AD943" s="376" t="e">
        <f t="shared" ca="1" si="432"/>
        <v>#N/A</v>
      </c>
      <c r="AE943" s="377" t="e">
        <f t="shared" ca="1" si="411"/>
        <v>#N/A</v>
      </c>
      <c r="AF943" s="344"/>
      <c r="AG943" s="359">
        <f t="shared" ca="1" si="433"/>
        <v>3.0355674691450254</v>
      </c>
      <c r="AH943" s="357">
        <f t="shared" ca="1" si="434"/>
        <v>-6.6978989588766389</v>
      </c>
    </row>
    <row r="944" spans="1:34" x14ac:dyDescent="0.2">
      <c r="A944" s="402">
        <f t="shared" ca="1" si="412"/>
        <v>1E-4</v>
      </c>
      <c r="B944" s="357">
        <f t="shared" ca="1" si="413"/>
        <v>35.322700000000943</v>
      </c>
      <c r="C944" s="342"/>
      <c r="D944" s="359">
        <f t="shared" ca="1" si="414"/>
        <v>-0.83501779083265371</v>
      </c>
      <c r="E944" s="360">
        <f t="shared" ca="1" si="415"/>
        <v>-3.1643151175641009</v>
      </c>
      <c r="F944" s="357">
        <f t="shared" ca="1" si="416"/>
        <v>3.2726357686506691</v>
      </c>
      <c r="G944" s="359">
        <f t="shared" ca="1" si="417"/>
        <v>16.366486857678922</v>
      </c>
      <c r="H944" s="360">
        <f t="shared" ca="1" si="418"/>
        <v>-130.25750425347948</v>
      </c>
      <c r="I944" s="357">
        <f t="shared" ca="1" si="419"/>
        <v>131.2816792488876</v>
      </c>
      <c r="J944" s="359">
        <f t="shared" ca="1" si="420"/>
        <v>953.1802660510491</v>
      </c>
      <c r="K944" s="360">
        <f t="shared" ca="1" si="421"/>
        <v>-11.21795721620736</v>
      </c>
      <c r="L944" s="357">
        <f t="shared" ca="1" si="406"/>
        <v>953.24627570909161</v>
      </c>
      <c r="M944" s="359">
        <f t="shared" ca="1" si="422"/>
        <v>-1.4458041689652978</v>
      </c>
      <c r="N944" s="357">
        <f t="shared" ca="1" si="423"/>
        <v>-82.838476884130927</v>
      </c>
      <c r="O944" s="343"/>
      <c r="P944" s="363">
        <f t="shared" ca="1" si="424"/>
        <v>23</v>
      </c>
      <c r="Q944" s="357">
        <f t="shared" ca="1" si="425"/>
        <v>0</v>
      </c>
      <c r="R944" s="359">
        <f t="shared" ca="1" si="426"/>
        <v>0</v>
      </c>
      <c r="S944" s="360">
        <f t="shared" ca="1" si="427"/>
        <v>8.3819999999999997</v>
      </c>
      <c r="T944" s="357">
        <f t="shared" ca="1" si="407"/>
        <v>82.227419999999995</v>
      </c>
      <c r="U944" s="364">
        <f t="shared" ca="1" si="408"/>
        <v>0</v>
      </c>
      <c r="V944" s="359">
        <f t="shared" ca="1" si="409"/>
        <v>1.2263749709772651</v>
      </c>
      <c r="W944" s="357">
        <f t="shared" ca="1" si="410"/>
        <v>56.142454589303107</v>
      </c>
      <c r="X944" s="343"/>
      <c r="Y944" s="367" t="str">
        <f t="shared" ca="1" si="428"/>
        <v/>
      </c>
      <c r="Z944" s="368" t="str">
        <f t="shared" ca="1" si="429"/>
        <v/>
      </c>
      <c r="AA944" s="369" t="str">
        <f t="shared" ca="1" si="430"/>
        <v/>
      </c>
      <c r="AB944" s="344"/>
      <c r="AC944" s="363" t="e">
        <f t="shared" ca="1" si="431"/>
        <v>#N/A</v>
      </c>
      <c r="AD944" s="376" t="e">
        <f t="shared" ca="1" si="432"/>
        <v>#N/A</v>
      </c>
      <c r="AE944" s="377" t="e">
        <f t="shared" ca="1" si="411"/>
        <v>#N/A</v>
      </c>
      <c r="AF944" s="344"/>
      <c r="AG944" s="359">
        <f t="shared" ca="1" si="433"/>
        <v>3.035528909251842</v>
      </c>
      <c r="AH944" s="357">
        <f t="shared" ca="1" si="434"/>
        <v>-6.6979386580980345</v>
      </c>
    </row>
    <row r="945" spans="1:34" x14ac:dyDescent="0.2">
      <c r="A945" s="402">
        <f t="shared" ca="1" si="412"/>
        <v>1E-4</v>
      </c>
      <c r="B945" s="357">
        <f t="shared" ca="1" si="413"/>
        <v>35.322800000000946</v>
      </c>
      <c r="C945" s="342"/>
      <c r="D945" s="359">
        <f t="shared" ca="1" si="414"/>
        <v>-0.83501654901021838</v>
      </c>
      <c r="E945" s="360">
        <f t="shared" ca="1" si="415"/>
        <v>-3.1642749503756651</v>
      </c>
      <c r="F945" s="357">
        <f t="shared" ca="1" si="416"/>
        <v>3.2725966141117748</v>
      </c>
      <c r="G945" s="359">
        <f t="shared" ca="1" si="417"/>
        <v>16.366403356024019</v>
      </c>
      <c r="H945" s="360">
        <f t="shared" ca="1" si="418"/>
        <v>-130.25782068097453</v>
      </c>
      <c r="I945" s="357">
        <f t="shared" ca="1" si="419"/>
        <v>131.28198279797951</v>
      </c>
      <c r="J945" s="359">
        <f t="shared" ca="1" si="420"/>
        <v>953.1802660510491</v>
      </c>
      <c r="K945" s="360">
        <f t="shared" ca="1" si="421"/>
        <v>-11.230982982454082</v>
      </c>
      <c r="L945" s="357">
        <f t="shared" ca="1" si="406"/>
        <v>953.24642908741123</v>
      </c>
      <c r="M945" s="359">
        <f t="shared" ca="1" si="422"/>
        <v>-1.4458051005347159</v>
      </c>
      <c r="N945" s="357">
        <f t="shared" ca="1" si="423"/>
        <v>-82.838530259126898</v>
      </c>
      <c r="O945" s="343"/>
      <c r="P945" s="363">
        <f t="shared" ca="1" si="424"/>
        <v>23</v>
      </c>
      <c r="Q945" s="357">
        <f t="shared" ca="1" si="425"/>
        <v>0</v>
      </c>
      <c r="R945" s="359">
        <f t="shared" ca="1" si="426"/>
        <v>0</v>
      </c>
      <c r="S945" s="360">
        <f t="shared" ca="1" si="427"/>
        <v>8.3819999999999997</v>
      </c>
      <c r="T945" s="357">
        <f t="shared" ca="1" si="407"/>
        <v>82.227419999999995</v>
      </c>
      <c r="U945" s="364">
        <f t="shared" ca="1" si="408"/>
        <v>0</v>
      </c>
      <c r="V945" s="359">
        <f t="shared" ca="1" si="409"/>
        <v>1.2263765684261791</v>
      </c>
      <c r="W945" s="357">
        <f t="shared" ca="1" si="410"/>
        <v>56.14278734468013</v>
      </c>
      <c r="X945" s="343"/>
      <c r="Y945" s="367" t="str">
        <f t="shared" ca="1" si="428"/>
        <v/>
      </c>
      <c r="Z945" s="368" t="str">
        <f t="shared" ca="1" si="429"/>
        <v/>
      </c>
      <c r="AA945" s="369" t="str">
        <f t="shared" ca="1" si="430"/>
        <v/>
      </c>
      <c r="AB945" s="344"/>
      <c r="AC945" s="363" t="e">
        <f t="shared" ca="1" si="431"/>
        <v>#N/A</v>
      </c>
      <c r="AD945" s="376" t="e">
        <f t="shared" ca="1" si="432"/>
        <v>#N/A</v>
      </c>
      <c r="AE945" s="377" t="e">
        <f t="shared" ca="1" si="411"/>
        <v>#N/A</v>
      </c>
      <c r="AF945" s="344"/>
      <c r="AG945" s="359">
        <f t="shared" ca="1" si="433"/>
        <v>3.0354903495477137</v>
      </c>
      <c r="AH945" s="357">
        <f t="shared" ca="1" si="434"/>
        <v>-6.6979783571108458</v>
      </c>
    </row>
    <row r="946" spans="1:34" x14ac:dyDescent="0.2">
      <c r="A946" s="402">
        <f t="shared" ca="1" si="412"/>
        <v>1E-4</v>
      </c>
      <c r="B946" s="357">
        <f t="shared" ca="1" si="413"/>
        <v>35.322900000000949</v>
      </c>
      <c r="C946" s="342"/>
      <c r="D946" s="359">
        <f t="shared" ca="1" si="414"/>
        <v>-0.83501530714788208</v>
      </c>
      <c r="E946" s="360">
        <f t="shared" ca="1" si="415"/>
        <v>-3.1642347833982996</v>
      </c>
      <c r="F946" s="357">
        <f t="shared" ca="1" si="416"/>
        <v>3.2725574597917992</v>
      </c>
      <c r="G946" s="359">
        <f t="shared" ca="1" si="417"/>
        <v>16.366319854493305</v>
      </c>
      <c r="H946" s="360">
        <f t="shared" ca="1" si="418"/>
        <v>-130.25813710445289</v>
      </c>
      <c r="I946" s="357">
        <f t="shared" ca="1" si="419"/>
        <v>131.2822863432155</v>
      </c>
      <c r="J946" s="359">
        <f t="shared" ca="1" si="420"/>
        <v>953.1802660510491</v>
      </c>
      <c r="K946" s="360">
        <f t="shared" ca="1" si="421"/>
        <v>-11.244008780343353</v>
      </c>
      <c r="L946" s="357">
        <f t="shared" ca="1" si="406"/>
        <v>953.24658264407185</v>
      </c>
      <c r="M946" s="359">
        <f t="shared" ca="1" si="422"/>
        <v>-1.445806032095073</v>
      </c>
      <c r="N946" s="357">
        <f t="shared" ca="1" si="423"/>
        <v>-82.838583633603719</v>
      </c>
      <c r="O946" s="343"/>
      <c r="P946" s="363">
        <f t="shared" ca="1" si="424"/>
        <v>23</v>
      </c>
      <c r="Q946" s="357">
        <f t="shared" ca="1" si="425"/>
        <v>0</v>
      </c>
      <c r="R946" s="359">
        <f t="shared" ca="1" si="426"/>
        <v>0</v>
      </c>
      <c r="S946" s="360">
        <f t="shared" ca="1" si="427"/>
        <v>8.3819999999999997</v>
      </c>
      <c r="T946" s="357">
        <f t="shared" ca="1" si="407"/>
        <v>82.227419999999995</v>
      </c>
      <c r="U946" s="364">
        <f t="shared" ca="1" si="408"/>
        <v>0</v>
      </c>
      <c r="V946" s="359">
        <f t="shared" ca="1" si="409"/>
        <v>1.2263781658810557</v>
      </c>
      <c r="W946" s="357">
        <f t="shared" ca="1" si="410"/>
        <v>56.14312009830882</v>
      </c>
      <c r="X946" s="343"/>
      <c r="Y946" s="367" t="str">
        <f t="shared" ca="1" si="428"/>
        <v/>
      </c>
      <c r="Z946" s="368" t="str">
        <f t="shared" ca="1" si="429"/>
        <v/>
      </c>
      <c r="AA946" s="369" t="str">
        <f t="shared" ca="1" si="430"/>
        <v/>
      </c>
      <c r="AB946" s="344"/>
      <c r="AC946" s="363" t="e">
        <f t="shared" ca="1" si="431"/>
        <v>#N/A</v>
      </c>
      <c r="AD946" s="376" t="e">
        <f t="shared" ca="1" si="432"/>
        <v>#N/A</v>
      </c>
      <c r="AE946" s="377" t="e">
        <f t="shared" ca="1" si="411"/>
        <v>#N/A</v>
      </c>
      <c r="AF946" s="344"/>
      <c r="AG946" s="359">
        <f t="shared" ca="1" si="433"/>
        <v>3.035451790032643</v>
      </c>
      <c r="AH946" s="357">
        <f t="shared" ca="1" si="434"/>
        <v>-6.6980180559150719</v>
      </c>
    </row>
    <row r="947" spans="1:34" x14ac:dyDescent="0.2">
      <c r="A947" s="402">
        <f t="shared" ca="1" si="412"/>
        <v>1E-4</v>
      </c>
      <c r="B947" s="357">
        <f t="shared" ca="1" si="413"/>
        <v>35.323000000000953</v>
      </c>
      <c r="C947" s="342"/>
      <c r="D947" s="359">
        <f t="shared" ca="1" si="414"/>
        <v>-0.83501406524564847</v>
      </c>
      <c r="E947" s="360">
        <f t="shared" ca="1" si="415"/>
        <v>-3.1641946166320007</v>
      </c>
      <c r="F947" s="357">
        <f t="shared" ca="1" si="416"/>
        <v>3.272518305690741</v>
      </c>
      <c r="G947" s="359">
        <f t="shared" ca="1" si="417"/>
        <v>16.36623635308678</v>
      </c>
      <c r="H947" s="360">
        <f t="shared" ca="1" si="418"/>
        <v>-130.25845352391454</v>
      </c>
      <c r="I947" s="357">
        <f t="shared" ca="1" si="419"/>
        <v>131.28258988459552</v>
      </c>
      <c r="J947" s="359">
        <f t="shared" ca="1" si="420"/>
        <v>953.1802660510491</v>
      </c>
      <c r="K947" s="360">
        <f t="shared" ca="1" si="421"/>
        <v>-11.257034609874772</v>
      </c>
      <c r="L947" s="357">
        <f t="shared" ca="1" si="406"/>
        <v>953.24673637907449</v>
      </c>
      <c r="M947" s="359">
        <f t="shared" ca="1" si="422"/>
        <v>-1.4458069636463697</v>
      </c>
      <c r="N947" s="357">
        <f t="shared" ca="1" si="423"/>
        <v>-82.838637007561431</v>
      </c>
      <c r="O947" s="343"/>
      <c r="P947" s="363">
        <f t="shared" ca="1" si="424"/>
        <v>23</v>
      </c>
      <c r="Q947" s="357">
        <f t="shared" ca="1" si="425"/>
        <v>0</v>
      </c>
      <c r="R947" s="359">
        <f t="shared" ca="1" si="426"/>
        <v>0</v>
      </c>
      <c r="S947" s="360">
        <f t="shared" ca="1" si="427"/>
        <v>8.3819999999999997</v>
      </c>
      <c r="T947" s="357">
        <f t="shared" ca="1" si="407"/>
        <v>82.227419999999995</v>
      </c>
      <c r="U947" s="364">
        <f t="shared" ca="1" si="408"/>
        <v>0</v>
      </c>
      <c r="V947" s="359">
        <f t="shared" ca="1" si="409"/>
        <v>1.2263797633418945</v>
      </c>
      <c r="W947" s="357">
        <f t="shared" ca="1" si="410"/>
        <v>56.14345285018905</v>
      </c>
      <c r="X947" s="343"/>
      <c r="Y947" s="367" t="str">
        <f t="shared" ca="1" si="428"/>
        <v/>
      </c>
      <c r="Z947" s="368" t="str">
        <f t="shared" ca="1" si="429"/>
        <v/>
      </c>
      <c r="AA947" s="369" t="str">
        <f t="shared" ca="1" si="430"/>
        <v/>
      </c>
      <c r="AB947" s="344"/>
      <c r="AC947" s="363" t="e">
        <f t="shared" ca="1" si="431"/>
        <v>#N/A</v>
      </c>
      <c r="AD947" s="376" t="e">
        <f t="shared" ca="1" si="432"/>
        <v>#N/A</v>
      </c>
      <c r="AE947" s="377" t="e">
        <f t="shared" ca="1" si="411"/>
        <v>#N/A</v>
      </c>
      <c r="AF947" s="344"/>
      <c r="AG947" s="359">
        <f t="shared" ca="1" si="433"/>
        <v>3.0354132307066246</v>
      </c>
      <c r="AH947" s="357">
        <f t="shared" ca="1" si="434"/>
        <v>-6.6980577545107165</v>
      </c>
    </row>
    <row r="948" spans="1:34" x14ac:dyDescent="0.2">
      <c r="A948" s="402">
        <f t="shared" ca="1" si="412"/>
        <v>1E-4</v>
      </c>
      <c r="B948" s="357">
        <f t="shared" ca="1" si="413"/>
        <v>35.323100000000956</v>
      </c>
      <c r="C948" s="342"/>
      <c r="D948" s="359">
        <f t="shared" ca="1" si="414"/>
        <v>-0.83501282330351267</v>
      </c>
      <c r="E948" s="360">
        <f t="shared" ca="1" si="415"/>
        <v>-3.1641544500767855</v>
      </c>
      <c r="F948" s="357">
        <f t="shared" ca="1" si="416"/>
        <v>3.2724791518086143</v>
      </c>
      <c r="G948" s="359">
        <f t="shared" ca="1" si="417"/>
        <v>16.366152851804451</v>
      </c>
      <c r="H948" s="360">
        <f t="shared" ca="1" si="418"/>
        <v>-130.25876993935955</v>
      </c>
      <c r="I948" s="357">
        <f t="shared" ca="1" si="419"/>
        <v>131.28289342211966</v>
      </c>
      <c r="J948" s="359">
        <f t="shared" ca="1" si="420"/>
        <v>953.1802660510491</v>
      </c>
      <c r="K948" s="360">
        <f t="shared" ca="1" si="421"/>
        <v>-11.270060471047936</v>
      </c>
      <c r="L948" s="357">
        <f t="shared" ca="1" si="406"/>
        <v>953.2468902924204</v>
      </c>
      <c r="M948" s="359">
        <f t="shared" ca="1" si="422"/>
        <v>-1.4458078951886058</v>
      </c>
      <c r="N948" s="357">
        <f t="shared" ca="1" si="423"/>
        <v>-82.838690380999992</v>
      </c>
      <c r="O948" s="343"/>
      <c r="P948" s="363">
        <f t="shared" ca="1" si="424"/>
        <v>23</v>
      </c>
      <c r="Q948" s="357">
        <f t="shared" ca="1" si="425"/>
        <v>0</v>
      </c>
      <c r="R948" s="359">
        <f t="shared" ca="1" si="426"/>
        <v>0</v>
      </c>
      <c r="S948" s="360">
        <f t="shared" ca="1" si="427"/>
        <v>8.3819999999999997</v>
      </c>
      <c r="T948" s="357">
        <f t="shared" ca="1" si="407"/>
        <v>82.227419999999995</v>
      </c>
      <c r="U948" s="364">
        <f t="shared" ca="1" si="408"/>
        <v>0</v>
      </c>
      <c r="V948" s="359">
        <f t="shared" ca="1" si="409"/>
        <v>1.2263813608086958</v>
      </c>
      <c r="W948" s="357">
        <f t="shared" ca="1" si="410"/>
        <v>56.143785600320918</v>
      </c>
      <c r="X948" s="343"/>
      <c r="Y948" s="367" t="str">
        <f t="shared" ca="1" si="428"/>
        <v/>
      </c>
      <c r="Z948" s="368" t="str">
        <f t="shared" ca="1" si="429"/>
        <v/>
      </c>
      <c r="AA948" s="369" t="str">
        <f t="shared" ca="1" si="430"/>
        <v/>
      </c>
      <c r="AB948" s="344"/>
      <c r="AC948" s="363" t="e">
        <f t="shared" ca="1" si="431"/>
        <v>#N/A</v>
      </c>
      <c r="AD948" s="376" t="e">
        <f t="shared" ca="1" si="432"/>
        <v>#N/A</v>
      </c>
      <c r="AE948" s="377" t="e">
        <f t="shared" ca="1" si="411"/>
        <v>#N/A</v>
      </c>
      <c r="AF948" s="344"/>
      <c r="AG948" s="359">
        <f t="shared" ca="1" si="433"/>
        <v>3.0353746715696746</v>
      </c>
      <c r="AH948" s="357">
        <f t="shared" ca="1" si="434"/>
        <v>-6.6980974528977635</v>
      </c>
    </row>
    <row r="949" spans="1:34" x14ac:dyDescent="0.2">
      <c r="A949" s="402">
        <f t="shared" ca="1" si="412"/>
        <v>1E-4</v>
      </c>
      <c r="B949" s="357">
        <f t="shared" ca="1" si="413"/>
        <v>35.323200000000959</v>
      </c>
      <c r="C949" s="342"/>
      <c r="D949" s="359">
        <f t="shared" ca="1" si="414"/>
        <v>-0.83501158132148079</v>
      </c>
      <c r="E949" s="360">
        <f t="shared" ca="1" si="415"/>
        <v>-3.1641142837326397</v>
      </c>
      <c r="F949" s="357">
        <f t="shared" ca="1" si="416"/>
        <v>3.2724399981454075</v>
      </c>
      <c r="G949" s="359">
        <f t="shared" ca="1" si="417"/>
        <v>16.366069350646317</v>
      </c>
      <c r="H949" s="360">
        <f t="shared" ca="1" si="418"/>
        <v>-130.25908635078792</v>
      </c>
      <c r="I949" s="357">
        <f t="shared" ca="1" si="419"/>
        <v>131.28319695578787</v>
      </c>
      <c r="J949" s="359">
        <f t="shared" ca="1" si="420"/>
        <v>953.1802660510491</v>
      </c>
      <c r="K949" s="360">
        <f t="shared" ca="1" si="421"/>
        <v>-11.283086363862443</v>
      </c>
      <c r="L949" s="357">
        <f t="shared" ca="1" si="406"/>
        <v>953.24704438411095</v>
      </c>
      <c r="M949" s="359">
        <f t="shared" ca="1" si="422"/>
        <v>-1.4458088267217817</v>
      </c>
      <c r="N949" s="357">
        <f t="shared" ca="1" si="423"/>
        <v>-82.838743753919445</v>
      </c>
      <c r="O949" s="343"/>
      <c r="P949" s="363">
        <f t="shared" ca="1" si="424"/>
        <v>23</v>
      </c>
      <c r="Q949" s="357">
        <f t="shared" ca="1" si="425"/>
        <v>0</v>
      </c>
      <c r="R949" s="359">
        <f t="shared" ca="1" si="426"/>
        <v>0</v>
      </c>
      <c r="S949" s="360">
        <f t="shared" ca="1" si="427"/>
        <v>8.3819999999999997</v>
      </c>
      <c r="T949" s="357">
        <f t="shared" ca="1" si="407"/>
        <v>82.227419999999995</v>
      </c>
      <c r="U949" s="364">
        <f t="shared" ca="1" si="408"/>
        <v>0</v>
      </c>
      <c r="V949" s="359">
        <f t="shared" ca="1" si="409"/>
        <v>1.2263829582814596</v>
      </c>
      <c r="W949" s="357">
        <f t="shared" ca="1" si="410"/>
        <v>56.144118348704332</v>
      </c>
      <c r="X949" s="343"/>
      <c r="Y949" s="367" t="str">
        <f t="shared" ca="1" si="428"/>
        <v/>
      </c>
      <c r="Z949" s="368" t="str">
        <f t="shared" ca="1" si="429"/>
        <v/>
      </c>
      <c r="AA949" s="369" t="str">
        <f t="shared" ca="1" si="430"/>
        <v/>
      </c>
      <c r="AB949" s="344"/>
      <c r="AC949" s="363" t="e">
        <f t="shared" ca="1" si="431"/>
        <v>#N/A</v>
      </c>
      <c r="AD949" s="376" t="e">
        <f t="shared" ca="1" si="432"/>
        <v>#N/A</v>
      </c>
      <c r="AE949" s="377" t="e">
        <f t="shared" ca="1" si="411"/>
        <v>#N/A</v>
      </c>
      <c r="AF949" s="344"/>
      <c r="AG949" s="359">
        <f t="shared" ca="1" si="433"/>
        <v>3.0353361126217875</v>
      </c>
      <c r="AH949" s="357">
        <f t="shared" ca="1" si="434"/>
        <v>-6.6981371510762253</v>
      </c>
    </row>
    <row r="950" spans="1:34" x14ac:dyDescent="0.2">
      <c r="A950" s="402">
        <f t="shared" ca="1" si="412"/>
        <v>1E-4</v>
      </c>
      <c r="B950" s="357">
        <f t="shared" ca="1" si="413"/>
        <v>35.323300000000962</v>
      </c>
      <c r="C950" s="342"/>
      <c r="D950" s="359">
        <f t="shared" ca="1" si="414"/>
        <v>-0.83501033929954904</v>
      </c>
      <c r="E950" s="360">
        <f t="shared" ca="1" si="415"/>
        <v>-3.1640741175995748</v>
      </c>
      <c r="F950" s="357">
        <f t="shared" ca="1" si="416"/>
        <v>3.272400844701131</v>
      </c>
      <c r="G950" s="359">
        <f t="shared" ca="1" si="417"/>
        <v>16.365985849612386</v>
      </c>
      <c r="H950" s="360">
        <f t="shared" ca="1" si="418"/>
        <v>-130.25940275819968</v>
      </c>
      <c r="I950" s="357">
        <f t="shared" ca="1" si="419"/>
        <v>131.28350048560023</v>
      </c>
      <c r="J950" s="359">
        <f t="shared" ca="1" si="420"/>
        <v>953.1802660510491</v>
      </c>
      <c r="K950" s="360">
        <f t="shared" ca="1" si="421"/>
        <v>-11.296112288317893</v>
      </c>
      <c r="L950" s="357">
        <f t="shared" ca="1" si="406"/>
        <v>953.24719865414716</v>
      </c>
      <c r="M950" s="359">
        <f t="shared" ca="1" si="422"/>
        <v>-1.4458097582458973</v>
      </c>
      <c r="N950" s="357">
        <f t="shared" ca="1" si="423"/>
        <v>-82.83879712631979</v>
      </c>
      <c r="O950" s="343"/>
      <c r="P950" s="363">
        <f t="shared" ca="1" si="424"/>
        <v>23</v>
      </c>
      <c r="Q950" s="357">
        <f t="shared" ca="1" si="425"/>
        <v>0</v>
      </c>
      <c r="R950" s="359">
        <f t="shared" ca="1" si="426"/>
        <v>0</v>
      </c>
      <c r="S950" s="360">
        <f t="shared" ca="1" si="427"/>
        <v>8.3819999999999997</v>
      </c>
      <c r="T950" s="357">
        <f t="shared" ca="1" si="407"/>
        <v>82.227419999999995</v>
      </c>
      <c r="U950" s="364">
        <f t="shared" ca="1" si="408"/>
        <v>0</v>
      </c>
      <c r="V950" s="359">
        <f t="shared" ca="1" si="409"/>
        <v>1.2263845557601858</v>
      </c>
      <c r="W950" s="357">
        <f t="shared" ca="1" si="410"/>
        <v>56.144451095339328</v>
      </c>
      <c r="X950" s="343"/>
      <c r="Y950" s="367" t="str">
        <f t="shared" ca="1" si="428"/>
        <v/>
      </c>
      <c r="Z950" s="368" t="str">
        <f t="shared" ca="1" si="429"/>
        <v/>
      </c>
      <c r="AA950" s="369" t="str">
        <f t="shared" ca="1" si="430"/>
        <v/>
      </c>
      <c r="AB950" s="344"/>
      <c r="AC950" s="363" t="e">
        <f t="shared" ca="1" si="431"/>
        <v>#N/A</v>
      </c>
      <c r="AD950" s="376" t="e">
        <f t="shared" ca="1" si="432"/>
        <v>#N/A</v>
      </c>
      <c r="AE950" s="377" t="e">
        <f t="shared" ca="1" si="411"/>
        <v>#N/A</v>
      </c>
      <c r="AF950" s="344"/>
      <c r="AG950" s="359">
        <f t="shared" ca="1" si="433"/>
        <v>3.035297553862967</v>
      </c>
      <c r="AH950" s="357">
        <f t="shared" ca="1" si="434"/>
        <v>-6.6981768490460913</v>
      </c>
    </row>
    <row r="951" spans="1:34" x14ac:dyDescent="0.2">
      <c r="A951" s="402">
        <f t="shared" ca="1" si="412"/>
        <v>1E-4</v>
      </c>
      <c r="B951" s="357">
        <f t="shared" ca="1" si="413"/>
        <v>35.323400000000966</v>
      </c>
      <c r="C951" s="342"/>
      <c r="D951" s="359">
        <f t="shared" ca="1" si="414"/>
        <v>-0.83500909723772043</v>
      </c>
      <c r="E951" s="360">
        <f t="shared" ca="1" si="415"/>
        <v>-3.1640339516775882</v>
      </c>
      <c r="F951" s="357">
        <f t="shared" ca="1" si="416"/>
        <v>3.2723616914757829</v>
      </c>
      <c r="G951" s="359">
        <f t="shared" ca="1" si="417"/>
        <v>16.365902348702662</v>
      </c>
      <c r="H951" s="360">
        <f t="shared" ca="1" si="418"/>
        <v>-130.25971916159486</v>
      </c>
      <c r="I951" s="357">
        <f t="shared" ca="1" si="419"/>
        <v>131.28380401155673</v>
      </c>
      <c r="J951" s="359">
        <f t="shared" ca="1" si="420"/>
        <v>953.1802660510491</v>
      </c>
      <c r="K951" s="360">
        <f t="shared" ca="1" si="421"/>
        <v>-11.309138244413882</v>
      </c>
      <c r="L951" s="357">
        <f t="shared" ca="1" si="406"/>
        <v>953.24735310253027</v>
      </c>
      <c r="M951" s="359">
        <f t="shared" ca="1" si="422"/>
        <v>-1.4458106897609528</v>
      </c>
      <c r="N951" s="357">
        <f t="shared" ca="1" si="423"/>
        <v>-82.838850498201026</v>
      </c>
      <c r="O951" s="343"/>
      <c r="P951" s="363">
        <f t="shared" ca="1" si="424"/>
        <v>23</v>
      </c>
      <c r="Q951" s="357">
        <f t="shared" ca="1" si="425"/>
        <v>0</v>
      </c>
      <c r="R951" s="359">
        <f t="shared" ca="1" si="426"/>
        <v>0</v>
      </c>
      <c r="S951" s="360">
        <f t="shared" ca="1" si="427"/>
        <v>8.3819999999999997</v>
      </c>
      <c r="T951" s="357">
        <f t="shared" ca="1" si="407"/>
        <v>82.227419999999995</v>
      </c>
      <c r="U951" s="364">
        <f t="shared" ca="1" si="408"/>
        <v>0</v>
      </c>
      <c r="V951" s="359">
        <f t="shared" ca="1" si="409"/>
        <v>1.2263861532448745</v>
      </c>
      <c r="W951" s="357">
        <f t="shared" ca="1" si="410"/>
        <v>56.144783840225877</v>
      </c>
      <c r="X951" s="343"/>
      <c r="Y951" s="367" t="str">
        <f t="shared" ca="1" si="428"/>
        <v/>
      </c>
      <c r="Z951" s="368" t="str">
        <f t="shared" ca="1" si="429"/>
        <v/>
      </c>
      <c r="AA951" s="369" t="str">
        <f t="shared" ca="1" si="430"/>
        <v/>
      </c>
      <c r="AB951" s="344"/>
      <c r="AC951" s="363" t="e">
        <f t="shared" ca="1" si="431"/>
        <v>#N/A</v>
      </c>
      <c r="AD951" s="376" t="e">
        <f t="shared" ca="1" si="432"/>
        <v>#N/A</v>
      </c>
      <c r="AE951" s="377" t="e">
        <f t="shared" ca="1" si="411"/>
        <v>#N/A</v>
      </c>
      <c r="AF951" s="344"/>
      <c r="AG951" s="359">
        <f t="shared" ca="1" si="433"/>
        <v>3.0352589952932121</v>
      </c>
      <c r="AH951" s="357">
        <f t="shared" ca="1" si="434"/>
        <v>-6.6982165468073642</v>
      </c>
    </row>
    <row r="952" spans="1:34" x14ac:dyDescent="0.2">
      <c r="A952" s="402">
        <f t="shared" ca="1" si="412"/>
        <v>1E-4</v>
      </c>
      <c r="B952" s="357">
        <f t="shared" ca="1" si="413"/>
        <v>35.323500000000969</v>
      </c>
      <c r="C952" s="342"/>
      <c r="D952" s="359">
        <f t="shared" ca="1" si="414"/>
        <v>-0.83500785513599551</v>
      </c>
      <c r="E952" s="360">
        <f t="shared" ca="1" si="415"/>
        <v>-3.1639937859666807</v>
      </c>
      <c r="F952" s="357">
        <f t="shared" ca="1" si="416"/>
        <v>3.2723225384693646</v>
      </c>
      <c r="G952" s="359">
        <f t="shared" ca="1" si="417"/>
        <v>16.365818847917147</v>
      </c>
      <c r="H952" s="360">
        <f t="shared" ca="1" si="418"/>
        <v>-130.26003556097345</v>
      </c>
      <c r="I952" s="357">
        <f t="shared" ca="1" si="419"/>
        <v>131.28410753365736</v>
      </c>
      <c r="J952" s="359">
        <f t="shared" ca="1" si="420"/>
        <v>953.1802660510491</v>
      </c>
      <c r="K952" s="360">
        <f t="shared" ca="1" si="421"/>
        <v>-11.32216423215001</v>
      </c>
      <c r="L952" s="357">
        <f t="shared" ca="1" si="406"/>
        <v>953.24750772926154</v>
      </c>
      <c r="M952" s="359">
        <f t="shared" ca="1" si="422"/>
        <v>-1.4458116212669485</v>
      </c>
      <c r="N952" s="357">
        <f t="shared" ca="1" si="423"/>
        <v>-82.838903869563168</v>
      </c>
      <c r="O952" s="343"/>
      <c r="P952" s="363">
        <f t="shared" ca="1" si="424"/>
        <v>23</v>
      </c>
      <c r="Q952" s="357">
        <f t="shared" ca="1" si="425"/>
        <v>0</v>
      </c>
      <c r="R952" s="359">
        <f t="shared" ca="1" si="426"/>
        <v>0</v>
      </c>
      <c r="S952" s="360">
        <f t="shared" ca="1" si="427"/>
        <v>8.3819999999999997</v>
      </c>
      <c r="T952" s="357">
        <f t="shared" ca="1" si="407"/>
        <v>82.227419999999995</v>
      </c>
      <c r="U952" s="364">
        <f t="shared" ca="1" si="408"/>
        <v>0</v>
      </c>
      <c r="V952" s="359">
        <f t="shared" ca="1" si="409"/>
        <v>1.2263877507355256</v>
      </c>
      <c r="W952" s="357">
        <f t="shared" ca="1" si="410"/>
        <v>56.145116583363944</v>
      </c>
      <c r="X952" s="343"/>
      <c r="Y952" s="367" t="str">
        <f t="shared" ca="1" si="428"/>
        <v/>
      </c>
      <c r="Z952" s="368" t="str">
        <f t="shared" ca="1" si="429"/>
        <v/>
      </c>
      <c r="AA952" s="369" t="str">
        <f t="shared" ca="1" si="430"/>
        <v/>
      </c>
      <c r="AB952" s="344"/>
      <c r="AC952" s="363" t="e">
        <f t="shared" ca="1" si="431"/>
        <v>#N/A</v>
      </c>
      <c r="AD952" s="376" t="e">
        <f t="shared" ca="1" si="432"/>
        <v>#N/A</v>
      </c>
      <c r="AE952" s="377" t="e">
        <f t="shared" ca="1" si="411"/>
        <v>#N/A</v>
      </c>
      <c r="AF952" s="344"/>
      <c r="AG952" s="359">
        <f t="shared" ca="1" si="433"/>
        <v>3.0352204369125273</v>
      </c>
      <c r="AH952" s="357">
        <f t="shared" ca="1" si="434"/>
        <v>-6.6982562443600431</v>
      </c>
    </row>
    <row r="953" spans="1:34" x14ac:dyDescent="0.2">
      <c r="A953" s="402">
        <f t="shared" ca="1" si="412"/>
        <v>1E-4</v>
      </c>
      <c r="B953" s="357">
        <f t="shared" ca="1" si="413"/>
        <v>35.323600000000972</v>
      </c>
      <c r="C953" s="342"/>
      <c r="D953" s="359">
        <f t="shared" ca="1" si="414"/>
        <v>-0.8350066129943734</v>
      </c>
      <c r="E953" s="360">
        <f t="shared" ca="1" si="415"/>
        <v>-3.1639536204668595</v>
      </c>
      <c r="F953" s="357">
        <f t="shared" ca="1" si="416"/>
        <v>3.2722833856818823</v>
      </c>
      <c r="G953" s="359">
        <f t="shared" ca="1" si="417"/>
        <v>16.365735347255846</v>
      </c>
      <c r="H953" s="360">
        <f t="shared" ca="1" si="418"/>
        <v>-130.26035195633548</v>
      </c>
      <c r="I953" s="357">
        <f t="shared" ca="1" si="419"/>
        <v>131.28441105190217</v>
      </c>
      <c r="J953" s="359">
        <f t="shared" ca="1" si="420"/>
        <v>953.1802660510491</v>
      </c>
      <c r="K953" s="360">
        <f t="shared" ca="1" si="421"/>
        <v>-11.335190251525876</v>
      </c>
      <c r="L953" s="357">
        <f t="shared" ca="1" si="406"/>
        <v>953.24766253434211</v>
      </c>
      <c r="M953" s="359">
        <f t="shared" ca="1" si="422"/>
        <v>-1.4458125527638845</v>
      </c>
      <c r="N953" s="357">
        <f t="shared" ca="1" si="423"/>
        <v>-82.838957240406231</v>
      </c>
      <c r="O953" s="343"/>
      <c r="P953" s="363">
        <f t="shared" ca="1" si="424"/>
        <v>23</v>
      </c>
      <c r="Q953" s="357">
        <f t="shared" ca="1" si="425"/>
        <v>0</v>
      </c>
      <c r="R953" s="359">
        <f t="shared" ca="1" si="426"/>
        <v>0</v>
      </c>
      <c r="S953" s="360">
        <f t="shared" ca="1" si="427"/>
        <v>8.3819999999999997</v>
      </c>
      <c r="T953" s="357">
        <f t="shared" ca="1" si="407"/>
        <v>82.227419999999995</v>
      </c>
      <c r="U953" s="364">
        <f t="shared" ca="1" si="408"/>
        <v>0</v>
      </c>
      <c r="V953" s="359">
        <f t="shared" ca="1" si="409"/>
        <v>1.2263893482321386</v>
      </c>
      <c r="W953" s="357">
        <f t="shared" ca="1" si="410"/>
        <v>56.145449324753493</v>
      </c>
      <c r="X953" s="343"/>
      <c r="Y953" s="367" t="str">
        <f t="shared" ca="1" si="428"/>
        <v/>
      </c>
      <c r="Z953" s="368" t="str">
        <f t="shared" ca="1" si="429"/>
        <v/>
      </c>
      <c r="AA953" s="369" t="str">
        <f t="shared" ca="1" si="430"/>
        <v/>
      </c>
      <c r="AB953" s="344"/>
      <c r="AC953" s="363" t="e">
        <f t="shared" ca="1" si="431"/>
        <v>#N/A</v>
      </c>
      <c r="AD953" s="376" t="e">
        <f t="shared" ca="1" si="432"/>
        <v>#N/A</v>
      </c>
      <c r="AE953" s="377" t="e">
        <f t="shared" ca="1" si="411"/>
        <v>#N/A</v>
      </c>
      <c r="AF953" s="344"/>
      <c r="AG953" s="359">
        <f t="shared" ca="1" si="433"/>
        <v>3.035181878720917</v>
      </c>
      <c r="AH953" s="357">
        <f t="shared" ca="1" si="434"/>
        <v>-6.6982959417041217</v>
      </c>
    </row>
    <row r="954" spans="1:34" x14ac:dyDescent="0.2">
      <c r="A954" s="402">
        <f t="shared" ca="1" si="412"/>
        <v>1E-4</v>
      </c>
      <c r="B954" s="357">
        <f t="shared" ca="1" si="413"/>
        <v>35.323700000000976</v>
      </c>
      <c r="C954" s="342"/>
      <c r="D954" s="359">
        <f t="shared" ca="1" si="414"/>
        <v>-0.83500537081285386</v>
      </c>
      <c r="E954" s="360">
        <f t="shared" ca="1" si="415"/>
        <v>-3.1639134551781263</v>
      </c>
      <c r="F954" s="357">
        <f t="shared" ca="1" si="416"/>
        <v>3.2722442331133386</v>
      </c>
      <c r="G954" s="359">
        <f t="shared" ca="1" si="417"/>
        <v>16.365651846718766</v>
      </c>
      <c r="H954" s="360">
        <f t="shared" ca="1" si="418"/>
        <v>-130.26066834768099</v>
      </c>
      <c r="I954" s="357">
        <f t="shared" ca="1" si="419"/>
        <v>131.2847145662912</v>
      </c>
      <c r="J954" s="359">
        <f t="shared" ca="1" si="420"/>
        <v>953.1802660510491</v>
      </c>
      <c r="K954" s="360">
        <f t="shared" ca="1" si="421"/>
        <v>-11.348216302541077</v>
      </c>
      <c r="L954" s="357">
        <f t="shared" ca="1" si="406"/>
        <v>953.24781751777334</v>
      </c>
      <c r="M954" s="359">
        <f t="shared" ca="1" si="422"/>
        <v>-1.4458134842517607</v>
      </c>
      <c r="N954" s="357">
        <f t="shared" ca="1" si="423"/>
        <v>-82.839010610730199</v>
      </c>
      <c r="O954" s="343"/>
      <c r="P954" s="363">
        <f t="shared" ca="1" si="424"/>
        <v>23</v>
      </c>
      <c r="Q954" s="357">
        <f t="shared" ca="1" si="425"/>
        <v>0</v>
      </c>
      <c r="R954" s="359">
        <f t="shared" ca="1" si="426"/>
        <v>0</v>
      </c>
      <c r="S954" s="360">
        <f t="shared" ca="1" si="427"/>
        <v>8.3819999999999997</v>
      </c>
      <c r="T954" s="357">
        <f t="shared" ca="1" si="407"/>
        <v>82.227419999999995</v>
      </c>
      <c r="U954" s="364">
        <f t="shared" ca="1" si="408"/>
        <v>0</v>
      </c>
      <c r="V954" s="359">
        <f t="shared" ca="1" si="409"/>
        <v>1.2263909457347144</v>
      </c>
      <c r="W954" s="357">
        <f t="shared" ca="1" si="410"/>
        <v>56.145782064394581</v>
      </c>
      <c r="X954" s="343"/>
      <c r="Y954" s="367" t="str">
        <f t="shared" ca="1" si="428"/>
        <v/>
      </c>
      <c r="Z954" s="368" t="str">
        <f t="shared" ca="1" si="429"/>
        <v/>
      </c>
      <c r="AA954" s="369" t="str">
        <f t="shared" ca="1" si="430"/>
        <v/>
      </c>
      <c r="AB954" s="344"/>
      <c r="AC954" s="363" t="e">
        <f t="shared" ca="1" si="431"/>
        <v>#N/A</v>
      </c>
      <c r="AD954" s="376" t="e">
        <f t="shared" ca="1" si="432"/>
        <v>#N/A</v>
      </c>
      <c r="AE954" s="377" t="e">
        <f t="shared" ca="1" si="411"/>
        <v>#N/A</v>
      </c>
      <c r="AF954" s="344"/>
      <c r="AG954" s="359">
        <f t="shared" ca="1" si="433"/>
        <v>3.0351433207183849</v>
      </c>
      <c r="AH954" s="357">
        <f t="shared" ca="1" si="434"/>
        <v>-6.6983356388395965</v>
      </c>
    </row>
    <row r="955" spans="1:34" x14ac:dyDescent="0.2">
      <c r="A955" s="402">
        <f t="shared" ca="1" si="412"/>
        <v>1E-4</v>
      </c>
      <c r="B955" s="357">
        <f t="shared" ca="1" si="413"/>
        <v>35.323800000000979</v>
      </c>
      <c r="C955" s="342"/>
      <c r="D955" s="359">
        <f t="shared" ca="1" si="414"/>
        <v>-0.83500412859144091</v>
      </c>
      <c r="E955" s="360">
        <f t="shared" ca="1" si="415"/>
        <v>-3.1638732901004767</v>
      </c>
      <c r="F955" s="357">
        <f t="shared" ca="1" si="416"/>
        <v>3.2722050807637295</v>
      </c>
      <c r="G955" s="359">
        <f t="shared" ca="1" si="417"/>
        <v>16.365568346305906</v>
      </c>
      <c r="H955" s="360">
        <f t="shared" ca="1" si="418"/>
        <v>-130.26098473501</v>
      </c>
      <c r="I955" s="357">
        <f t="shared" ca="1" si="419"/>
        <v>131.28501807682443</v>
      </c>
      <c r="J955" s="359">
        <f t="shared" ca="1" si="420"/>
        <v>953.1802660510491</v>
      </c>
      <c r="K955" s="360">
        <f t="shared" ca="1" si="421"/>
        <v>-11.361242385195212</v>
      </c>
      <c r="L955" s="357">
        <f t="shared" ca="1" si="406"/>
        <v>953.24797267955614</v>
      </c>
      <c r="M955" s="359">
        <f t="shared" ca="1" si="422"/>
        <v>-1.4458144157305775</v>
      </c>
      <c r="N955" s="357">
        <f t="shared" ca="1" si="423"/>
        <v>-82.839063980535101</v>
      </c>
      <c r="O955" s="343"/>
      <c r="P955" s="363">
        <f t="shared" ca="1" si="424"/>
        <v>23</v>
      </c>
      <c r="Q955" s="357">
        <f t="shared" ca="1" si="425"/>
        <v>0</v>
      </c>
      <c r="R955" s="359">
        <f t="shared" ca="1" si="426"/>
        <v>0</v>
      </c>
      <c r="S955" s="360">
        <f t="shared" ca="1" si="427"/>
        <v>8.3819999999999997</v>
      </c>
      <c r="T955" s="357">
        <f t="shared" ca="1" si="407"/>
        <v>82.227419999999995</v>
      </c>
      <c r="U955" s="364">
        <f t="shared" ca="1" si="408"/>
        <v>0</v>
      </c>
      <c r="V955" s="359">
        <f t="shared" ca="1" si="409"/>
        <v>1.2263925432432525</v>
      </c>
      <c r="W955" s="357">
        <f t="shared" ca="1" si="410"/>
        <v>56.146114802287158</v>
      </c>
      <c r="X955" s="343"/>
      <c r="Y955" s="367" t="str">
        <f t="shared" ca="1" si="428"/>
        <v/>
      </c>
      <c r="Z955" s="368" t="str">
        <f t="shared" ca="1" si="429"/>
        <v/>
      </c>
      <c r="AA955" s="369" t="str">
        <f t="shared" ca="1" si="430"/>
        <v/>
      </c>
      <c r="AB955" s="344"/>
      <c r="AC955" s="363" t="e">
        <f t="shared" ca="1" si="431"/>
        <v>#N/A</v>
      </c>
      <c r="AD955" s="376" t="e">
        <f t="shared" ca="1" si="432"/>
        <v>#N/A</v>
      </c>
      <c r="AE955" s="377" t="e">
        <f t="shared" ca="1" si="411"/>
        <v>#N/A</v>
      </c>
      <c r="AF955" s="344"/>
      <c r="AG955" s="359">
        <f t="shared" ca="1" si="433"/>
        <v>3.0351047629049264</v>
      </c>
      <c r="AH955" s="357">
        <f t="shared" ca="1" si="434"/>
        <v>-6.6983753357664737</v>
      </c>
    </row>
    <row r="956" spans="1:34" x14ac:dyDescent="0.2">
      <c r="A956" s="402">
        <f t="shared" ca="1" si="412"/>
        <v>1E-4</v>
      </c>
      <c r="B956" s="357">
        <f t="shared" ca="1" si="413"/>
        <v>35.323900000000982</v>
      </c>
      <c r="C956" s="342"/>
      <c r="D956" s="359">
        <f t="shared" ca="1" si="414"/>
        <v>-0.83500288633013253</v>
      </c>
      <c r="E956" s="360">
        <f t="shared" ca="1" si="415"/>
        <v>-3.1638331252339151</v>
      </c>
      <c r="F956" s="357">
        <f t="shared" ca="1" si="416"/>
        <v>3.27216592863306</v>
      </c>
      <c r="G956" s="359">
        <f t="shared" ca="1" si="417"/>
        <v>16.365484846017274</v>
      </c>
      <c r="H956" s="360">
        <f t="shared" ca="1" si="418"/>
        <v>-130.26130111832254</v>
      </c>
      <c r="I956" s="357">
        <f t="shared" ca="1" si="419"/>
        <v>131.28532158350194</v>
      </c>
      <c r="J956" s="359">
        <f t="shared" ca="1" si="420"/>
        <v>953.1802660510491</v>
      </c>
      <c r="K956" s="360">
        <f t="shared" ca="1" si="421"/>
        <v>-11.374268499487878</v>
      </c>
      <c r="L956" s="357">
        <f t="shared" ca="1" si="406"/>
        <v>953.2481280196921</v>
      </c>
      <c r="M956" s="359">
        <f t="shared" ca="1" si="422"/>
        <v>-1.4458153472003348</v>
      </c>
      <c r="N956" s="357">
        <f t="shared" ca="1" si="423"/>
        <v>-82.839117349820953</v>
      </c>
      <c r="O956" s="343"/>
      <c r="P956" s="363">
        <f t="shared" ca="1" si="424"/>
        <v>23</v>
      </c>
      <c r="Q956" s="357">
        <f t="shared" ca="1" si="425"/>
        <v>0</v>
      </c>
      <c r="R956" s="359">
        <f t="shared" ca="1" si="426"/>
        <v>0</v>
      </c>
      <c r="S956" s="360">
        <f t="shared" ca="1" si="427"/>
        <v>8.3819999999999997</v>
      </c>
      <c r="T956" s="357">
        <f t="shared" ca="1" si="407"/>
        <v>82.227419999999995</v>
      </c>
      <c r="U956" s="364">
        <f t="shared" ca="1" si="408"/>
        <v>0</v>
      </c>
      <c r="V956" s="359">
        <f t="shared" ca="1" si="409"/>
        <v>1.2263941407577525</v>
      </c>
      <c r="W956" s="357">
        <f t="shared" ca="1" si="410"/>
        <v>56.146447538431218</v>
      </c>
      <c r="X956" s="343"/>
      <c r="Y956" s="367" t="str">
        <f t="shared" ca="1" si="428"/>
        <v/>
      </c>
      <c r="Z956" s="368" t="str">
        <f t="shared" ca="1" si="429"/>
        <v/>
      </c>
      <c r="AA956" s="369" t="str">
        <f t="shared" ca="1" si="430"/>
        <v/>
      </c>
      <c r="AB956" s="344"/>
      <c r="AC956" s="363" t="e">
        <f t="shared" ca="1" si="431"/>
        <v>#N/A</v>
      </c>
      <c r="AD956" s="376" t="e">
        <f t="shared" ca="1" si="432"/>
        <v>#N/A</v>
      </c>
      <c r="AE956" s="377" t="e">
        <f t="shared" ca="1" si="411"/>
        <v>#N/A</v>
      </c>
      <c r="AF956" s="344"/>
      <c r="AG956" s="359">
        <f t="shared" ca="1" si="433"/>
        <v>3.0350662052805468</v>
      </c>
      <c r="AH956" s="357">
        <f t="shared" ca="1" si="434"/>
        <v>-6.698415032484748</v>
      </c>
    </row>
    <row r="957" spans="1:34" x14ac:dyDescent="0.2">
      <c r="A957" s="402">
        <f t="shared" ca="1" si="412"/>
        <v>1E-4</v>
      </c>
      <c r="B957" s="357">
        <f t="shared" ca="1" si="413"/>
        <v>35.324000000000986</v>
      </c>
      <c r="C957" s="342"/>
      <c r="D957" s="359">
        <f t="shared" ca="1" si="414"/>
        <v>-0.8350016440289304</v>
      </c>
      <c r="E957" s="360">
        <f t="shared" ca="1" si="415"/>
        <v>-3.1637929605784416</v>
      </c>
      <c r="F957" s="357">
        <f t="shared" ca="1" si="416"/>
        <v>3.2721267767213296</v>
      </c>
      <c r="G957" s="359">
        <f t="shared" ca="1" si="417"/>
        <v>16.36540134585287</v>
      </c>
      <c r="H957" s="360">
        <f t="shared" ca="1" si="418"/>
        <v>-130.2616174976186</v>
      </c>
      <c r="I957" s="357">
        <f t="shared" ca="1" si="419"/>
        <v>131.28562508632368</v>
      </c>
      <c r="J957" s="359">
        <f t="shared" ca="1" si="420"/>
        <v>953.1802660510491</v>
      </c>
      <c r="K957" s="360">
        <f t="shared" ca="1" si="421"/>
        <v>-11.387294645418674</v>
      </c>
      <c r="L957" s="357">
        <f t="shared" ca="1" si="406"/>
        <v>953.24828353818202</v>
      </c>
      <c r="M957" s="359">
        <f t="shared" ca="1" si="422"/>
        <v>-1.4458162786610329</v>
      </c>
      <c r="N957" s="357">
        <f t="shared" ca="1" si="423"/>
        <v>-82.839170718587738</v>
      </c>
      <c r="O957" s="343"/>
      <c r="P957" s="363">
        <f t="shared" ca="1" si="424"/>
        <v>23</v>
      </c>
      <c r="Q957" s="357">
        <f t="shared" ca="1" si="425"/>
        <v>0</v>
      </c>
      <c r="R957" s="359">
        <f t="shared" ca="1" si="426"/>
        <v>0</v>
      </c>
      <c r="S957" s="360">
        <f t="shared" ca="1" si="427"/>
        <v>8.3819999999999997</v>
      </c>
      <c r="T957" s="357">
        <f t="shared" ca="1" si="407"/>
        <v>82.227419999999995</v>
      </c>
      <c r="U957" s="364">
        <f t="shared" ca="1" si="408"/>
        <v>0</v>
      </c>
      <c r="V957" s="359">
        <f t="shared" ca="1" si="409"/>
        <v>1.2263957382782149</v>
      </c>
      <c r="W957" s="357">
        <f t="shared" ca="1" si="410"/>
        <v>56.146780272826717</v>
      </c>
      <c r="X957" s="343"/>
      <c r="Y957" s="367" t="str">
        <f t="shared" ca="1" si="428"/>
        <v/>
      </c>
      <c r="Z957" s="368" t="str">
        <f t="shared" ca="1" si="429"/>
        <v/>
      </c>
      <c r="AA957" s="369" t="str">
        <f t="shared" ca="1" si="430"/>
        <v/>
      </c>
      <c r="AB957" s="344"/>
      <c r="AC957" s="363" t="e">
        <f t="shared" ca="1" si="431"/>
        <v>#N/A</v>
      </c>
      <c r="AD957" s="376" t="e">
        <f t="shared" ca="1" si="432"/>
        <v>#N/A</v>
      </c>
      <c r="AE957" s="377" t="e">
        <f t="shared" ca="1" si="411"/>
        <v>#N/A</v>
      </c>
      <c r="AF957" s="344"/>
      <c r="AG957" s="359">
        <f t="shared" ca="1" si="433"/>
        <v>3.0350276478452445</v>
      </c>
      <c r="AH957" s="357">
        <f t="shared" ca="1" si="434"/>
        <v>-6.6984547289944194</v>
      </c>
    </row>
    <row r="958" spans="1:34" x14ac:dyDescent="0.2">
      <c r="A958" s="402">
        <f t="shared" ca="1" si="412"/>
        <v>1E-4</v>
      </c>
      <c r="B958" s="357">
        <f t="shared" ca="1" si="413"/>
        <v>35.324100000000989</v>
      </c>
      <c r="C958" s="342"/>
      <c r="D958" s="359">
        <f t="shared" ca="1" si="414"/>
        <v>-0.83500040168783385</v>
      </c>
      <c r="E958" s="360">
        <f t="shared" ca="1" si="415"/>
        <v>-3.1637527961340632</v>
      </c>
      <c r="F958" s="357">
        <f t="shared" ca="1" si="416"/>
        <v>3.2720876250285453</v>
      </c>
      <c r="G958" s="359">
        <f t="shared" ca="1" si="417"/>
        <v>16.365317845812701</v>
      </c>
      <c r="H958" s="360">
        <f t="shared" ca="1" si="418"/>
        <v>-130.26193387289823</v>
      </c>
      <c r="I958" s="357">
        <f t="shared" ca="1" si="419"/>
        <v>131.2859285852897</v>
      </c>
      <c r="J958" s="359">
        <f t="shared" ca="1" si="420"/>
        <v>953.1802660510491</v>
      </c>
      <c r="K958" s="360">
        <f t="shared" ca="1" si="421"/>
        <v>-11.400320822987199</v>
      </c>
      <c r="L958" s="357">
        <f t="shared" ca="1" si="406"/>
        <v>953.24843923502749</v>
      </c>
      <c r="M958" s="359">
        <f t="shared" ca="1" si="422"/>
        <v>-1.4458172101126718</v>
      </c>
      <c r="N958" s="357">
        <f t="shared" ca="1" si="423"/>
        <v>-82.839224086835458</v>
      </c>
      <c r="O958" s="343"/>
      <c r="P958" s="363">
        <f t="shared" ca="1" si="424"/>
        <v>23</v>
      </c>
      <c r="Q958" s="357">
        <f t="shared" ca="1" si="425"/>
        <v>0</v>
      </c>
      <c r="R958" s="359">
        <f t="shared" ca="1" si="426"/>
        <v>0</v>
      </c>
      <c r="S958" s="360">
        <f t="shared" ca="1" si="427"/>
        <v>8.3819999999999997</v>
      </c>
      <c r="T958" s="357">
        <f t="shared" ca="1" si="407"/>
        <v>82.227419999999995</v>
      </c>
      <c r="U958" s="364">
        <f t="shared" ca="1" si="408"/>
        <v>0</v>
      </c>
      <c r="V958" s="359">
        <f t="shared" ca="1" si="409"/>
        <v>1.2263973358046396</v>
      </c>
      <c r="W958" s="357">
        <f t="shared" ca="1" si="410"/>
        <v>56.147113005473685</v>
      </c>
      <c r="X958" s="343"/>
      <c r="Y958" s="367" t="str">
        <f t="shared" ca="1" si="428"/>
        <v/>
      </c>
      <c r="Z958" s="368" t="str">
        <f t="shared" ca="1" si="429"/>
        <v/>
      </c>
      <c r="AA958" s="369" t="str">
        <f t="shared" ca="1" si="430"/>
        <v/>
      </c>
      <c r="AB958" s="344"/>
      <c r="AC958" s="363" t="e">
        <f t="shared" ca="1" si="431"/>
        <v>#N/A</v>
      </c>
      <c r="AD958" s="376" t="e">
        <f t="shared" ca="1" si="432"/>
        <v>#N/A</v>
      </c>
      <c r="AE958" s="377" t="e">
        <f t="shared" ca="1" si="411"/>
        <v>#N/A</v>
      </c>
      <c r="AF958" s="344"/>
      <c r="AG958" s="359">
        <f t="shared" ca="1" si="433"/>
        <v>3.03498909059903</v>
      </c>
      <c r="AH958" s="357">
        <f t="shared" ca="1" si="434"/>
        <v>-6.6984944252954808</v>
      </c>
    </row>
    <row r="959" spans="1:34" x14ac:dyDescent="0.2">
      <c r="A959" s="402">
        <f t="shared" ca="1" si="412"/>
        <v>1E-4</v>
      </c>
      <c r="B959" s="357">
        <f t="shared" ca="1" si="413"/>
        <v>35.324200000000992</v>
      </c>
      <c r="C959" s="342"/>
      <c r="D959" s="359">
        <f t="shared" ca="1" si="414"/>
        <v>-0.8349991593068451</v>
      </c>
      <c r="E959" s="360">
        <f t="shared" ca="1" si="415"/>
        <v>-3.1637126319007756</v>
      </c>
      <c r="F959" s="357">
        <f t="shared" ca="1" si="416"/>
        <v>3.2720484735547042</v>
      </c>
      <c r="G959" s="359">
        <f t="shared" ca="1" si="417"/>
        <v>16.36523434589677</v>
      </c>
      <c r="H959" s="360">
        <f t="shared" ca="1" si="418"/>
        <v>-130.26225024416141</v>
      </c>
      <c r="I959" s="357">
        <f t="shared" ca="1" si="419"/>
        <v>131.2862320804</v>
      </c>
      <c r="J959" s="359">
        <f t="shared" ca="1" si="420"/>
        <v>953.1802660510491</v>
      </c>
      <c r="K959" s="360">
        <f t="shared" ca="1" si="421"/>
        <v>-11.413347032193052</v>
      </c>
      <c r="L959" s="357">
        <f t="shared" ca="1" si="406"/>
        <v>953.24859511022942</v>
      </c>
      <c r="M959" s="359">
        <f t="shared" ca="1" si="422"/>
        <v>-1.445818141555252</v>
      </c>
      <c r="N959" s="357">
        <f t="shared" ca="1" si="423"/>
        <v>-82.839277454564169</v>
      </c>
      <c r="O959" s="343"/>
      <c r="P959" s="363">
        <f t="shared" ca="1" si="424"/>
        <v>23</v>
      </c>
      <c r="Q959" s="357">
        <f t="shared" ca="1" si="425"/>
        <v>0</v>
      </c>
      <c r="R959" s="359">
        <f t="shared" ca="1" si="426"/>
        <v>0</v>
      </c>
      <c r="S959" s="360">
        <f t="shared" ca="1" si="427"/>
        <v>8.3819999999999997</v>
      </c>
      <c r="T959" s="357">
        <f t="shared" ca="1" si="407"/>
        <v>82.227419999999995</v>
      </c>
      <c r="U959" s="364">
        <f t="shared" ca="1" si="408"/>
        <v>0</v>
      </c>
      <c r="V959" s="359">
        <f t="shared" ca="1" si="409"/>
        <v>1.2263989333370262</v>
      </c>
      <c r="W959" s="357">
        <f t="shared" ca="1" si="410"/>
        <v>56.147445736372049</v>
      </c>
      <c r="X959" s="343"/>
      <c r="Y959" s="367" t="str">
        <f t="shared" ca="1" si="428"/>
        <v/>
      </c>
      <c r="Z959" s="368" t="str">
        <f t="shared" ca="1" si="429"/>
        <v/>
      </c>
      <c r="AA959" s="369" t="str">
        <f t="shared" ca="1" si="430"/>
        <v/>
      </c>
      <c r="AB959" s="344"/>
      <c r="AC959" s="363" t="e">
        <f t="shared" ca="1" si="431"/>
        <v>#N/A</v>
      </c>
      <c r="AD959" s="376" t="e">
        <f t="shared" ca="1" si="432"/>
        <v>#N/A</v>
      </c>
      <c r="AE959" s="377" t="e">
        <f t="shared" ca="1" si="411"/>
        <v>#N/A</v>
      </c>
      <c r="AF959" s="344"/>
      <c r="AG959" s="359">
        <f t="shared" ca="1" si="433"/>
        <v>3.0349505335418989</v>
      </c>
      <c r="AH959" s="357">
        <f t="shared" ca="1" si="434"/>
        <v>-6.6985341213879366</v>
      </c>
    </row>
    <row r="960" spans="1:34" x14ac:dyDescent="0.2">
      <c r="A960" s="402">
        <f t="shared" ca="1" si="412"/>
        <v>1E-4</v>
      </c>
      <c r="B960" s="357">
        <f t="shared" ca="1" si="413"/>
        <v>35.324300000000996</v>
      </c>
      <c r="C960" s="342"/>
      <c r="D960" s="359">
        <f t="shared" ca="1" si="414"/>
        <v>-0.8349979168859617</v>
      </c>
      <c r="E960" s="360">
        <f t="shared" ca="1" si="415"/>
        <v>-3.1636724678785875</v>
      </c>
      <c r="F960" s="357">
        <f t="shared" ca="1" si="416"/>
        <v>3.2720093222998141</v>
      </c>
      <c r="G960" s="359">
        <f t="shared" ca="1" si="417"/>
        <v>16.365150846105081</v>
      </c>
      <c r="H960" s="360">
        <f t="shared" ca="1" si="418"/>
        <v>-130.2625666114082</v>
      </c>
      <c r="I960" s="357">
        <f t="shared" ca="1" si="419"/>
        <v>131.28653557165461</v>
      </c>
      <c r="J960" s="359">
        <f t="shared" ca="1" si="420"/>
        <v>953.1802660510491</v>
      </c>
      <c r="K960" s="360">
        <f t="shared" ca="1" si="421"/>
        <v>-11.42637327303583</v>
      </c>
      <c r="L960" s="357">
        <f t="shared" ca="1" si="406"/>
        <v>953.24875116378905</v>
      </c>
      <c r="M960" s="359">
        <f t="shared" ca="1" si="422"/>
        <v>-1.4458190729887732</v>
      </c>
      <c r="N960" s="357">
        <f t="shared" ca="1" si="423"/>
        <v>-82.839330821773828</v>
      </c>
      <c r="O960" s="343"/>
      <c r="P960" s="363">
        <f t="shared" ca="1" si="424"/>
        <v>23</v>
      </c>
      <c r="Q960" s="357">
        <f t="shared" ca="1" si="425"/>
        <v>0</v>
      </c>
      <c r="R960" s="359">
        <f t="shared" ca="1" si="426"/>
        <v>0</v>
      </c>
      <c r="S960" s="360">
        <f t="shared" ca="1" si="427"/>
        <v>8.3819999999999997</v>
      </c>
      <c r="T960" s="357">
        <f t="shared" ca="1" si="407"/>
        <v>82.227419999999995</v>
      </c>
      <c r="U960" s="364">
        <f t="shared" ca="1" si="408"/>
        <v>0</v>
      </c>
      <c r="V960" s="359">
        <f t="shared" ca="1" si="409"/>
        <v>1.2264005308753751</v>
      </c>
      <c r="W960" s="357">
        <f t="shared" ca="1" si="410"/>
        <v>56.147778465521846</v>
      </c>
      <c r="X960" s="343"/>
      <c r="Y960" s="367" t="str">
        <f t="shared" ca="1" si="428"/>
        <v/>
      </c>
      <c r="Z960" s="368" t="str">
        <f t="shared" ca="1" si="429"/>
        <v/>
      </c>
      <c r="AA960" s="369" t="str">
        <f t="shared" ca="1" si="430"/>
        <v/>
      </c>
      <c r="AB960" s="344"/>
      <c r="AC960" s="363" t="e">
        <f t="shared" ca="1" si="431"/>
        <v>#N/A</v>
      </c>
      <c r="AD960" s="376" t="e">
        <f t="shared" ca="1" si="432"/>
        <v>#N/A</v>
      </c>
      <c r="AE960" s="377" t="e">
        <f t="shared" ca="1" si="411"/>
        <v>#N/A</v>
      </c>
      <c r="AF960" s="344"/>
      <c r="AG960" s="359">
        <f t="shared" ca="1" si="433"/>
        <v>3.0349119766738593</v>
      </c>
      <c r="AH960" s="357">
        <f t="shared" ca="1" si="434"/>
        <v>-6.6985738172717788</v>
      </c>
    </row>
    <row r="961" spans="1:34" x14ac:dyDescent="0.2">
      <c r="A961" s="402">
        <f t="shared" ca="1" si="412"/>
        <v>1E-4</v>
      </c>
      <c r="B961" s="357">
        <f t="shared" ca="1" si="413"/>
        <v>35.324400000000999</v>
      </c>
      <c r="C961" s="342"/>
      <c r="D961" s="359">
        <f t="shared" ca="1" si="414"/>
        <v>-0.83499667442518755</v>
      </c>
      <c r="E961" s="360">
        <f t="shared" ca="1" si="415"/>
        <v>-3.1636323040674945</v>
      </c>
      <c r="F961" s="357">
        <f t="shared" ca="1" si="416"/>
        <v>3.2719701712638711</v>
      </c>
      <c r="G961" s="359">
        <f t="shared" ca="1" si="417"/>
        <v>16.365067346437637</v>
      </c>
      <c r="H961" s="360">
        <f t="shared" ca="1" si="418"/>
        <v>-130.26288297463861</v>
      </c>
      <c r="I961" s="357">
        <f t="shared" ca="1" si="419"/>
        <v>131.28683905905356</v>
      </c>
      <c r="J961" s="359">
        <f t="shared" ca="1" si="420"/>
        <v>953.1802660510491</v>
      </c>
      <c r="K961" s="360">
        <f t="shared" ca="1" si="421"/>
        <v>-11.439399545515133</v>
      </c>
      <c r="L961" s="357">
        <f t="shared" ca="1" si="406"/>
        <v>953.24890739570776</v>
      </c>
      <c r="M961" s="359">
        <f t="shared" ca="1" si="422"/>
        <v>-1.4458200044132357</v>
      </c>
      <c r="N961" s="357">
        <f t="shared" ca="1" si="423"/>
        <v>-82.839384188464464</v>
      </c>
      <c r="O961" s="343"/>
      <c r="P961" s="363">
        <f t="shared" ca="1" si="424"/>
        <v>23</v>
      </c>
      <c r="Q961" s="357">
        <f t="shared" ca="1" si="425"/>
        <v>0</v>
      </c>
      <c r="R961" s="359">
        <f t="shared" ca="1" si="426"/>
        <v>0</v>
      </c>
      <c r="S961" s="360">
        <f t="shared" ca="1" si="427"/>
        <v>8.3819999999999997</v>
      </c>
      <c r="T961" s="357">
        <f t="shared" ca="1" si="407"/>
        <v>82.227419999999995</v>
      </c>
      <c r="U961" s="364">
        <f t="shared" ca="1" si="408"/>
        <v>0</v>
      </c>
      <c r="V961" s="359">
        <f t="shared" ca="1" si="409"/>
        <v>1.2264021284196858</v>
      </c>
      <c r="W961" s="357">
        <f t="shared" ca="1" si="410"/>
        <v>56.148111192923018</v>
      </c>
      <c r="X961" s="343"/>
      <c r="Y961" s="367" t="str">
        <f t="shared" ca="1" si="428"/>
        <v/>
      </c>
      <c r="Z961" s="368" t="str">
        <f t="shared" ca="1" si="429"/>
        <v/>
      </c>
      <c r="AA961" s="369" t="str">
        <f t="shared" ca="1" si="430"/>
        <v/>
      </c>
      <c r="AB961" s="344"/>
      <c r="AC961" s="363" t="e">
        <f t="shared" ca="1" si="431"/>
        <v>#N/A</v>
      </c>
      <c r="AD961" s="376" t="e">
        <f t="shared" ca="1" si="432"/>
        <v>#N/A</v>
      </c>
      <c r="AE961" s="377" t="e">
        <f t="shared" ca="1" si="411"/>
        <v>#N/A</v>
      </c>
      <c r="AF961" s="344"/>
      <c r="AG961" s="359">
        <f t="shared" ca="1" si="433"/>
        <v>3.0348734199949057</v>
      </c>
      <c r="AH961" s="357">
        <f t="shared" ca="1" si="434"/>
        <v>-6.698613512947011</v>
      </c>
    </row>
    <row r="962" spans="1:34" x14ac:dyDescent="0.2">
      <c r="A962" s="402">
        <f t="shared" ca="1" si="412"/>
        <v>1E-4</v>
      </c>
      <c r="B962" s="357">
        <f t="shared" ca="1" si="413"/>
        <v>35.324500000001002</v>
      </c>
      <c r="C962" s="342"/>
      <c r="D962" s="359">
        <f t="shared" ca="1" si="414"/>
        <v>-0.83499543192452164</v>
      </c>
      <c r="E962" s="360">
        <f t="shared" ca="1" si="415"/>
        <v>-3.1635921404675029</v>
      </c>
      <c r="F962" s="357">
        <f t="shared" ca="1" si="416"/>
        <v>3.2719310204468823</v>
      </c>
      <c r="G962" s="359">
        <f t="shared" ca="1" si="417"/>
        <v>16.364983846894447</v>
      </c>
      <c r="H962" s="360">
        <f t="shared" ca="1" si="418"/>
        <v>-130.26319933385267</v>
      </c>
      <c r="I962" s="357">
        <f t="shared" ca="1" si="419"/>
        <v>131.28714254259688</v>
      </c>
      <c r="J962" s="359">
        <f t="shared" ca="1" si="420"/>
        <v>953.1802660510491</v>
      </c>
      <c r="K962" s="360">
        <f t="shared" ca="1" si="421"/>
        <v>-11.452425849630558</v>
      </c>
      <c r="L962" s="357">
        <f t="shared" ca="1" si="406"/>
        <v>953.24906380598668</v>
      </c>
      <c r="M962" s="359">
        <f t="shared" ca="1" si="422"/>
        <v>-1.4458209358286396</v>
      </c>
      <c r="N962" s="357">
        <f t="shared" ca="1" si="423"/>
        <v>-82.839437554636078</v>
      </c>
      <c r="O962" s="343"/>
      <c r="P962" s="363">
        <f t="shared" ca="1" si="424"/>
        <v>23</v>
      </c>
      <c r="Q962" s="357">
        <f t="shared" ca="1" si="425"/>
        <v>0</v>
      </c>
      <c r="R962" s="359">
        <f t="shared" ca="1" si="426"/>
        <v>0</v>
      </c>
      <c r="S962" s="360">
        <f t="shared" ca="1" si="427"/>
        <v>8.3819999999999997</v>
      </c>
      <c r="T962" s="357">
        <f t="shared" ca="1" si="407"/>
        <v>82.227419999999995</v>
      </c>
      <c r="U962" s="364">
        <f t="shared" ca="1" si="408"/>
        <v>0</v>
      </c>
      <c r="V962" s="359">
        <f t="shared" ca="1" si="409"/>
        <v>1.2264037259699592</v>
      </c>
      <c r="W962" s="357">
        <f t="shared" ca="1" si="410"/>
        <v>56.14844391857563</v>
      </c>
      <c r="X962" s="343"/>
      <c r="Y962" s="367" t="str">
        <f t="shared" ca="1" si="428"/>
        <v/>
      </c>
      <c r="Z962" s="368" t="str">
        <f t="shared" ca="1" si="429"/>
        <v/>
      </c>
      <c r="AA962" s="369" t="str">
        <f t="shared" ca="1" si="430"/>
        <v/>
      </c>
      <c r="AB962" s="344"/>
      <c r="AC962" s="363" t="e">
        <f t="shared" ca="1" si="431"/>
        <v>#N/A</v>
      </c>
      <c r="AD962" s="376" t="e">
        <f t="shared" ca="1" si="432"/>
        <v>#N/A</v>
      </c>
      <c r="AE962" s="377" t="e">
        <f t="shared" ca="1" si="411"/>
        <v>#N/A</v>
      </c>
      <c r="AF962" s="344"/>
      <c r="AG962" s="359">
        <f t="shared" ca="1" si="433"/>
        <v>3.0348348635050479</v>
      </c>
      <c r="AH962" s="357">
        <f t="shared" ca="1" si="434"/>
        <v>-6.698653208413627</v>
      </c>
    </row>
    <row r="963" spans="1:34" x14ac:dyDescent="0.2">
      <c r="A963" s="402">
        <f t="shared" ca="1" si="412"/>
        <v>1E-4</v>
      </c>
      <c r="B963" s="357">
        <f t="shared" ca="1" si="413"/>
        <v>35.324600000001006</v>
      </c>
      <c r="C963" s="342"/>
      <c r="D963" s="359">
        <f t="shared" ca="1" si="414"/>
        <v>-0.83499418938396541</v>
      </c>
      <c r="E963" s="360">
        <f t="shared" ca="1" si="415"/>
        <v>-3.1635519770786056</v>
      </c>
      <c r="F963" s="357">
        <f t="shared" ca="1" si="416"/>
        <v>3.2718918698488402</v>
      </c>
      <c r="G963" s="359">
        <f t="shared" ca="1" si="417"/>
        <v>16.364900347475508</v>
      </c>
      <c r="H963" s="360">
        <f t="shared" ca="1" si="418"/>
        <v>-130.26351568905037</v>
      </c>
      <c r="I963" s="357">
        <f t="shared" ca="1" si="419"/>
        <v>131.28744602228451</v>
      </c>
      <c r="J963" s="359">
        <f t="shared" ca="1" si="420"/>
        <v>953.1802660510491</v>
      </c>
      <c r="K963" s="360">
        <f t="shared" ca="1" si="421"/>
        <v>-11.465452185381704</v>
      </c>
      <c r="L963" s="357">
        <f t="shared" ca="1" si="406"/>
        <v>953.24922039462695</v>
      </c>
      <c r="M963" s="359">
        <f t="shared" ca="1" si="422"/>
        <v>-1.4458218672349852</v>
      </c>
      <c r="N963" s="357">
        <f t="shared" ca="1" si="423"/>
        <v>-82.839490920288696</v>
      </c>
      <c r="O963" s="343"/>
      <c r="P963" s="363">
        <f t="shared" ca="1" si="424"/>
        <v>23</v>
      </c>
      <c r="Q963" s="357">
        <f t="shared" ca="1" si="425"/>
        <v>0</v>
      </c>
      <c r="R963" s="359">
        <f t="shared" ca="1" si="426"/>
        <v>0</v>
      </c>
      <c r="S963" s="360">
        <f t="shared" ca="1" si="427"/>
        <v>8.3819999999999997</v>
      </c>
      <c r="T963" s="357">
        <f t="shared" ca="1" si="407"/>
        <v>82.227419999999995</v>
      </c>
      <c r="U963" s="364">
        <f t="shared" ca="1" si="408"/>
        <v>0</v>
      </c>
      <c r="V963" s="359">
        <f t="shared" ca="1" si="409"/>
        <v>1.2264053235261938</v>
      </c>
      <c r="W963" s="357">
        <f t="shared" ca="1" si="410"/>
        <v>56.148776642479532</v>
      </c>
      <c r="X963" s="343"/>
      <c r="Y963" s="367" t="str">
        <f t="shared" ca="1" si="428"/>
        <v/>
      </c>
      <c r="Z963" s="368" t="str">
        <f t="shared" ca="1" si="429"/>
        <v/>
      </c>
      <c r="AA963" s="369" t="str">
        <f t="shared" ca="1" si="430"/>
        <v/>
      </c>
      <c r="AB963" s="344"/>
      <c r="AC963" s="363" t="e">
        <f t="shared" ca="1" si="431"/>
        <v>#N/A</v>
      </c>
      <c r="AD963" s="376" t="e">
        <f t="shared" ca="1" si="432"/>
        <v>#N/A</v>
      </c>
      <c r="AE963" s="377" t="e">
        <f t="shared" ca="1" si="411"/>
        <v>#N/A</v>
      </c>
      <c r="AF963" s="344"/>
      <c r="AG963" s="359">
        <f t="shared" ca="1" si="433"/>
        <v>3.034796307204279</v>
      </c>
      <c r="AH963" s="357">
        <f t="shared" ca="1" si="434"/>
        <v>-6.6986929036716338</v>
      </c>
    </row>
    <row r="964" spans="1:34" x14ac:dyDescent="0.2">
      <c r="A964" s="402">
        <f t="shared" ca="1" si="412"/>
        <v>1E-4</v>
      </c>
      <c r="B964" s="357">
        <f t="shared" ca="1" si="413"/>
        <v>35.324700000001009</v>
      </c>
      <c r="C964" s="342"/>
      <c r="D964" s="359">
        <f t="shared" ca="1" si="414"/>
        <v>-0.83499294680351666</v>
      </c>
      <c r="E964" s="360">
        <f t="shared" ca="1" si="415"/>
        <v>-3.1635118139008203</v>
      </c>
      <c r="F964" s="357">
        <f t="shared" ca="1" si="416"/>
        <v>3.2718527194697624</v>
      </c>
      <c r="G964" s="359">
        <f t="shared" ca="1" si="417"/>
        <v>16.364816848180826</v>
      </c>
      <c r="H964" s="360">
        <f t="shared" ca="1" si="418"/>
        <v>-130.26383204023176</v>
      </c>
      <c r="I964" s="357">
        <f t="shared" ca="1" si="419"/>
        <v>131.2877494981166</v>
      </c>
      <c r="J964" s="359">
        <f t="shared" ca="1" si="420"/>
        <v>953.1802660510491</v>
      </c>
      <c r="K964" s="360">
        <f t="shared" ca="1" si="421"/>
        <v>-11.478478552768168</v>
      </c>
      <c r="L964" s="357">
        <f t="shared" ref="L964:L1004" ca="1" si="435">SQRT(pos_x^2+pos_z^2)</f>
        <v>953.24937716162981</v>
      </c>
      <c r="M964" s="359">
        <f t="shared" ca="1" si="422"/>
        <v>-1.4458227986322725</v>
      </c>
      <c r="N964" s="357">
        <f t="shared" ca="1" si="423"/>
        <v>-82.839544285422306</v>
      </c>
      <c r="O964" s="343"/>
      <c r="P964" s="363">
        <f t="shared" ca="1" si="424"/>
        <v>23</v>
      </c>
      <c r="Q964" s="357">
        <f t="shared" ca="1" si="425"/>
        <v>0</v>
      </c>
      <c r="R964" s="359">
        <f t="shared" ca="1" si="426"/>
        <v>0</v>
      </c>
      <c r="S964" s="360">
        <f t="shared" ca="1" si="427"/>
        <v>8.3819999999999997</v>
      </c>
      <c r="T964" s="357">
        <f t="shared" ref="T964:T1004" ca="1" si="436">m*g</f>
        <v>82.227419999999995</v>
      </c>
      <c r="U964" s="364">
        <f t="shared" ref="U964:U1004" ca="1" si="437">IF(pos_xz&lt;L_rampe,Poids*COS(Beta),0)</f>
        <v>0</v>
      </c>
      <c r="V964" s="359">
        <f t="shared" ref="V964:V1004" ca="1" si="438">Rho_moyen*(20000-Alt_rampe-pos_z)/(20000+Alt_rampe+pos_z)</f>
        <v>1.2264069210883912</v>
      </c>
      <c r="W964" s="357">
        <f t="shared" ref="W964:W1003" ca="1" si="439">1/2*Rho*Sref*Cx*vit_xz^2</f>
        <v>56.149109364634867</v>
      </c>
      <c r="X964" s="343"/>
      <c r="Y964" s="367" t="str">
        <f t="shared" ca="1" si="428"/>
        <v/>
      </c>
      <c r="Z964" s="368" t="str">
        <f t="shared" ca="1" si="429"/>
        <v/>
      </c>
      <c r="AA964" s="369" t="str">
        <f t="shared" ca="1" si="430"/>
        <v/>
      </c>
      <c r="AB964" s="344"/>
      <c r="AC964" s="363" t="e">
        <f t="shared" ca="1" si="431"/>
        <v>#N/A</v>
      </c>
      <c r="AD964" s="376" t="e">
        <f t="shared" ca="1" si="432"/>
        <v>#N/A</v>
      </c>
      <c r="AE964" s="377" t="e">
        <f t="shared" ref="AE964:AE1004" ca="1" si="440">IF(t&lt;T_para, pos_z, NA())</f>
        <v>#N/A</v>
      </c>
      <c r="AF964" s="344"/>
      <c r="AG964" s="359">
        <f t="shared" ca="1" si="433"/>
        <v>3.0347577510926147</v>
      </c>
      <c r="AH964" s="357">
        <f t="shared" ca="1" si="434"/>
        <v>-6.6987325987210138</v>
      </c>
    </row>
    <row r="965" spans="1:34" x14ac:dyDescent="0.2">
      <c r="A965" s="402">
        <f t="shared" ref="A965:A1004" ca="1" si="441">IF(B964+0.01&lt;=T_ini+ROUNDUP(Temps_fin_propu,0), 0.01, IF(K964&gt;0, 0.1, 0.0001))</f>
        <v>1E-4</v>
      </c>
      <c r="B965" s="357">
        <f t="shared" ref="B965:B1004" ca="1" si="442">B964+pas</f>
        <v>35.324800000001012</v>
      </c>
      <c r="C965" s="342"/>
      <c r="D965" s="359">
        <f t="shared" ref="D965:D1004" ca="1" si="443">IF(AND(L964&lt;L_rampe,Poussee&lt;Poids*SIN(M964)),0,(-W964+Poussee)/m*COS(M964)-U964/m*SIN(M964))</f>
        <v>-0.83499170418317925</v>
      </c>
      <c r="E965" s="360">
        <f t="shared" ref="E965:E1004" ca="1" si="444">IF(AND(L964&lt;L_rampe,Poussee&lt;Poids*SIN(M964)),0,(-W964+Poussee)/m*SIN(M964)+U964/m*COS(M964)-Poids/m)</f>
        <v>-3.163471650934131</v>
      </c>
      <c r="F965" s="357">
        <f t="shared" ref="F965:F1004" ca="1" si="445">SQRT(acc_x^2+acc_z^2)</f>
        <v>3.271813569309634</v>
      </c>
      <c r="G965" s="359">
        <f t="shared" ref="G965:G1004" ca="1" si="446">G964+acc_x*pas</f>
        <v>16.364733349010407</v>
      </c>
      <c r="H965" s="360">
        <f t="shared" ref="H965:H1004" ca="1" si="447">H964+acc_z*pas</f>
        <v>-130.26414838739686</v>
      </c>
      <c r="I965" s="357">
        <f t="shared" ref="I965:I1004" ca="1" si="448">SQRT(vit_x^2+vit_z^2)</f>
        <v>131.28805297009305</v>
      </c>
      <c r="J965" s="359">
        <f t="shared" ref="J965:J1004" ca="1" si="449">J964+0.5*(vit_x+G964)*pas*(K964&gt;=0)</f>
        <v>953.1802660510491</v>
      </c>
      <c r="K965" s="360">
        <f t="shared" ref="K965:K1004" ca="1" si="450">K964+0.5*(vit_z+H964)*pas</f>
        <v>-11.491504951789549</v>
      </c>
      <c r="L965" s="357">
        <f t="shared" ca="1" si="435"/>
        <v>953.24953410699652</v>
      </c>
      <c r="M965" s="359">
        <f t="shared" ref="M965:M1004" ca="1" si="451">IF(AND(L964&gt;L_rampe,G965&gt;0),ATAN2(G965,H965),$M$4)</f>
        <v>-1.4458237300205015</v>
      </c>
      <c r="N965" s="357">
        <f t="shared" ref="N965:N1004" ca="1" si="452">DEGREES(Beta)</f>
        <v>-82.839597650036922</v>
      </c>
      <c r="O965" s="343"/>
      <c r="P965" s="363">
        <f t="shared" ref="P965:P1004" ca="1" si="453">MATCH(t-pas/2-T_ini,CdP_t)</f>
        <v>23</v>
      </c>
      <c r="Q965" s="357">
        <f t="shared" ref="Q965:Q1004" ca="1" si="454">(INDEX(CdP,2,i_P+1)-INDEX(CdP,2,i_P+0))/(INDEX(CdP,1,i_P+1)-INDEX(CdP,1,i_P+0))*(t-pas/2-T_ini-INDEX(CdP,1,i_P+0))+INDEX(CdP,2,i_P+0)</f>
        <v>0</v>
      </c>
      <c r="R965" s="359">
        <f t="shared" ref="R965:R1004" ca="1" si="455">Poussee/(g*ISP)</f>
        <v>0</v>
      </c>
      <c r="S965" s="360">
        <f t="shared" ref="S965:S1004" ca="1" si="456">S964-Débit*pas</f>
        <v>8.3819999999999997</v>
      </c>
      <c r="T965" s="357">
        <f t="shared" ca="1" si="436"/>
        <v>82.227419999999995</v>
      </c>
      <c r="U965" s="364">
        <f t="shared" ca="1" si="437"/>
        <v>0</v>
      </c>
      <c r="V965" s="359">
        <f t="shared" ca="1" si="438"/>
        <v>1.2264085186565503</v>
      </c>
      <c r="W965" s="357">
        <f t="shared" ca="1" si="439"/>
        <v>56.149442085041493</v>
      </c>
      <c r="X965" s="343"/>
      <c r="Y965" s="367" t="str">
        <f t="shared" ref="Y965:Y1003" ca="1" si="457">IF(AND(pos_z&lt;=0,K964&gt;0),"Impact balistique","") &amp; IF(AND(H966&lt;0,vit_z&gt;=0),"Apogée","") &amp; IF(AND(Poussee=0,Q964&gt;0),"Fin de propulsion","") &amp; IF(AND(L966&gt;L_rampe,pos_xz&lt;=L_rampe),"Sortie de rampe","")</f>
        <v/>
      </c>
      <c r="Z965" s="368" t="str">
        <f t="shared" ref="Z965:Z1004" ca="1" si="458">IF(ABS(t-T_para)&lt;pas/2,"Para","")</f>
        <v/>
      </c>
      <c r="AA965" s="369" t="str">
        <f t="shared" ref="AA965:AA1004" ca="1" si="459">IF(ABS(t-T_satellite)&lt;pas/2,"Satellite","")</f>
        <v/>
      </c>
      <c r="AB965" s="344"/>
      <c r="AC965" s="363" t="e">
        <f t="shared" ref="AC965:AC1004" ca="1" si="460">IF(ABS(t-ROUND(t,0))&lt;0.001,t,NA())</f>
        <v>#N/A</v>
      </c>
      <c r="AD965" s="376" t="e">
        <f t="shared" ref="AD965:AD1004" ca="1" si="461">IF(ABS(t-ROUND(t,0))&lt;0.001,pos_x,NA())</f>
        <v>#N/A</v>
      </c>
      <c r="AE965" s="377" t="e">
        <f t="shared" ca="1" si="440"/>
        <v>#N/A</v>
      </c>
      <c r="AF965" s="344"/>
      <c r="AG965" s="359">
        <f t="shared" ref="AG965:AG1004" ca="1" si="462">IF(AND(L964&lt;L_rampe,Poussee&lt;Poids*SIN(M964)),0,(-W964+Poussee)/m-Poids*SIN(M964)/m)</f>
        <v>3.0347191951700401</v>
      </c>
      <c r="AH965" s="357">
        <f t="shared" ref="AH965:AH1004" ca="1" si="463">IF(AND(L964&lt;L_rampe,Poussee&lt;Poids*SIN(M964)), g*SIN(M964), (-W964+Poussee)/m)</f>
        <v>-6.6987722935617837</v>
      </c>
    </row>
    <row r="966" spans="1:34" x14ac:dyDescent="0.2">
      <c r="A966" s="402">
        <f t="shared" ca="1" si="441"/>
        <v>1E-4</v>
      </c>
      <c r="B966" s="357">
        <f t="shared" ca="1" si="442"/>
        <v>35.324900000001016</v>
      </c>
      <c r="C966" s="342"/>
      <c r="D966" s="359">
        <f t="shared" ca="1" si="443"/>
        <v>-0.83499046152295264</v>
      </c>
      <c r="E966" s="360">
        <f t="shared" ca="1" si="444"/>
        <v>-3.1634314881785546</v>
      </c>
      <c r="F966" s="357">
        <f t="shared" ca="1" si="445"/>
        <v>3.2717744193684712</v>
      </c>
      <c r="G966" s="359">
        <f t="shared" ca="1" si="446"/>
        <v>16.364649849964255</v>
      </c>
      <c r="H966" s="360">
        <f t="shared" ca="1" si="447"/>
        <v>-130.26446473054568</v>
      </c>
      <c r="I966" s="357">
        <f t="shared" ca="1" si="448"/>
        <v>131.28835643821395</v>
      </c>
      <c r="J966" s="359">
        <f t="shared" ca="1" si="449"/>
        <v>953.1802660510491</v>
      </c>
      <c r="K966" s="360">
        <f t="shared" ca="1" si="450"/>
        <v>-11.504531382445446</v>
      </c>
      <c r="L966" s="357">
        <f t="shared" ca="1" si="435"/>
        <v>953.2496912307281</v>
      </c>
      <c r="M966" s="359">
        <f t="shared" ca="1" si="451"/>
        <v>-1.4458246613996726</v>
      </c>
      <c r="N966" s="357">
        <f t="shared" ca="1" si="452"/>
        <v>-82.839651014132542</v>
      </c>
      <c r="O966" s="343"/>
      <c r="P966" s="363">
        <f t="shared" ca="1" si="453"/>
        <v>23</v>
      </c>
      <c r="Q966" s="357">
        <f t="shared" ca="1" si="454"/>
        <v>0</v>
      </c>
      <c r="R966" s="359">
        <f t="shared" ca="1" si="455"/>
        <v>0</v>
      </c>
      <c r="S966" s="360">
        <f t="shared" ca="1" si="456"/>
        <v>8.3819999999999997</v>
      </c>
      <c r="T966" s="357">
        <f t="shared" ca="1" si="436"/>
        <v>82.227419999999995</v>
      </c>
      <c r="U966" s="364">
        <f t="shared" ca="1" si="437"/>
        <v>0</v>
      </c>
      <c r="V966" s="359">
        <f t="shared" ca="1" si="438"/>
        <v>1.2264101162306711</v>
      </c>
      <c r="W966" s="357">
        <f t="shared" ca="1" si="439"/>
        <v>56.149774803699465</v>
      </c>
      <c r="X966" s="343"/>
      <c r="Y966" s="367" t="str">
        <f t="shared" ca="1" si="457"/>
        <v/>
      </c>
      <c r="Z966" s="368" t="str">
        <f t="shared" ca="1" si="458"/>
        <v/>
      </c>
      <c r="AA966" s="369" t="str">
        <f t="shared" ca="1" si="459"/>
        <v/>
      </c>
      <c r="AB966" s="344"/>
      <c r="AC966" s="363" t="e">
        <f t="shared" ca="1" si="460"/>
        <v>#N/A</v>
      </c>
      <c r="AD966" s="376" t="e">
        <f t="shared" ca="1" si="461"/>
        <v>#N/A</v>
      </c>
      <c r="AE966" s="377" t="e">
        <f t="shared" ca="1" si="440"/>
        <v>#N/A</v>
      </c>
      <c r="AF966" s="344"/>
      <c r="AG966" s="359">
        <f t="shared" ca="1" si="462"/>
        <v>3.034680639436572</v>
      </c>
      <c r="AH966" s="357">
        <f t="shared" ca="1" si="463"/>
        <v>-6.6988119881939268</v>
      </c>
    </row>
    <row r="967" spans="1:34" x14ac:dyDescent="0.2">
      <c r="A967" s="402">
        <f t="shared" ca="1" si="441"/>
        <v>1E-4</v>
      </c>
      <c r="B967" s="357">
        <f t="shared" ca="1" si="442"/>
        <v>35.325000000001019</v>
      </c>
      <c r="C967" s="342"/>
      <c r="D967" s="359">
        <f t="shared" ca="1" si="443"/>
        <v>-0.8349892188228365</v>
      </c>
      <c r="E967" s="360">
        <f t="shared" ca="1" si="444"/>
        <v>-3.1633913256340822</v>
      </c>
      <c r="F967" s="357">
        <f t="shared" ca="1" si="445"/>
        <v>3.2717352696462663</v>
      </c>
      <c r="G967" s="359">
        <f t="shared" ca="1" si="446"/>
        <v>16.364566351042374</v>
      </c>
      <c r="H967" s="360">
        <f t="shared" ca="1" si="447"/>
        <v>-130.26478106967824</v>
      </c>
      <c r="I967" s="357">
        <f t="shared" ca="1" si="448"/>
        <v>131.28865990247928</v>
      </c>
      <c r="J967" s="359">
        <f t="shared" ca="1" si="449"/>
        <v>953.1802660510491</v>
      </c>
      <c r="K967" s="360">
        <f t="shared" ca="1" si="450"/>
        <v>-11.517557844735457</v>
      </c>
      <c r="L967" s="357">
        <f t="shared" ca="1" si="435"/>
        <v>953.24984853282592</v>
      </c>
      <c r="M967" s="359">
        <f t="shared" ca="1" si="451"/>
        <v>-1.4458255927697856</v>
      </c>
      <c r="N967" s="357">
        <f t="shared" ca="1" si="452"/>
        <v>-82.839704377709182</v>
      </c>
      <c r="O967" s="343"/>
      <c r="P967" s="363">
        <f t="shared" ca="1" si="453"/>
        <v>23</v>
      </c>
      <c r="Q967" s="357">
        <f t="shared" ca="1" si="454"/>
        <v>0</v>
      </c>
      <c r="R967" s="359">
        <f t="shared" ca="1" si="455"/>
        <v>0</v>
      </c>
      <c r="S967" s="360">
        <f t="shared" ca="1" si="456"/>
        <v>8.3819999999999997</v>
      </c>
      <c r="T967" s="357">
        <f t="shared" ca="1" si="436"/>
        <v>82.227419999999995</v>
      </c>
      <c r="U967" s="364">
        <f t="shared" ca="1" si="437"/>
        <v>0</v>
      </c>
      <c r="V967" s="359">
        <f t="shared" ca="1" si="438"/>
        <v>1.226411713810754</v>
      </c>
      <c r="W967" s="357">
        <f t="shared" ca="1" si="439"/>
        <v>56.150107520608735</v>
      </c>
      <c r="X967" s="343"/>
      <c r="Y967" s="367" t="str">
        <f t="shared" ca="1" si="457"/>
        <v/>
      </c>
      <c r="Z967" s="368" t="str">
        <f t="shared" ca="1" si="458"/>
        <v/>
      </c>
      <c r="AA967" s="369" t="str">
        <f t="shared" ca="1" si="459"/>
        <v/>
      </c>
      <c r="AB967" s="344"/>
      <c r="AC967" s="363" t="e">
        <f t="shared" ca="1" si="460"/>
        <v>#N/A</v>
      </c>
      <c r="AD967" s="376" t="e">
        <f t="shared" ca="1" si="461"/>
        <v>#N/A</v>
      </c>
      <c r="AE967" s="377" t="e">
        <f t="shared" ca="1" si="440"/>
        <v>#N/A</v>
      </c>
      <c r="AF967" s="344"/>
      <c r="AG967" s="359">
        <f t="shared" ca="1" si="462"/>
        <v>3.0346420838922032</v>
      </c>
      <c r="AH967" s="357">
        <f t="shared" ca="1" si="463"/>
        <v>-6.69885168261745</v>
      </c>
    </row>
    <row r="968" spans="1:34" x14ac:dyDescent="0.2">
      <c r="A968" s="402">
        <f t="shared" ca="1" si="441"/>
        <v>1E-4</v>
      </c>
      <c r="B968" s="357">
        <f t="shared" ca="1" si="442"/>
        <v>35.325100000001022</v>
      </c>
      <c r="C968" s="342"/>
      <c r="D968" s="359">
        <f t="shared" ca="1" si="443"/>
        <v>-0.83498797608283315</v>
      </c>
      <c r="E968" s="360">
        <f t="shared" ca="1" si="444"/>
        <v>-3.1633511633007219</v>
      </c>
      <c r="F968" s="357">
        <f t="shared" ca="1" si="445"/>
        <v>3.271696120143027</v>
      </c>
      <c r="G968" s="359">
        <f t="shared" ca="1" si="446"/>
        <v>16.364482852244766</v>
      </c>
      <c r="H968" s="360">
        <f t="shared" ca="1" si="447"/>
        <v>-130.26509740479457</v>
      </c>
      <c r="I968" s="357">
        <f t="shared" ca="1" si="448"/>
        <v>131.28896336288909</v>
      </c>
      <c r="J968" s="359">
        <f t="shared" ca="1" si="449"/>
        <v>953.1802660510491</v>
      </c>
      <c r="K968" s="360">
        <f t="shared" ca="1" si="450"/>
        <v>-11.53058433865918</v>
      </c>
      <c r="L968" s="357">
        <f t="shared" ca="1" si="435"/>
        <v>953.25000601329123</v>
      </c>
      <c r="M968" s="359">
        <f t="shared" ca="1" si="451"/>
        <v>-1.445826524130841</v>
      </c>
      <c r="N968" s="357">
        <f t="shared" ca="1" si="452"/>
        <v>-82.839757740766871</v>
      </c>
      <c r="O968" s="343"/>
      <c r="P968" s="363">
        <f t="shared" ca="1" si="453"/>
        <v>23</v>
      </c>
      <c r="Q968" s="357">
        <f t="shared" ca="1" si="454"/>
        <v>0</v>
      </c>
      <c r="R968" s="359">
        <f t="shared" ca="1" si="455"/>
        <v>0</v>
      </c>
      <c r="S968" s="360">
        <f t="shared" ca="1" si="456"/>
        <v>8.3819999999999997</v>
      </c>
      <c r="T968" s="357">
        <f t="shared" ca="1" si="436"/>
        <v>82.227419999999995</v>
      </c>
      <c r="U968" s="364">
        <f t="shared" ca="1" si="437"/>
        <v>0</v>
      </c>
      <c r="V968" s="359">
        <f t="shared" ca="1" si="438"/>
        <v>1.2264133113967988</v>
      </c>
      <c r="W968" s="357">
        <f t="shared" ca="1" si="439"/>
        <v>56.15044023576931</v>
      </c>
      <c r="X968" s="343"/>
      <c r="Y968" s="367" t="str">
        <f t="shared" ca="1" si="457"/>
        <v/>
      </c>
      <c r="Z968" s="368" t="str">
        <f t="shared" ca="1" si="458"/>
        <v/>
      </c>
      <c r="AA968" s="369" t="str">
        <f t="shared" ca="1" si="459"/>
        <v/>
      </c>
      <c r="AB968" s="344"/>
      <c r="AC968" s="363" t="e">
        <f t="shared" ca="1" si="460"/>
        <v>#N/A</v>
      </c>
      <c r="AD968" s="376" t="e">
        <f t="shared" ca="1" si="461"/>
        <v>#N/A</v>
      </c>
      <c r="AE968" s="377" t="e">
        <f t="shared" ca="1" si="440"/>
        <v>#N/A</v>
      </c>
      <c r="AF968" s="344"/>
      <c r="AG968" s="359">
        <f t="shared" ca="1" si="462"/>
        <v>3.0346035285369437</v>
      </c>
      <c r="AH968" s="357">
        <f t="shared" ca="1" si="463"/>
        <v>-6.6988913768323473</v>
      </c>
    </row>
    <row r="969" spans="1:34" x14ac:dyDescent="0.2">
      <c r="A969" s="402">
        <f t="shared" ca="1" si="441"/>
        <v>1E-4</v>
      </c>
      <c r="B969" s="357">
        <f t="shared" ca="1" si="442"/>
        <v>35.325200000001026</v>
      </c>
      <c r="C969" s="342"/>
      <c r="D969" s="359">
        <f t="shared" ca="1" si="443"/>
        <v>-0.8349867333029416</v>
      </c>
      <c r="E969" s="360">
        <f t="shared" ca="1" si="444"/>
        <v>-3.1633110011784709</v>
      </c>
      <c r="F969" s="357">
        <f t="shared" ca="1" si="445"/>
        <v>3.2716569708587508</v>
      </c>
      <c r="G969" s="359">
        <f t="shared" ca="1" si="446"/>
        <v>16.364399353571436</v>
      </c>
      <c r="H969" s="360">
        <f t="shared" ca="1" si="447"/>
        <v>-130.2654137358947</v>
      </c>
      <c r="I969" s="357">
        <f t="shared" ca="1" si="448"/>
        <v>131.28926681944338</v>
      </c>
      <c r="J969" s="359">
        <f t="shared" ca="1" si="449"/>
        <v>953.1802660510491</v>
      </c>
      <c r="K969" s="360">
        <f t="shared" ca="1" si="450"/>
        <v>-11.543610864216214</v>
      </c>
      <c r="L969" s="357">
        <f t="shared" ca="1" si="435"/>
        <v>953.25016367212515</v>
      </c>
      <c r="M969" s="359">
        <f t="shared" ca="1" si="451"/>
        <v>-1.445827455482839</v>
      </c>
      <c r="N969" s="357">
        <f t="shared" ca="1" si="452"/>
        <v>-82.839811103305593</v>
      </c>
      <c r="O969" s="343"/>
      <c r="P969" s="363">
        <f t="shared" ca="1" si="453"/>
        <v>23</v>
      </c>
      <c r="Q969" s="357">
        <f t="shared" ca="1" si="454"/>
        <v>0</v>
      </c>
      <c r="R969" s="359">
        <f t="shared" ca="1" si="455"/>
        <v>0</v>
      </c>
      <c r="S969" s="360">
        <f t="shared" ca="1" si="456"/>
        <v>8.3819999999999997</v>
      </c>
      <c r="T969" s="357">
        <f t="shared" ca="1" si="436"/>
        <v>82.227419999999995</v>
      </c>
      <c r="U969" s="364">
        <f t="shared" ca="1" si="437"/>
        <v>0</v>
      </c>
      <c r="V969" s="359">
        <f t="shared" ca="1" si="438"/>
        <v>1.2264149089888055</v>
      </c>
      <c r="W969" s="357">
        <f t="shared" ca="1" si="439"/>
        <v>56.150772949181174</v>
      </c>
      <c r="X969" s="343"/>
      <c r="Y969" s="367" t="str">
        <f t="shared" ca="1" si="457"/>
        <v/>
      </c>
      <c r="Z969" s="368" t="str">
        <f t="shared" ca="1" si="458"/>
        <v/>
      </c>
      <c r="AA969" s="369" t="str">
        <f t="shared" ca="1" si="459"/>
        <v/>
      </c>
      <c r="AB969" s="344"/>
      <c r="AC969" s="363" t="e">
        <f t="shared" ca="1" si="460"/>
        <v>#N/A</v>
      </c>
      <c r="AD969" s="376" t="e">
        <f t="shared" ca="1" si="461"/>
        <v>#N/A</v>
      </c>
      <c r="AE969" s="377" t="e">
        <f t="shared" ca="1" si="440"/>
        <v>#N/A</v>
      </c>
      <c r="AF969" s="344"/>
      <c r="AG969" s="359">
        <f t="shared" ca="1" si="462"/>
        <v>3.034564973370788</v>
      </c>
      <c r="AH969" s="357">
        <f t="shared" ca="1" si="463"/>
        <v>-6.6989310708386203</v>
      </c>
    </row>
    <row r="970" spans="1:34" x14ac:dyDescent="0.2">
      <c r="A970" s="402">
        <f t="shared" ca="1" si="441"/>
        <v>1E-4</v>
      </c>
      <c r="B970" s="357">
        <f t="shared" ca="1" si="442"/>
        <v>35.325300000001029</v>
      </c>
      <c r="C970" s="342"/>
      <c r="D970" s="359">
        <f t="shared" ca="1" si="443"/>
        <v>-0.83498549048316129</v>
      </c>
      <c r="E970" s="360">
        <f t="shared" ca="1" si="444"/>
        <v>-3.1632708392673337</v>
      </c>
      <c r="F970" s="357">
        <f t="shared" ca="1" si="445"/>
        <v>3.2716178217934422</v>
      </c>
      <c r="G970" s="359">
        <f t="shared" ca="1" si="446"/>
        <v>16.364315855022387</v>
      </c>
      <c r="H970" s="360">
        <f t="shared" ca="1" si="447"/>
        <v>-130.26573006297863</v>
      </c>
      <c r="I970" s="357">
        <f t="shared" ca="1" si="448"/>
        <v>131.28957027214216</v>
      </c>
      <c r="J970" s="359">
        <f t="shared" ca="1" si="449"/>
        <v>953.1802660510491</v>
      </c>
      <c r="K970" s="360">
        <f t="shared" ca="1" si="450"/>
        <v>-11.556637421406158</v>
      </c>
      <c r="L970" s="357">
        <f t="shared" ca="1" si="435"/>
        <v>953.25032150932873</v>
      </c>
      <c r="M970" s="359">
        <f t="shared" ca="1" si="451"/>
        <v>-1.4458283868257793</v>
      </c>
      <c r="N970" s="357">
        <f t="shared" ca="1" si="452"/>
        <v>-82.839864465325348</v>
      </c>
      <c r="O970" s="343"/>
      <c r="P970" s="363">
        <f t="shared" ca="1" si="453"/>
        <v>23</v>
      </c>
      <c r="Q970" s="357">
        <f t="shared" ca="1" si="454"/>
        <v>0</v>
      </c>
      <c r="R970" s="359">
        <f t="shared" ca="1" si="455"/>
        <v>0</v>
      </c>
      <c r="S970" s="360">
        <f t="shared" ca="1" si="456"/>
        <v>8.3819999999999997</v>
      </c>
      <c r="T970" s="357">
        <f t="shared" ca="1" si="436"/>
        <v>82.227419999999995</v>
      </c>
      <c r="U970" s="364">
        <f t="shared" ca="1" si="437"/>
        <v>0</v>
      </c>
      <c r="V970" s="359">
        <f t="shared" ca="1" si="438"/>
        <v>1.2264165065867738</v>
      </c>
      <c r="W970" s="357">
        <f t="shared" ca="1" si="439"/>
        <v>56.151105660844273</v>
      </c>
      <c r="X970" s="343"/>
      <c r="Y970" s="367" t="str">
        <f t="shared" ca="1" si="457"/>
        <v/>
      </c>
      <c r="Z970" s="368" t="str">
        <f t="shared" ca="1" si="458"/>
        <v/>
      </c>
      <c r="AA970" s="369" t="str">
        <f t="shared" ca="1" si="459"/>
        <v/>
      </c>
      <c r="AB970" s="344"/>
      <c r="AC970" s="363" t="e">
        <f t="shared" ca="1" si="460"/>
        <v>#N/A</v>
      </c>
      <c r="AD970" s="376" t="e">
        <f t="shared" ca="1" si="461"/>
        <v>#N/A</v>
      </c>
      <c r="AE970" s="377" t="e">
        <f t="shared" ca="1" si="440"/>
        <v>#N/A</v>
      </c>
      <c r="AF970" s="344"/>
      <c r="AG970" s="359">
        <f t="shared" ca="1" si="462"/>
        <v>3.0345264183937415</v>
      </c>
      <c r="AH970" s="357">
        <f t="shared" ca="1" si="463"/>
        <v>-6.6989707646362655</v>
      </c>
    </row>
    <row r="971" spans="1:34" x14ac:dyDescent="0.2">
      <c r="A971" s="402">
        <f t="shared" ca="1" si="441"/>
        <v>1E-4</v>
      </c>
      <c r="B971" s="357">
        <f t="shared" ca="1" si="442"/>
        <v>35.325400000001032</v>
      </c>
      <c r="C971" s="342"/>
      <c r="D971" s="359">
        <f t="shared" ca="1" si="443"/>
        <v>-0.8349842476234951</v>
      </c>
      <c r="E971" s="360">
        <f t="shared" ca="1" si="444"/>
        <v>-3.1632306775673138</v>
      </c>
      <c r="F971" s="357">
        <f t="shared" ca="1" si="445"/>
        <v>3.271578672947105</v>
      </c>
      <c r="G971" s="359">
        <f t="shared" ca="1" si="446"/>
        <v>16.364232356597626</v>
      </c>
      <c r="H971" s="360">
        <f t="shared" ca="1" si="447"/>
        <v>-130.26604638604638</v>
      </c>
      <c r="I971" s="357">
        <f t="shared" ca="1" si="448"/>
        <v>131.28987372098544</v>
      </c>
      <c r="J971" s="359">
        <f t="shared" ca="1" si="449"/>
        <v>953.1802660510491</v>
      </c>
      <c r="K971" s="360">
        <f t="shared" ca="1" si="450"/>
        <v>-11.56966401022861</v>
      </c>
      <c r="L971" s="357">
        <f t="shared" ca="1" si="435"/>
        <v>953.25047952490343</v>
      </c>
      <c r="M971" s="359">
        <f t="shared" ca="1" si="451"/>
        <v>-1.4458293181596622</v>
      </c>
      <c r="N971" s="357">
        <f t="shared" ca="1" si="452"/>
        <v>-82.839917826826152</v>
      </c>
      <c r="O971" s="343"/>
      <c r="P971" s="363">
        <f t="shared" ca="1" si="453"/>
        <v>23</v>
      </c>
      <c r="Q971" s="357">
        <f t="shared" ca="1" si="454"/>
        <v>0</v>
      </c>
      <c r="R971" s="359">
        <f t="shared" ca="1" si="455"/>
        <v>0</v>
      </c>
      <c r="S971" s="360">
        <f t="shared" ca="1" si="456"/>
        <v>8.3819999999999997</v>
      </c>
      <c r="T971" s="357">
        <f t="shared" ca="1" si="436"/>
        <v>82.227419999999995</v>
      </c>
      <c r="U971" s="364">
        <f t="shared" ca="1" si="437"/>
        <v>0</v>
      </c>
      <c r="V971" s="359">
        <f t="shared" ca="1" si="438"/>
        <v>1.2264181041907039</v>
      </c>
      <c r="W971" s="357">
        <f t="shared" ca="1" si="439"/>
        <v>56.151438370758612</v>
      </c>
      <c r="X971" s="343"/>
      <c r="Y971" s="367" t="str">
        <f t="shared" ca="1" si="457"/>
        <v/>
      </c>
      <c r="Z971" s="368" t="str">
        <f t="shared" ca="1" si="458"/>
        <v/>
      </c>
      <c r="AA971" s="369" t="str">
        <f t="shared" ca="1" si="459"/>
        <v/>
      </c>
      <c r="AB971" s="344"/>
      <c r="AC971" s="363" t="e">
        <f t="shared" ca="1" si="460"/>
        <v>#N/A</v>
      </c>
      <c r="AD971" s="376" t="e">
        <f t="shared" ca="1" si="461"/>
        <v>#N/A</v>
      </c>
      <c r="AE971" s="377" t="e">
        <f t="shared" ca="1" si="440"/>
        <v>#N/A</v>
      </c>
      <c r="AF971" s="344"/>
      <c r="AG971" s="359">
        <f t="shared" ca="1" si="462"/>
        <v>3.0344878636058112</v>
      </c>
      <c r="AH971" s="357">
        <f t="shared" ca="1" si="463"/>
        <v>-6.6990104582252776</v>
      </c>
    </row>
    <row r="972" spans="1:34" x14ac:dyDescent="0.2">
      <c r="A972" s="402">
        <f t="shared" ca="1" si="441"/>
        <v>1E-4</v>
      </c>
      <c r="B972" s="357">
        <f t="shared" ca="1" si="442"/>
        <v>35.325500000001036</v>
      </c>
      <c r="C972" s="342"/>
      <c r="D972" s="359">
        <f t="shared" ca="1" si="443"/>
        <v>-0.83498300472394305</v>
      </c>
      <c r="E972" s="360">
        <f t="shared" ca="1" si="444"/>
        <v>-3.1631905160784139</v>
      </c>
      <c r="F972" s="357">
        <f t="shared" ca="1" si="445"/>
        <v>3.2715395243197425</v>
      </c>
      <c r="G972" s="359">
        <f t="shared" ca="1" si="446"/>
        <v>16.364148858297153</v>
      </c>
      <c r="H972" s="360">
        <f t="shared" ca="1" si="447"/>
        <v>-130.266362705098</v>
      </c>
      <c r="I972" s="357">
        <f t="shared" ca="1" si="448"/>
        <v>131.29017716597329</v>
      </c>
      <c r="J972" s="359">
        <f t="shared" ca="1" si="449"/>
        <v>953.1802660510491</v>
      </c>
      <c r="K972" s="360">
        <f t="shared" ca="1" si="450"/>
        <v>-11.582690630683167</v>
      </c>
      <c r="L972" s="357">
        <f t="shared" ca="1" si="435"/>
        <v>953.25063771885038</v>
      </c>
      <c r="M972" s="359">
        <f t="shared" ca="1" si="451"/>
        <v>-1.4458302494844879</v>
      </c>
      <c r="N972" s="357">
        <f t="shared" ca="1" si="452"/>
        <v>-82.839971187808032</v>
      </c>
      <c r="O972" s="343"/>
      <c r="P972" s="363">
        <f t="shared" ca="1" si="453"/>
        <v>23</v>
      </c>
      <c r="Q972" s="357">
        <f t="shared" ca="1" si="454"/>
        <v>0</v>
      </c>
      <c r="R972" s="359">
        <f t="shared" ca="1" si="455"/>
        <v>0</v>
      </c>
      <c r="S972" s="360">
        <f t="shared" ca="1" si="456"/>
        <v>8.3819999999999997</v>
      </c>
      <c r="T972" s="357">
        <f t="shared" ca="1" si="436"/>
        <v>82.227419999999995</v>
      </c>
      <c r="U972" s="364">
        <f t="shared" ca="1" si="437"/>
        <v>0</v>
      </c>
      <c r="V972" s="359">
        <f t="shared" ca="1" si="438"/>
        <v>1.2264197018005958</v>
      </c>
      <c r="W972" s="357">
        <f t="shared" ca="1" si="439"/>
        <v>56.15177107892422</v>
      </c>
      <c r="X972" s="343"/>
      <c r="Y972" s="367" t="str">
        <f t="shared" ca="1" si="457"/>
        <v/>
      </c>
      <c r="Z972" s="368" t="str">
        <f t="shared" ca="1" si="458"/>
        <v/>
      </c>
      <c r="AA972" s="369" t="str">
        <f t="shared" ca="1" si="459"/>
        <v/>
      </c>
      <c r="AB972" s="344"/>
      <c r="AC972" s="363" t="e">
        <f t="shared" ca="1" si="460"/>
        <v>#N/A</v>
      </c>
      <c r="AD972" s="376" t="e">
        <f t="shared" ca="1" si="461"/>
        <v>#N/A</v>
      </c>
      <c r="AE972" s="377" t="e">
        <f t="shared" ca="1" si="440"/>
        <v>#N/A</v>
      </c>
      <c r="AF972" s="344"/>
      <c r="AG972" s="359">
        <f t="shared" ca="1" si="462"/>
        <v>3.0344493090069937</v>
      </c>
      <c r="AH972" s="357">
        <f t="shared" ca="1" si="463"/>
        <v>-6.6990501516056566</v>
      </c>
    </row>
    <row r="973" spans="1:34" x14ac:dyDescent="0.2">
      <c r="A973" s="402">
        <f t="shared" ca="1" si="441"/>
        <v>1E-4</v>
      </c>
      <c r="B973" s="357">
        <f t="shared" ca="1" si="442"/>
        <v>35.325600000001039</v>
      </c>
      <c r="C973" s="342"/>
      <c r="D973" s="359">
        <f t="shared" ca="1" si="443"/>
        <v>-0.83498176178450589</v>
      </c>
      <c r="E973" s="360">
        <f t="shared" ca="1" si="444"/>
        <v>-3.1631503548006279</v>
      </c>
      <c r="F973" s="357">
        <f t="shared" ca="1" si="445"/>
        <v>3.2715003759113488</v>
      </c>
      <c r="G973" s="359">
        <f t="shared" ca="1" si="446"/>
        <v>16.364065360120975</v>
      </c>
      <c r="H973" s="360">
        <f t="shared" ca="1" si="447"/>
        <v>-130.26667902013349</v>
      </c>
      <c r="I973" s="357">
        <f t="shared" ca="1" si="448"/>
        <v>131.29048060710571</v>
      </c>
      <c r="J973" s="359">
        <f t="shared" ca="1" si="449"/>
        <v>953.1802660510491</v>
      </c>
      <c r="K973" s="360">
        <f t="shared" ca="1" si="450"/>
        <v>-11.59571728276943</v>
      </c>
      <c r="L973" s="357">
        <f t="shared" ca="1" si="435"/>
        <v>953.25079609117074</v>
      </c>
      <c r="M973" s="359">
        <f t="shared" ca="1" si="451"/>
        <v>-1.4458311808002566</v>
      </c>
      <c r="N973" s="357">
        <f t="shared" ca="1" si="452"/>
        <v>-82.840024548270975</v>
      </c>
      <c r="O973" s="343"/>
      <c r="P973" s="363">
        <f t="shared" ca="1" si="453"/>
        <v>23</v>
      </c>
      <c r="Q973" s="357">
        <f t="shared" ca="1" si="454"/>
        <v>0</v>
      </c>
      <c r="R973" s="359">
        <f t="shared" ca="1" si="455"/>
        <v>0</v>
      </c>
      <c r="S973" s="360">
        <f t="shared" ca="1" si="456"/>
        <v>8.3819999999999997</v>
      </c>
      <c r="T973" s="357">
        <f t="shared" ca="1" si="436"/>
        <v>82.227419999999995</v>
      </c>
      <c r="U973" s="364">
        <f t="shared" ca="1" si="437"/>
        <v>0</v>
      </c>
      <c r="V973" s="359">
        <f t="shared" ca="1" si="438"/>
        <v>1.2264212994164496</v>
      </c>
      <c r="W973" s="357">
        <f t="shared" ca="1" si="439"/>
        <v>56.152103785341055</v>
      </c>
      <c r="X973" s="343"/>
      <c r="Y973" s="367" t="str">
        <f t="shared" ca="1" si="457"/>
        <v/>
      </c>
      <c r="Z973" s="368" t="str">
        <f t="shared" ca="1" si="458"/>
        <v/>
      </c>
      <c r="AA973" s="369" t="str">
        <f t="shared" ca="1" si="459"/>
        <v/>
      </c>
      <c r="AB973" s="344"/>
      <c r="AC973" s="363" t="e">
        <f t="shared" ca="1" si="460"/>
        <v>#N/A</v>
      </c>
      <c r="AD973" s="376" t="e">
        <f t="shared" ca="1" si="461"/>
        <v>#N/A</v>
      </c>
      <c r="AE973" s="377" t="e">
        <f t="shared" ca="1" si="440"/>
        <v>#N/A</v>
      </c>
      <c r="AF973" s="344"/>
      <c r="AG973" s="359">
        <f t="shared" ca="1" si="462"/>
        <v>3.0344107545972916</v>
      </c>
      <c r="AH973" s="357">
        <f t="shared" ca="1" si="463"/>
        <v>-6.699089844777407</v>
      </c>
    </row>
    <row r="974" spans="1:34" x14ac:dyDescent="0.2">
      <c r="A974" s="402">
        <f t="shared" ca="1" si="441"/>
        <v>1E-4</v>
      </c>
      <c r="B974" s="357">
        <f t="shared" ca="1" si="442"/>
        <v>35.325700000001042</v>
      </c>
      <c r="C974" s="342"/>
      <c r="D974" s="359">
        <f t="shared" ca="1" si="443"/>
        <v>-0.83498051880518298</v>
      </c>
      <c r="E974" s="360">
        <f t="shared" ca="1" si="444"/>
        <v>-3.1631101937339619</v>
      </c>
      <c r="F974" s="357">
        <f t="shared" ca="1" si="445"/>
        <v>3.2714612277219297</v>
      </c>
      <c r="G974" s="359">
        <f t="shared" ca="1" si="446"/>
        <v>16.363981862069096</v>
      </c>
      <c r="H974" s="360">
        <f t="shared" ca="1" si="447"/>
        <v>-130.26699533115286</v>
      </c>
      <c r="I974" s="357">
        <f t="shared" ca="1" si="448"/>
        <v>131.29078404438269</v>
      </c>
      <c r="J974" s="359">
        <f t="shared" ca="1" si="449"/>
        <v>953.1802660510491</v>
      </c>
      <c r="K974" s="360">
        <f t="shared" ca="1" si="450"/>
        <v>-11.608743966486994</v>
      </c>
      <c r="L974" s="357">
        <f t="shared" ca="1" si="435"/>
        <v>953.25095464186563</v>
      </c>
      <c r="M974" s="359">
        <f t="shared" ca="1" si="451"/>
        <v>-1.4458321121069684</v>
      </c>
      <c r="N974" s="357">
        <f t="shared" ca="1" si="452"/>
        <v>-82.84007790821498</v>
      </c>
      <c r="O974" s="343"/>
      <c r="P974" s="363">
        <f t="shared" ca="1" si="453"/>
        <v>23</v>
      </c>
      <c r="Q974" s="357">
        <f t="shared" ca="1" si="454"/>
        <v>0</v>
      </c>
      <c r="R974" s="359">
        <f t="shared" ca="1" si="455"/>
        <v>0</v>
      </c>
      <c r="S974" s="360">
        <f t="shared" ca="1" si="456"/>
        <v>8.3819999999999997</v>
      </c>
      <c r="T974" s="357">
        <f t="shared" ca="1" si="436"/>
        <v>82.227419999999995</v>
      </c>
      <c r="U974" s="364">
        <f t="shared" ca="1" si="437"/>
        <v>0</v>
      </c>
      <c r="V974" s="359">
        <f t="shared" ca="1" si="438"/>
        <v>1.2264228970382653</v>
      </c>
      <c r="W974" s="357">
        <f t="shared" ca="1" si="439"/>
        <v>56.152436490009109</v>
      </c>
      <c r="X974" s="343"/>
      <c r="Y974" s="367" t="str">
        <f t="shared" ca="1" si="457"/>
        <v/>
      </c>
      <c r="Z974" s="368" t="str">
        <f t="shared" ca="1" si="458"/>
        <v/>
      </c>
      <c r="AA974" s="369" t="str">
        <f t="shared" ca="1" si="459"/>
        <v/>
      </c>
      <c r="AB974" s="344"/>
      <c r="AC974" s="363" t="e">
        <f t="shared" ca="1" si="460"/>
        <v>#N/A</v>
      </c>
      <c r="AD974" s="376" t="e">
        <f t="shared" ca="1" si="461"/>
        <v>#N/A</v>
      </c>
      <c r="AE974" s="377" t="e">
        <f t="shared" ca="1" si="440"/>
        <v>#N/A</v>
      </c>
      <c r="AF974" s="344"/>
      <c r="AG974" s="359">
        <f t="shared" ca="1" si="462"/>
        <v>3.0343722003767057</v>
      </c>
      <c r="AH974" s="357">
        <f t="shared" ca="1" si="463"/>
        <v>-6.6991295377405224</v>
      </c>
    </row>
    <row r="975" spans="1:34" x14ac:dyDescent="0.2">
      <c r="A975" s="402">
        <f t="shared" ca="1" si="441"/>
        <v>1E-4</v>
      </c>
      <c r="B975" s="357">
        <f t="shared" ca="1" si="442"/>
        <v>35.325800000001045</v>
      </c>
      <c r="C975" s="342"/>
      <c r="D975" s="359">
        <f t="shared" ca="1" si="443"/>
        <v>-0.83497927578597597</v>
      </c>
      <c r="E975" s="360">
        <f t="shared" ca="1" si="444"/>
        <v>-3.1630700328784176</v>
      </c>
      <c r="F975" s="357">
        <f t="shared" ca="1" si="445"/>
        <v>3.2714220797514875</v>
      </c>
      <c r="G975" s="359">
        <f t="shared" ca="1" si="446"/>
        <v>16.363898364141516</v>
      </c>
      <c r="H975" s="360">
        <f t="shared" ca="1" si="447"/>
        <v>-130.26731163815614</v>
      </c>
      <c r="I975" s="357">
        <f t="shared" ca="1" si="448"/>
        <v>131.29108747780424</v>
      </c>
      <c r="J975" s="359">
        <f t="shared" ca="1" si="449"/>
        <v>953.1802660510491</v>
      </c>
      <c r="K975" s="360">
        <f t="shared" ca="1" si="450"/>
        <v>-11.621770681835459</v>
      </c>
      <c r="L975" s="357">
        <f t="shared" ca="1" si="435"/>
        <v>953.25111337093654</v>
      </c>
      <c r="M975" s="359">
        <f t="shared" ca="1" si="451"/>
        <v>-1.4458330434046234</v>
      </c>
      <c r="N975" s="357">
        <f t="shared" ca="1" si="452"/>
        <v>-82.840131267640089</v>
      </c>
      <c r="O975" s="343"/>
      <c r="P975" s="363">
        <f t="shared" ca="1" si="453"/>
        <v>23</v>
      </c>
      <c r="Q975" s="357">
        <f t="shared" ca="1" si="454"/>
        <v>0</v>
      </c>
      <c r="R975" s="359">
        <f t="shared" ca="1" si="455"/>
        <v>0</v>
      </c>
      <c r="S975" s="360">
        <f t="shared" ca="1" si="456"/>
        <v>8.3819999999999997</v>
      </c>
      <c r="T975" s="357">
        <f t="shared" ca="1" si="436"/>
        <v>82.227419999999995</v>
      </c>
      <c r="U975" s="364">
        <f t="shared" ca="1" si="437"/>
        <v>0</v>
      </c>
      <c r="V975" s="359">
        <f t="shared" ca="1" si="438"/>
        <v>1.2264244946660423</v>
      </c>
      <c r="W975" s="357">
        <f t="shared" ca="1" si="439"/>
        <v>56.152769192928311</v>
      </c>
      <c r="X975" s="343"/>
      <c r="Y975" s="367" t="str">
        <f t="shared" ca="1" si="457"/>
        <v/>
      </c>
      <c r="Z975" s="368" t="str">
        <f t="shared" ca="1" si="458"/>
        <v/>
      </c>
      <c r="AA975" s="369" t="str">
        <f t="shared" ca="1" si="459"/>
        <v/>
      </c>
      <c r="AB975" s="344"/>
      <c r="AC975" s="363" t="e">
        <f t="shared" ca="1" si="460"/>
        <v>#N/A</v>
      </c>
      <c r="AD975" s="376" t="e">
        <f t="shared" ca="1" si="461"/>
        <v>#N/A</v>
      </c>
      <c r="AE975" s="377" t="e">
        <f t="shared" ca="1" si="440"/>
        <v>#N/A</v>
      </c>
      <c r="AF975" s="344"/>
      <c r="AG975" s="359">
        <f t="shared" ca="1" si="462"/>
        <v>3.0343336463452388</v>
      </c>
      <c r="AH975" s="357">
        <f t="shared" ca="1" si="463"/>
        <v>-6.6991692304950021</v>
      </c>
    </row>
    <row r="976" spans="1:34" x14ac:dyDescent="0.2">
      <c r="A976" s="402">
        <f t="shared" ca="1" si="441"/>
        <v>1E-4</v>
      </c>
      <c r="B976" s="357">
        <f t="shared" ca="1" si="442"/>
        <v>35.325900000001049</v>
      </c>
      <c r="C976" s="342"/>
      <c r="D976" s="359">
        <f t="shared" ca="1" si="443"/>
        <v>-0.83497803272688409</v>
      </c>
      <c r="E976" s="360">
        <f t="shared" ca="1" si="444"/>
        <v>-3.1630298722340013</v>
      </c>
      <c r="F976" s="357">
        <f t="shared" ca="1" si="445"/>
        <v>3.2713829320000283</v>
      </c>
      <c r="G976" s="359">
        <f t="shared" ca="1" si="446"/>
        <v>16.363814866338242</v>
      </c>
      <c r="H976" s="360">
        <f t="shared" ca="1" si="447"/>
        <v>-130.26762794114336</v>
      </c>
      <c r="I976" s="357">
        <f t="shared" ca="1" si="448"/>
        <v>131.29139090737041</v>
      </c>
      <c r="J976" s="359">
        <f t="shared" ca="1" si="449"/>
        <v>953.1802660510491</v>
      </c>
      <c r="K976" s="360">
        <f t="shared" ca="1" si="450"/>
        <v>-11.634797428814425</v>
      </c>
      <c r="L976" s="357">
        <f t="shared" ca="1" si="435"/>
        <v>953.25127227838425</v>
      </c>
      <c r="M976" s="359">
        <f t="shared" ca="1" si="451"/>
        <v>-1.4458339746932216</v>
      </c>
      <c r="N976" s="357">
        <f t="shared" ca="1" si="452"/>
        <v>-82.840184626546275</v>
      </c>
      <c r="O976" s="343"/>
      <c r="P976" s="363">
        <f t="shared" ca="1" si="453"/>
        <v>23</v>
      </c>
      <c r="Q976" s="357">
        <f t="shared" ca="1" si="454"/>
        <v>0</v>
      </c>
      <c r="R976" s="359">
        <f t="shared" ca="1" si="455"/>
        <v>0</v>
      </c>
      <c r="S976" s="360">
        <f t="shared" ca="1" si="456"/>
        <v>8.3819999999999997</v>
      </c>
      <c r="T976" s="357">
        <f t="shared" ca="1" si="436"/>
        <v>82.227419999999995</v>
      </c>
      <c r="U976" s="364">
        <f t="shared" ca="1" si="437"/>
        <v>0</v>
      </c>
      <c r="V976" s="359">
        <f t="shared" ca="1" si="438"/>
        <v>1.2264260922997809</v>
      </c>
      <c r="W976" s="357">
        <f t="shared" ca="1" si="439"/>
        <v>56.153101894098668</v>
      </c>
      <c r="X976" s="343"/>
      <c r="Y976" s="367" t="str">
        <f t="shared" ca="1" si="457"/>
        <v/>
      </c>
      <c r="Z976" s="368" t="str">
        <f t="shared" ca="1" si="458"/>
        <v/>
      </c>
      <c r="AA976" s="369" t="str">
        <f t="shared" ca="1" si="459"/>
        <v/>
      </c>
      <c r="AB976" s="344"/>
      <c r="AC976" s="363" t="e">
        <f t="shared" ca="1" si="460"/>
        <v>#N/A</v>
      </c>
      <c r="AD976" s="376" t="e">
        <f t="shared" ca="1" si="461"/>
        <v>#N/A</v>
      </c>
      <c r="AE976" s="377" t="e">
        <f t="shared" ca="1" si="440"/>
        <v>#N/A</v>
      </c>
      <c r="AF976" s="344"/>
      <c r="AG976" s="359">
        <f t="shared" ca="1" si="462"/>
        <v>3.034295092502898</v>
      </c>
      <c r="AH976" s="357">
        <f t="shared" ca="1" si="463"/>
        <v>-6.6992089230408389</v>
      </c>
    </row>
    <row r="977" spans="1:34" x14ac:dyDescent="0.2">
      <c r="A977" s="402">
        <f t="shared" ca="1" si="441"/>
        <v>1E-4</v>
      </c>
      <c r="B977" s="357">
        <f t="shared" ca="1" si="442"/>
        <v>35.326000000001052</v>
      </c>
      <c r="C977" s="342"/>
      <c r="D977" s="359">
        <f t="shared" ca="1" si="443"/>
        <v>-0.83497678962790889</v>
      </c>
      <c r="E977" s="360">
        <f t="shared" ca="1" si="444"/>
        <v>-3.162989711800714</v>
      </c>
      <c r="F977" s="357">
        <f t="shared" ca="1" si="445"/>
        <v>3.271343784467553</v>
      </c>
      <c r="G977" s="359">
        <f t="shared" ca="1" si="446"/>
        <v>16.36373136865928</v>
      </c>
      <c r="H977" s="360">
        <f t="shared" ca="1" si="447"/>
        <v>-130.26794424011453</v>
      </c>
      <c r="I977" s="357">
        <f t="shared" ca="1" si="448"/>
        <v>131.29169433308121</v>
      </c>
      <c r="J977" s="359">
        <f t="shared" ca="1" si="449"/>
        <v>953.1802660510491</v>
      </c>
      <c r="K977" s="360">
        <f t="shared" ca="1" si="450"/>
        <v>-11.647824207423488</v>
      </c>
      <c r="L977" s="357">
        <f t="shared" ca="1" si="435"/>
        <v>953.25143136421036</v>
      </c>
      <c r="M977" s="359">
        <f t="shared" ca="1" si="451"/>
        <v>-1.4458349059727633</v>
      </c>
      <c r="N977" s="357">
        <f t="shared" ca="1" si="452"/>
        <v>-82.840237984933566</v>
      </c>
      <c r="O977" s="343"/>
      <c r="P977" s="363">
        <f t="shared" ca="1" si="453"/>
        <v>23</v>
      </c>
      <c r="Q977" s="357">
        <f t="shared" ca="1" si="454"/>
        <v>0</v>
      </c>
      <c r="R977" s="359">
        <f t="shared" ca="1" si="455"/>
        <v>0</v>
      </c>
      <c r="S977" s="360">
        <f t="shared" ca="1" si="456"/>
        <v>8.3819999999999997</v>
      </c>
      <c r="T977" s="357">
        <f t="shared" ca="1" si="436"/>
        <v>82.227419999999995</v>
      </c>
      <c r="U977" s="364">
        <f t="shared" ca="1" si="437"/>
        <v>0</v>
      </c>
      <c r="V977" s="359">
        <f t="shared" ca="1" si="438"/>
        <v>1.2264276899394813</v>
      </c>
      <c r="W977" s="357">
        <f t="shared" ca="1" si="439"/>
        <v>56.15343459352021</v>
      </c>
      <c r="X977" s="343"/>
      <c r="Y977" s="367" t="str">
        <f t="shared" ca="1" si="457"/>
        <v/>
      </c>
      <c r="Z977" s="368" t="str">
        <f t="shared" ca="1" si="458"/>
        <v/>
      </c>
      <c r="AA977" s="369" t="str">
        <f t="shared" ca="1" si="459"/>
        <v/>
      </c>
      <c r="AB977" s="344"/>
      <c r="AC977" s="363" t="e">
        <f t="shared" ca="1" si="460"/>
        <v>#N/A</v>
      </c>
      <c r="AD977" s="376" t="e">
        <f t="shared" ca="1" si="461"/>
        <v>#N/A</v>
      </c>
      <c r="AE977" s="377" t="e">
        <f t="shared" ca="1" si="440"/>
        <v>#N/A</v>
      </c>
      <c r="AF977" s="344"/>
      <c r="AG977" s="359">
        <f t="shared" ca="1" si="462"/>
        <v>3.0342565388496867</v>
      </c>
      <c r="AH977" s="357">
        <f t="shared" ca="1" si="463"/>
        <v>-6.6992486153780328</v>
      </c>
    </row>
    <row r="978" spans="1:34" x14ac:dyDescent="0.2">
      <c r="A978" s="402">
        <f t="shared" ca="1" si="441"/>
        <v>1E-4</v>
      </c>
      <c r="B978" s="357">
        <f t="shared" ca="1" si="442"/>
        <v>35.326100000001055</v>
      </c>
      <c r="C978" s="342"/>
      <c r="D978" s="359">
        <f t="shared" ca="1" si="443"/>
        <v>-0.83497554648905115</v>
      </c>
      <c r="E978" s="360">
        <f t="shared" ca="1" si="444"/>
        <v>-3.1629495515785528</v>
      </c>
      <c r="F978" s="357">
        <f t="shared" ca="1" si="445"/>
        <v>3.2713046371540604</v>
      </c>
      <c r="G978" s="359">
        <f t="shared" ca="1" si="446"/>
        <v>16.363647871104632</v>
      </c>
      <c r="H978" s="360">
        <f t="shared" ca="1" si="447"/>
        <v>-130.26826053506969</v>
      </c>
      <c r="I978" s="357">
        <f t="shared" ca="1" si="448"/>
        <v>131.29199775493669</v>
      </c>
      <c r="J978" s="359">
        <f t="shared" ca="1" si="449"/>
        <v>953.1802660510491</v>
      </c>
      <c r="K978" s="360">
        <f t="shared" ca="1" si="450"/>
        <v>-11.660851017662248</v>
      </c>
      <c r="L978" s="357">
        <f t="shared" ca="1" si="435"/>
        <v>953.2515906284159</v>
      </c>
      <c r="M978" s="359">
        <f t="shared" ca="1" si="451"/>
        <v>-1.4458358372432487</v>
      </c>
      <c r="N978" s="357">
        <f t="shared" ca="1" si="452"/>
        <v>-82.840291342801962</v>
      </c>
      <c r="O978" s="343"/>
      <c r="P978" s="363">
        <f t="shared" ca="1" si="453"/>
        <v>23</v>
      </c>
      <c r="Q978" s="357">
        <f t="shared" ca="1" si="454"/>
        <v>0</v>
      </c>
      <c r="R978" s="359">
        <f t="shared" ca="1" si="455"/>
        <v>0</v>
      </c>
      <c r="S978" s="360">
        <f t="shared" ca="1" si="456"/>
        <v>8.3819999999999997</v>
      </c>
      <c r="T978" s="357">
        <f t="shared" ca="1" si="436"/>
        <v>82.227419999999995</v>
      </c>
      <c r="U978" s="364">
        <f t="shared" ca="1" si="437"/>
        <v>0</v>
      </c>
      <c r="V978" s="359">
        <f t="shared" ca="1" si="438"/>
        <v>1.2264292875851435</v>
      </c>
      <c r="W978" s="357">
        <f t="shared" ca="1" si="439"/>
        <v>56.153767291192935</v>
      </c>
      <c r="X978" s="343"/>
      <c r="Y978" s="367" t="str">
        <f t="shared" ca="1" si="457"/>
        <v/>
      </c>
      <c r="Z978" s="368" t="str">
        <f t="shared" ca="1" si="458"/>
        <v/>
      </c>
      <c r="AA978" s="369" t="str">
        <f t="shared" ca="1" si="459"/>
        <v/>
      </c>
      <c r="AB978" s="344"/>
      <c r="AC978" s="363" t="e">
        <f t="shared" ca="1" si="460"/>
        <v>#N/A</v>
      </c>
      <c r="AD978" s="376" t="e">
        <f t="shared" ca="1" si="461"/>
        <v>#N/A</v>
      </c>
      <c r="AE978" s="377" t="e">
        <f t="shared" ca="1" si="440"/>
        <v>#N/A</v>
      </c>
      <c r="AF978" s="344"/>
      <c r="AG978" s="359">
        <f t="shared" ca="1" si="462"/>
        <v>3.0342179853855988</v>
      </c>
      <c r="AH978" s="357">
        <f t="shared" ca="1" si="463"/>
        <v>-6.6992883075065865</v>
      </c>
    </row>
    <row r="979" spans="1:34" x14ac:dyDescent="0.2">
      <c r="A979" s="402">
        <f t="shared" ca="1" si="441"/>
        <v>1E-4</v>
      </c>
      <c r="B979" s="357">
        <f t="shared" ca="1" si="442"/>
        <v>35.326200000001059</v>
      </c>
      <c r="C979" s="342"/>
      <c r="D979" s="359">
        <f t="shared" ca="1" si="443"/>
        <v>-0.83497430331031108</v>
      </c>
      <c r="E979" s="360">
        <f t="shared" ca="1" si="444"/>
        <v>-3.1629093915675144</v>
      </c>
      <c r="F979" s="357">
        <f t="shared" ca="1" si="445"/>
        <v>3.2712654900595464</v>
      </c>
      <c r="G979" s="359">
        <f t="shared" ca="1" si="446"/>
        <v>16.363564373674301</v>
      </c>
      <c r="H979" s="360">
        <f t="shared" ca="1" si="447"/>
        <v>-130.26857682600885</v>
      </c>
      <c r="I979" s="357">
        <f t="shared" ca="1" si="448"/>
        <v>131.29230117293685</v>
      </c>
      <c r="J979" s="359">
        <f t="shared" ca="1" si="449"/>
        <v>953.1802660510491</v>
      </c>
      <c r="K979" s="360">
        <f t="shared" ca="1" si="450"/>
        <v>-11.673877859530302</v>
      </c>
      <c r="L979" s="357">
        <f t="shared" ca="1" si="435"/>
        <v>953.25175007100199</v>
      </c>
      <c r="M979" s="359">
        <f t="shared" ca="1" si="451"/>
        <v>-1.445836768504678</v>
      </c>
      <c r="N979" s="357">
        <f t="shared" ca="1" si="452"/>
        <v>-82.840344700151476</v>
      </c>
      <c r="O979" s="343"/>
      <c r="P979" s="363">
        <f t="shared" ca="1" si="453"/>
        <v>23</v>
      </c>
      <c r="Q979" s="357">
        <f t="shared" ca="1" si="454"/>
        <v>0</v>
      </c>
      <c r="R979" s="359">
        <f t="shared" ca="1" si="455"/>
        <v>0</v>
      </c>
      <c r="S979" s="360">
        <f t="shared" ca="1" si="456"/>
        <v>8.3819999999999997</v>
      </c>
      <c r="T979" s="357">
        <f t="shared" ca="1" si="436"/>
        <v>82.227419999999995</v>
      </c>
      <c r="U979" s="364">
        <f t="shared" ca="1" si="437"/>
        <v>0</v>
      </c>
      <c r="V979" s="359">
        <f t="shared" ca="1" si="438"/>
        <v>1.2264308852367671</v>
      </c>
      <c r="W979" s="357">
        <f t="shared" ca="1" si="439"/>
        <v>56.154099987116787</v>
      </c>
      <c r="X979" s="343"/>
      <c r="Y979" s="367" t="str">
        <f t="shared" ca="1" si="457"/>
        <v/>
      </c>
      <c r="Z979" s="368" t="str">
        <f t="shared" ca="1" si="458"/>
        <v/>
      </c>
      <c r="AA979" s="369" t="str">
        <f t="shared" ca="1" si="459"/>
        <v/>
      </c>
      <c r="AB979" s="344"/>
      <c r="AC979" s="363" t="e">
        <f t="shared" ca="1" si="460"/>
        <v>#N/A</v>
      </c>
      <c r="AD979" s="376" t="e">
        <f t="shared" ca="1" si="461"/>
        <v>#N/A</v>
      </c>
      <c r="AE979" s="377" t="e">
        <f t="shared" ca="1" si="440"/>
        <v>#N/A</v>
      </c>
      <c r="AF979" s="344"/>
      <c r="AG979" s="359">
        <f t="shared" ca="1" si="462"/>
        <v>3.0341794321106361</v>
      </c>
      <c r="AH979" s="357">
        <f t="shared" ca="1" si="463"/>
        <v>-6.6993279994265018</v>
      </c>
    </row>
    <row r="980" spans="1:34" x14ac:dyDescent="0.2">
      <c r="A980" s="402">
        <f t="shared" ca="1" si="441"/>
        <v>1E-4</v>
      </c>
      <c r="B980" s="357">
        <f t="shared" ca="1" si="442"/>
        <v>35.326300000001062</v>
      </c>
      <c r="C980" s="342"/>
      <c r="D980" s="359">
        <f t="shared" ca="1" si="443"/>
        <v>-0.83497306009168781</v>
      </c>
      <c r="E980" s="360">
        <f t="shared" ca="1" si="444"/>
        <v>-3.1628692317676101</v>
      </c>
      <c r="F980" s="357">
        <f t="shared" ca="1" si="445"/>
        <v>3.2712263431840225</v>
      </c>
      <c r="G980" s="359">
        <f t="shared" ca="1" si="446"/>
        <v>16.363480876368293</v>
      </c>
      <c r="H980" s="360">
        <f t="shared" ca="1" si="447"/>
        <v>-130.26889311293203</v>
      </c>
      <c r="I980" s="357">
        <f t="shared" ca="1" si="448"/>
        <v>131.29260458708168</v>
      </c>
      <c r="J980" s="359">
        <f t="shared" ca="1" si="449"/>
        <v>953.1802660510491</v>
      </c>
      <c r="K980" s="360">
        <f t="shared" ca="1" si="450"/>
        <v>-11.68690473302725</v>
      </c>
      <c r="L980" s="357">
        <f t="shared" ca="1" si="435"/>
        <v>953.2519096919699</v>
      </c>
      <c r="M980" s="359">
        <f t="shared" ca="1" si="451"/>
        <v>-1.4458376997570508</v>
      </c>
      <c r="N980" s="357">
        <f t="shared" ca="1" si="452"/>
        <v>-82.840398056982096</v>
      </c>
      <c r="O980" s="343"/>
      <c r="P980" s="363">
        <f t="shared" ca="1" si="453"/>
        <v>23</v>
      </c>
      <c r="Q980" s="357">
        <f t="shared" ca="1" si="454"/>
        <v>0</v>
      </c>
      <c r="R980" s="359">
        <f t="shared" ca="1" si="455"/>
        <v>0</v>
      </c>
      <c r="S980" s="360">
        <f t="shared" ca="1" si="456"/>
        <v>8.3819999999999997</v>
      </c>
      <c r="T980" s="357">
        <f t="shared" ca="1" si="436"/>
        <v>82.227419999999995</v>
      </c>
      <c r="U980" s="364">
        <f t="shared" ca="1" si="437"/>
        <v>0</v>
      </c>
      <c r="V980" s="359">
        <f t="shared" ca="1" si="438"/>
        <v>1.2264324828943516</v>
      </c>
      <c r="W980" s="357">
        <f t="shared" ca="1" si="439"/>
        <v>56.154432681291716</v>
      </c>
      <c r="X980" s="343"/>
      <c r="Y980" s="367" t="str">
        <f t="shared" ca="1" si="457"/>
        <v/>
      </c>
      <c r="Z980" s="368" t="str">
        <f t="shared" ca="1" si="458"/>
        <v/>
      </c>
      <c r="AA980" s="369" t="str">
        <f t="shared" ca="1" si="459"/>
        <v/>
      </c>
      <c r="AB980" s="344"/>
      <c r="AC980" s="363" t="e">
        <f t="shared" ca="1" si="460"/>
        <v>#N/A</v>
      </c>
      <c r="AD980" s="376" t="e">
        <f t="shared" ca="1" si="461"/>
        <v>#N/A</v>
      </c>
      <c r="AE980" s="377" t="e">
        <f t="shared" ca="1" si="440"/>
        <v>#N/A</v>
      </c>
      <c r="AF980" s="344"/>
      <c r="AG980" s="359">
        <f t="shared" ca="1" si="462"/>
        <v>3.0341408790248074</v>
      </c>
      <c r="AH980" s="357">
        <f t="shared" ca="1" si="463"/>
        <v>-6.6993676911377698</v>
      </c>
    </row>
    <row r="981" spans="1:34" x14ac:dyDescent="0.2">
      <c r="A981" s="402">
        <f t="shared" ca="1" si="441"/>
        <v>1E-4</v>
      </c>
      <c r="B981" s="357">
        <f t="shared" ca="1" si="442"/>
        <v>35.326400000001065</v>
      </c>
      <c r="C981" s="342"/>
      <c r="D981" s="359">
        <f t="shared" ca="1" si="443"/>
        <v>-0.83497181683318544</v>
      </c>
      <c r="E981" s="360">
        <f t="shared" ca="1" si="444"/>
        <v>-3.1628290721788428</v>
      </c>
      <c r="F981" s="357">
        <f t="shared" ca="1" si="445"/>
        <v>3.2711871965274915</v>
      </c>
      <c r="G981" s="359">
        <f t="shared" ca="1" si="446"/>
        <v>16.363397379186608</v>
      </c>
      <c r="H981" s="360">
        <f t="shared" ca="1" si="447"/>
        <v>-130.26920939583925</v>
      </c>
      <c r="I981" s="357">
        <f t="shared" ca="1" si="448"/>
        <v>131.29290799737123</v>
      </c>
      <c r="J981" s="359">
        <f t="shared" ca="1" si="449"/>
        <v>953.1802660510491</v>
      </c>
      <c r="K981" s="360">
        <f t="shared" ca="1" si="450"/>
        <v>-11.699931638152687</v>
      </c>
      <c r="L981" s="357">
        <f t="shared" ca="1" si="435"/>
        <v>953.25206949132098</v>
      </c>
      <c r="M981" s="359">
        <f t="shared" ca="1" si="451"/>
        <v>-1.4458386310003679</v>
      </c>
      <c r="N981" s="357">
        <f t="shared" ca="1" si="452"/>
        <v>-82.840451413293877</v>
      </c>
      <c r="O981" s="343"/>
      <c r="P981" s="363">
        <f t="shared" ca="1" si="453"/>
        <v>23</v>
      </c>
      <c r="Q981" s="357">
        <f t="shared" ca="1" si="454"/>
        <v>0</v>
      </c>
      <c r="R981" s="359">
        <f t="shared" ca="1" si="455"/>
        <v>0</v>
      </c>
      <c r="S981" s="360">
        <f t="shared" ca="1" si="456"/>
        <v>8.3819999999999997</v>
      </c>
      <c r="T981" s="357">
        <f t="shared" ca="1" si="436"/>
        <v>82.227419999999995</v>
      </c>
      <c r="U981" s="364">
        <f t="shared" ca="1" si="437"/>
        <v>0</v>
      </c>
      <c r="V981" s="359">
        <f t="shared" ca="1" si="438"/>
        <v>1.2264340805578982</v>
      </c>
      <c r="W981" s="357">
        <f t="shared" ca="1" si="439"/>
        <v>56.154765373717773</v>
      </c>
      <c r="X981" s="343"/>
      <c r="Y981" s="367" t="str">
        <f t="shared" ca="1" si="457"/>
        <v/>
      </c>
      <c r="Z981" s="368" t="str">
        <f t="shared" ca="1" si="458"/>
        <v/>
      </c>
      <c r="AA981" s="369" t="str">
        <f t="shared" ca="1" si="459"/>
        <v/>
      </c>
      <c r="AB981" s="344"/>
      <c r="AC981" s="363" t="e">
        <f t="shared" ca="1" si="460"/>
        <v>#N/A</v>
      </c>
      <c r="AD981" s="376" t="e">
        <f t="shared" ca="1" si="461"/>
        <v>#N/A</v>
      </c>
      <c r="AE981" s="377" t="e">
        <f t="shared" ca="1" si="440"/>
        <v>#N/A</v>
      </c>
      <c r="AF981" s="344"/>
      <c r="AG981" s="359">
        <f t="shared" ca="1" si="462"/>
        <v>3.0341023261281137</v>
      </c>
      <c r="AH981" s="357">
        <f t="shared" ca="1" si="463"/>
        <v>-6.6994073826403859</v>
      </c>
    </row>
    <row r="982" spans="1:34" x14ac:dyDescent="0.2">
      <c r="A982" s="402">
        <f t="shared" ca="1" si="441"/>
        <v>1E-4</v>
      </c>
      <c r="B982" s="357">
        <f t="shared" ca="1" si="442"/>
        <v>35.326500000001069</v>
      </c>
      <c r="C982" s="342"/>
      <c r="D982" s="359">
        <f t="shared" ca="1" si="443"/>
        <v>-0.83497057353480042</v>
      </c>
      <c r="E982" s="360">
        <f t="shared" ca="1" si="444"/>
        <v>-3.1627889128012061</v>
      </c>
      <c r="F982" s="357">
        <f t="shared" ca="1" si="445"/>
        <v>3.2711480500899484</v>
      </c>
      <c r="G982" s="359">
        <f t="shared" ca="1" si="446"/>
        <v>16.363313882129255</v>
      </c>
      <c r="H982" s="360">
        <f t="shared" ca="1" si="447"/>
        <v>-130.26952567473055</v>
      </c>
      <c r="I982" s="357">
        <f t="shared" ca="1" si="448"/>
        <v>131.29321140380551</v>
      </c>
      <c r="J982" s="359">
        <f t="shared" ca="1" si="449"/>
        <v>953.1802660510491</v>
      </c>
      <c r="K982" s="360">
        <f t="shared" ca="1" si="450"/>
        <v>-11.712958574906216</v>
      </c>
      <c r="L982" s="357">
        <f t="shared" ca="1" si="435"/>
        <v>953.25222946905626</v>
      </c>
      <c r="M982" s="359">
        <f t="shared" ca="1" si="451"/>
        <v>-1.4458395622346292</v>
      </c>
      <c r="N982" s="357">
        <f t="shared" ca="1" si="452"/>
        <v>-82.840504769086778</v>
      </c>
      <c r="O982" s="343"/>
      <c r="P982" s="363">
        <f t="shared" ca="1" si="453"/>
        <v>23</v>
      </c>
      <c r="Q982" s="357">
        <f t="shared" ca="1" si="454"/>
        <v>0</v>
      </c>
      <c r="R982" s="359">
        <f t="shared" ca="1" si="455"/>
        <v>0</v>
      </c>
      <c r="S982" s="360">
        <f t="shared" ca="1" si="456"/>
        <v>8.3819999999999997</v>
      </c>
      <c r="T982" s="357">
        <f t="shared" ca="1" si="436"/>
        <v>82.227419999999995</v>
      </c>
      <c r="U982" s="364">
        <f t="shared" ca="1" si="437"/>
        <v>0</v>
      </c>
      <c r="V982" s="359">
        <f t="shared" ca="1" si="438"/>
        <v>1.2264356782274064</v>
      </c>
      <c r="W982" s="357">
        <f t="shared" ca="1" si="439"/>
        <v>56.155098064394927</v>
      </c>
      <c r="X982" s="343"/>
      <c r="Y982" s="367" t="str">
        <f t="shared" ca="1" si="457"/>
        <v/>
      </c>
      <c r="Z982" s="368" t="str">
        <f t="shared" ca="1" si="458"/>
        <v/>
      </c>
      <c r="AA982" s="369" t="str">
        <f t="shared" ca="1" si="459"/>
        <v/>
      </c>
      <c r="AB982" s="344"/>
      <c r="AC982" s="363" t="e">
        <f t="shared" ca="1" si="460"/>
        <v>#N/A</v>
      </c>
      <c r="AD982" s="376" t="e">
        <f t="shared" ca="1" si="461"/>
        <v>#N/A</v>
      </c>
      <c r="AE982" s="377" t="e">
        <f t="shared" ca="1" si="440"/>
        <v>#N/A</v>
      </c>
      <c r="AF982" s="344"/>
      <c r="AG982" s="359">
        <f t="shared" ca="1" si="462"/>
        <v>3.034063773420554</v>
      </c>
      <c r="AH982" s="357">
        <f t="shared" ca="1" si="463"/>
        <v>-6.6994470739343566</v>
      </c>
    </row>
    <row r="983" spans="1:34" x14ac:dyDescent="0.2">
      <c r="A983" s="402">
        <f t="shared" ca="1" si="441"/>
        <v>1E-4</v>
      </c>
      <c r="B983" s="357">
        <f t="shared" ca="1" si="442"/>
        <v>35.326600000001072</v>
      </c>
      <c r="C983" s="342"/>
      <c r="D983" s="359">
        <f t="shared" ca="1" si="443"/>
        <v>-0.8349693301965353</v>
      </c>
      <c r="E983" s="360">
        <f t="shared" ca="1" si="444"/>
        <v>-3.1627487536347063</v>
      </c>
      <c r="F983" s="357">
        <f t="shared" ca="1" si="445"/>
        <v>3.2711089038713981</v>
      </c>
      <c r="G983" s="359">
        <f t="shared" ca="1" si="446"/>
        <v>16.363230385196236</v>
      </c>
      <c r="H983" s="360">
        <f t="shared" ca="1" si="447"/>
        <v>-130.2698419496059</v>
      </c>
      <c r="I983" s="357">
        <f t="shared" ca="1" si="448"/>
        <v>131.29351480638454</v>
      </c>
      <c r="J983" s="359">
        <f t="shared" ca="1" si="449"/>
        <v>953.1802660510491</v>
      </c>
      <c r="K983" s="360">
        <f t="shared" ca="1" si="450"/>
        <v>-11.725985543287432</v>
      </c>
      <c r="L983" s="357">
        <f t="shared" ca="1" si="435"/>
        <v>953.25238962517699</v>
      </c>
      <c r="M983" s="359">
        <f t="shared" ca="1" si="451"/>
        <v>-1.4458404934598346</v>
      </c>
      <c r="N983" s="357">
        <f t="shared" ca="1" si="452"/>
        <v>-82.840558124360825</v>
      </c>
      <c r="O983" s="343"/>
      <c r="P983" s="363">
        <f t="shared" ca="1" si="453"/>
        <v>23</v>
      </c>
      <c r="Q983" s="357">
        <f t="shared" ca="1" si="454"/>
        <v>0</v>
      </c>
      <c r="R983" s="359">
        <f t="shared" ca="1" si="455"/>
        <v>0</v>
      </c>
      <c r="S983" s="360">
        <f t="shared" ca="1" si="456"/>
        <v>8.3819999999999997</v>
      </c>
      <c r="T983" s="357">
        <f t="shared" ca="1" si="436"/>
        <v>82.227419999999995</v>
      </c>
      <c r="U983" s="364">
        <f t="shared" ca="1" si="437"/>
        <v>0</v>
      </c>
      <c r="V983" s="359">
        <f t="shared" ca="1" si="438"/>
        <v>1.2264372759028754</v>
      </c>
      <c r="W983" s="357">
        <f t="shared" ca="1" si="439"/>
        <v>56.155430753323138</v>
      </c>
      <c r="X983" s="343"/>
      <c r="Y983" s="367" t="str">
        <f t="shared" ca="1" si="457"/>
        <v/>
      </c>
      <c r="Z983" s="368" t="str">
        <f t="shared" ca="1" si="458"/>
        <v/>
      </c>
      <c r="AA983" s="369" t="str">
        <f t="shared" ca="1" si="459"/>
        <v/>
      </c>
      <c r="AB983" s="344"/>
      <c r="AC983" s="363" t="e">
        <f t="shared" ca="1" si="460"/>
        <v>#N/A</v>
      </c>
      <c r="AD983" s="376" t="e">
        <f t="shared" ca="1" si="461"/>
        <v>#N/A</v>
      </c>
      <c r="AE983" s="377" t="e">
        <f t="shared" ca="1" si="440"/>
        <v>#N/A</v>
      </c>
      <c r="AF983" s="344"/>
      <c r="AG983" s="359">
        <f t="shared" ca="1" si="462"/>
        <v>3.0340252209021301</v>
      </c>
      <c r="AH983" s="357">
        <f t="shared" ca="1" si="463"/>
        <v>-6.6994867650196763</v>
      </c>
    </row>
    <row r="984" spans="1:34" x14ac:dyDescent="0.2">
      <c r="A984" s="402">
        <f t="shared" ca="1" si="441"/>
        <v>1E-4</v>
      </c>
      <c r="B984" s="357">
        <f t="shared" ca="1" si="442"/>
        <v>35.326700000001075</v>
      </c>
      <c r="C984" s="342"/>
      <c r="D984" s="359">
        <f t="shared" ca="1" si="443"/>
        <v>-0.83496808681839141</v>
      </c>
      <c r="E984" s="360">
        <f t="shared" ca="1" si="444"/>
        <v>-3.1627085946793452</v>
      </c>
      <c r="F984" s="357">
        <f t="shared" ca="1" si="445"/>
        <v>3.2710697578718437</v>
      </c>
      <c r="G984" s="359">
        <f t="shared" ca="1" si="446"/>
        <v>16.363146888387554</v>
      </c>
      <c r="H984" s="360">
        <f t="shared" ca="1" si="447"/>
        <v>-130.27015822046536</v>
      </c>
      <c r="I984" s="357">
        <f t="shared" ca="1" si="448"/>
        <v>131.29381820510829</v>
      </c>
      <c r="J984" s="359">
        <f t="shared" ca="1" si="449"/>
        <v>953.1802660510491</v>
      </c>
      <c r="K984" s="360">
        <f t="shared" ca="1" si="450"/>
        <v>-11.739012543295937</v>
      </c>
      <c r="L984" s="357">
        <f t="shared" ca="1" si="435"/>
        <v>953.2525499596843</v>
      </c>
      <c r="M984" s="359">
        <f t="shared" ca="1" si="451"/>
        <v>-1.4458414246759843</v>
      </c>
      <c r="N984" s="357">
        <f t="shared" ca="1" si="452"/>
        <v>-82.840611479116021</v>
      </c>
      <c r="O984" s="343"/>
      <c r="P984" s="363">
        <f t="shared" ca="1" si="453"/>
        <v>23</v>
      </c>
      <c r="Q984" s="357">
        <f t="shared" ca="1" si="454"/>
        <v>0</v>
      </c>
      <c r="R984" s="359">
        <f t="shared" ca="1" si="455"/>
        <v>0</v>
      </c>
      <c r="S984" s="360">
        <f t="shared" ca="1" si="456"/>
        <v>8.3819999999999997</v>
      </c>
      <c r="T984" s="357">
        <f t="shared" ca="1" si="436"/>
        <v>82.227419999999995</v>
      </c>
      <c r="U984" s="364">
        <f t="shared" ca="1" si="437"/>
        <v>0</v>
      </c>
      <c r="V984" s="359">
        <f t="shared" ca="1" si="438"/>
        <v>1.2264388735843068</v>
      </c>
      <c r="W984" s="357">
        <f t="shared" ca="1" si="439"/>
        <v>56.155763440502412</v>
      </c>
      <c r="X984" s="343"/>
      <c r="Y984" s="367" t="str">
        <f t="shared" ca="1" si="457"/>
        <v/>
      </c>
      <c r="Z984" s="368" t="str">
        <f t="shared" ca="1" si="458"/>
        <v/>
      </c>
      <c r="AA984" s="369" t="str">
        <f t="shared" ca="1" si="459"/>
        <v/>
      </c>
      <c r="AB984" s="344"/>
      <c r="AC984" s="363" t="e">
        <f t="shared" ca="1" si="460"/>
        <v>#N/A</v>
      </c>
      <c r="AD984" s="376" t="e">
        <f t="shared" ca="1" si="461"/>
        <v>#N/A</v>
      </c>
      <c r="AE984" s="377" t="e">
        <f t="shared" ca="1" si="440"/>
        <v>#N/A</v>
      </c>
      <c r="AF984" s="344"/>
      <c r="AG984" s="359">
        <f t="shared" ca="1" si="462"/>
        <v>3.03398666857285</v>
      </c>
      <c r="AH984" s="357">
        <f t="shared" ca="1" si="463"/>
        <v>-6.6995264558963425</v>
      </c>
    </row>
    <row r="985" spans="1:34" x14ac:dyDescent="0.2">
      <c r="A985" s="402">
        <f t="shared" ca="1" si="441"/>
        <v>1E-4</v>
      </c>
      <c r="B985" s="357">
        <f t="shared" ca="1" si="442"/>
        <v>35.326800000001079</v>
      </c>
      <c r="C985" s="342"/>
      <c r="D985" s="359">
        <f t="shared" ca="1" si="443"/>
        <v>-0.83496684340036864</v>
      </c>
      <c r="E985" s="360">
        <f t="shared" ca="1" si="444"/>
        <v>-3.1626684359351263</v>
      </c>
      <c r="F985" s="357">
        <f t="shared" ca="1" si="445"/>
        <v>3.2710306120912893</v>
      </c>
      <c r="G985" s="359">
        <f t="shared" ca="1" si="446"/>
        <v>16.363063391703214</v>
      </c>
      <c r="H985" s="360">
        <f t="shared" ca="1" si="447"/>
        <v>-130.27047448730895</v>
      </c>
      <c r="I985" s="357">
        <f t="shared" ca="1" si="448"/>
        <v>131.29412159997685</v>
      </c>
      <c r="J985" s="359">
        <f t="shared" ca="1" si="449"/>
        <v>953.1802660510491</v>
      </c>
      <c r="K985" s="360">
        <f t="shared" ca="1" si="450"/>
        <v>-11.752039574931326</v>
      </c>
      <c r="L985" s="357">
        <f t="shared" ca="1" si="435"/>
        <v>953.25271047257945</v>
      </c>
      <c r="M985" s="359">
        <f t="shared" ca="1" si="451"/>
        <v>-1.4458423558830789</v>
      </c>
      <c r="N985" s="357">
        <f t="shared" ca="1" si="452"/>
        <v>-82.840664833352392</v>
      </c>
      <c r="O985" s="343"/>
      <c r="P985" s="363">
        <f t="shared" ca="1" si="453"/>
        <v>23</v>
      </c>
      <c r="Q985" s="357">
        <f t="shared" ca="1" si="454"/>
        <v>0</v>
      </c>
      <c r="R985" s="359">
        <f t="shared" ca="1" si="455"/>
        <v>0</v>
      </c>
      <c r="S985" s="360">
        <f t="shared" ca="1" si="456"/>
        <v>8.3819999999999997</v>
      </c>
      <c r="T985" s="357">
        <f t="shared" ca="1" si="436"/>
        <v>82.227419999999995</v>
      </c>
      <c r="U985" s="364">
        <f t="shared" ca="1" si="437"/>
        <v>0</v>
      </c>
      <c r="V985" s="359">
        <f t="shared" ca="1" si="438"/>
        <v>1.2264404712716985</v>
      </c>
      <c r="W985" s="357">
        <f t="shared" ca="1" si="439"/>
        <v>56.156096125932685</v>
      </c>
      <c r="X985" s="343"/>
      <c r="Y985" s="367" t="str">
        <f t="shared" ca="1" si="457"/>
        <v/>
      </c>
      <c r="Z985" s="368" t="str">
        <f t="shared" ca="1" si="458"/>
        <v/>
      </c>
      <c r="AA985" s="369" t="str">
        <f t="shared" ca="1" si="459"/>
        <v/>
      </c>
      <c r="AB985" s="344"/>
      <c r="AC985" s="363" t="e">
        <f t="shared" ca="1" si="460"/>
        <v>#N/A</v>
      </c>
      <c r="AD985" s="376" t="e">
        <f t="shared" ca="1" si="461"/>
        <v>#N/A</v>
      </c>
      <c r="AE985" s="377" t="e">
        <f t="shared" ca="1" si="440"/>
        <v>#N/A</v>
      </c>
      <c r="AF985" s="344"/>
      <c r="AG985" s="359">
        <f t="shared" ca="1" si="462"/>
        <v>3.0339481164327102</v>
      </c>
      <c r="AH985" s="357">
        <f t="shared" ca="1" si="463"/>
        <v>-6.6995661465643535</v>
      </c>
    </row>
    <row r="986" spans="1:34" x14ac:dyDescent="0.2">
      <c r="A986" s="402">
        <f t="shared" ca="1" si="441"/>
        <v>1E-4</v>
      </c>
      <c r="B986" s="357">
        <f t="shared" ca="1" si="442"/>
        <v>35.326900000001082</v>
      </c>
      <c r="C986" s="342"/>
      <c r="D986" s="359">
        <f t="shared" ca="1" si="443"/>
        <v>-0.83496559994246511</v>
      </c>
      <c r="E986" s="360">
        <f t="shared" ca="1" si="444"/>
        <v>-3.1626282774020531</v>
      </c>
      <c r="F986" s="357">
        <f t="shared" ca="1" si="445"/>
        <v>3.270991466529737</v>
      </c>
      <c r="G986" s="359">
        <f t="shared" ca="1" si="446"/>
        <v>16.362979895143219</v>
      </c>
      <c r="H986" s="360">
        <f t="shared" ca="1" si="447"/>
        <v>-130.27079075013668</v>
      </c>
      <c r="I986" s="357">
        <f t="shared" ca="1" si="448"/>
        <v>131.29442499099022</v>
      </c>
      <c r="J986" s="359">
        <f t="shared" ca="1" si="449"/>
        <v>953.1802660510491</v>
      </c>
      <c r="K986" s="360">
        <f t="shared" ca="1" si="450"/>
        <v>-11.765066638193197</v>
      </c>
      <c r="L986" s="357">
        <f t="shared" ca="1" si="435"/>
        <v>953.2528711638638</v>
      </c>
      <c r="M986" s="359">
        <f t="shared" ca="1" si="451"/>
        <v>-1.4458432870811178</v>
      </c>
      <c r="N986" s="357">
        <f t="shared" ca="1" si="452"/>
        <v>-82.840718187069911</v>
      </c>
      <c r="O986" s="343"/>
      <c r="P986" s="363">
        <f t="shared" ca="1" si="453"/>
        <v>23</v>
      </c>
      <c r="Q986" s="357">
        <f t="shared" ca="1" si="454"/>
        <v>0</v>
      </c>
      <c r="R986" s="359">
        <f t="shared" ca="1" si="455"/>
        <v>0</v>
      </c>
      <c r="S986" s="360">
        <f t="shared" ca="1" si="456"/>
        <v>8.3819999999999997</v>
      </c>
      <c r="T986" s="357">
        <f t="shared" ca="1" si="436"/>
        <v>82.227419999999995</v>
      </c>
      <c r="U986" s="364">
        <f t="shared" ca="1" si="437"/>
        <v>0</v>
      </c>
      <c r="V986" s="359">
        <f t="shared" ca="1" si="438"/>
        <v>1.2264420689650521</v>
      </c>
      <c r="W986" s="357">
        <f t="shared" ca="1" si="439"/>
        <v>56.15642880961402</v>
      </c>
      <c r="X986" s="343"/>
      <c r="Y986" s="367" t="str">
        <f t="shared" ca="1" si="457"/>
        <v/>
      </c>
      <c r="Z986" s="368" t="str">
        <f t="shared" ca="1" si="458"/>
        <v/>
      </c>
      <c r="AA986" s="369" t="str">
        <f t="shared" ca="1" si="459"/>
        <v/>
      </c>
      <c r="AB986" s="344"/>
      <c r="AC986" s="363" t="e">
        <f t="shared" ca="1" si="460"/>
        <v>#N/A</v>
      </c>
      <c r="AD986" s="376" t="e">
        <f t="shared" ca="1" si="461"/>
        <v>#N/A</v>
      </c>
      <c r="AE986" s="377" t="e">
        <f t="shared" ca="1" si="440"/>
        <v>#N/A</v>
      </c>
      <c r="AF986" s="344"/>
      <c r="AG986" s="359">
        <f t="shared" ca="1" si="462"/>
        <v>3.0339095644817213</v>
      </c>
      <c r="AH986" s="357">
        <f t="shared" ca="1" si="463"/>
        <v>-6.6996058370237037</v>
      </c>
    </row>
    <row r="987" spans="1:34" x14ac:dyDescent="0.2">
      <c r="A987" s="402">
        <f t="shared" ca="1" si="441"/>
        <v>1E-4</v>
      </c>
      <c r="B987" s="357">
        <f t="shared" ca="1" si="442"/>
        <v>35.327000000001085</v>
      </c>
      <c r="C987" s="342"/>
      <c r="D987" s="359">
        <f t="shared" ca="1" si="443"/>
        <v>-0.83496435644468636</v>
      </c>
      <c r="E987" s="360">
        <f t="shared" ca="1" si="444"/>
        <v>-3.1625881190801195</v>
      </c>
      <c r="F987" s="357">
        <f t="shared" ca="1" si="445"/>
        <v>3.2709523211871825</v>
      </c>
      <c r="G987" s="359">
        <f t="shared" ca="1" si="446"/>
        <v>16.362896398707576</v>
      </c>
      <c r="H987" s="360">
        <f t="shared" ca="1" si="447"/>
        <v>-130.2711070089486</v>
      </c>
      <c r="I987" s="357">
        <f t="shared" ca="1" si="448"/>
        <v>131.29472837814845</v>
      </c>
      <c r="J987" s="359">
        <f t="shared" ca="1" si="449"/>
        <v>953.1802660510491</v>
      </c>
      <c r="K987" s="360">
        <f t="shared" ca="1" si="450"/>
        <v>-11.778093733081151</v>
      </c>
      <c r="L987" s="357">
        <f t="shared" ca="1" si="435"/>
        <v>953.25303203353826</v>
      </c>
      <c r="M987" s="359">
        <f t="shared" ca="1" si="451"/>
        <v>-1.4458442182701017</v>
      </c>
      <c r="N987" s="357">
        <f t="shared" ca="1" si="452"/>
        <v>-82.840771540268619</v>
      </c>
      <c r="O987" s="343"/>
      <c r="P987" s="363">
        <f t="shared" ca="1" si="453"/>
        <v>23</v>
      </c>
      <c r="Q987" s="357">
        <f t="shared" ca="1" si="454"/>
        <v>0</v>
      </c>
      <c r="R987" s="359">
        <f t="shared" ca="1" si="455"/>
        <v>0</v>
      </c>
      <c r="S987" s="360">
        <f t="shared" ca="1" si="456"/>
        <v>8.3819999999999997</v>
      </c>
      <c r="T987" s="357">
        <f t="shared" ca="1" si="436"/>
        <v>82.227419999999995</v>
      </c>
      <c r="U987" s="364">
        <f t="shared" ca="1" si="437"/>
        <v>0</v>
      </c>
      <c r="V987" s="359">
        <f t="shared" ca="1" si="438"/>
        <v>1.2264436666643674</v>
      </c>
      <c r="W987" s="357">
        <f t="shared" ca="1" si="439"/>
        <v>56.156761491546433</v>
      </c>
      <c r="X987" s="343"/>
      <c r="Y987" s="367" t="str">
        <f t="shared" ca="1" si="457"/>
        <v/>
      </c>
      <c r="Z987" s="368" t="str">
        <f t="shared" ca="1" si="458"/>
        <v/>
      </c>
      <c r="AA987" s="369" t="str">
        <f t="shared" ca="1" si="459"/>
        <v/>
      </c>
      <c r="AB987" s="344"/>
      <c r="AC987" s="363" t="e">
        <f t="shared" ca="1" si="460"/>
        <v>#N/A</v>
      </c>
      <c r="AD987" s="376" t="e">
        <f t="shared" ca="1" si="461"/>
        <v>#N/A</v>
      </c>
      <c r="AE987" s="377" t="e">
        <f t="shared" ca="1" si="440"/>
        <v>#N/A</v>
      </c>
      <c r="AF987" s="344"/>
      <c r="AG987" s="359">
        <f t="shared" ca="1" si="462"/>
        <v>3.0338710127198727</v>
      </c>
      <c r="AH987" s="357">
        <f t="shared" ca="1" si="463"/>
        <v>-6.6996455272744004</v>
      </c>
    </row>
    <row r="988" spans="1:34" x14ac:dyDescent="0.2">
      <c r="A988" s="402">
        <f t="shared" ca="1" si="441"/>
        <v>1E-4</v>
      </c>
      <c r="B988" s="357">
        <f t="shared" ca="1" si="442"/>
        <v>35.327100000001089</v>
      </c>
      <c r="C988" s="342"/>
      <c r="D988" s="359">
        <f t="shared" ca="1" si="443"/>
        <v>-0.83496311290702951</v>
      </c>
      <c r="E988" s="360">
        <f t="shared" ca="1" si="444"/>
        <v>-3.1625479609693237</v>
      </c>
      <c r="F988" s="357">
        <f t="shared" ca="1" si="445"/>
        <v>3.2709131760636239</v>
      </c>
      <c r="G988" s="359">
        <f t="shared" ca="1" si="446"/>
        <v>16.362812902396286</v>
      </c>
      <c r="H988" s="360">
        <f t="shared" ca="1" si="447"/>
        <v>-130.27142326374471</v>
      </c>
      <c r="I988" s="357">
        <f t="shared" ca="1" si="448"/>
        <v>131.29503176145147</v>
      </c>
      <c r="J988" s="359">
        <f t="shared" ca="1" si="449"/>
        <v>953.1802660510491</v>
      </c>
      <c r="K988" s="360">
        <f t="shared" ca="1" si="450"/>
        <v>-11.791120859594786</v>
      </c>
      <c r="L988" s="357">
        <f t="shared" ca="1" si="435"/>
        <v>953.25319308160431</v>
      </c>
      <c r="M988" s="359">
        <f t="shared" ca="1" si="451"/>
        <v>-1.4458451494500306</v>
      </c>
      <c r="N988" s="357">
        <f t="shared" ca="1" si="452"/>
        <v>-82.840824892948518</v>
      </c>
      <c r="O988" s="343"/>
      <c r="P988" s="363">
        <f t="shared" ca="1" si="453"/>
        <v>23</v>
      </c>
      <c r="Q988" s="357">
        <f t="shared" ca="1" si="454"/>
        <v>0</v>
      </c>
      <c r="R988" s="359">
        <f t="shared" ca="1" si="455"/>
        <v>0</v>
      </c>
      <c r="S988" s="360">
        <f t="shared" ca="1" si="456"/>
        <v>8.3819999999999997</v>
      </c>
      <c r="T988" s="357">
        <f t="shared" ca="1" si="436"/>
        <v>82.227419999999995</v>
      </c>
      <c r="U988" s="364">
        <f t="shared" ca="1" si="437"/>
        <v>0</v>
      </c>
      <c r="V988" s="359">
        <f t="shared" ca="1" si="438"/>
        <v>1.2264452643696433</v>
      </c>
      <c r="W988" s="357">
        <f t="shared" ca="1" si="439"/>
        <v>56.15709417172976</v>
      </c>
      <c r="X988" s="343"/>
      <c r="Y988" s="367" t="str">
        <f t="shared" ca="1" si="457"/>
        <v/>
      </c>
      <c r="Z988" s="368" t="str">
        <f t="shared" ca="1" si="458"/>
        <v/>
      </c>
      <c r="AA988" s="369" t="str">
        <f t="shared" ca="1" si="459"/>
        <v/>
      </c>
      <c r="AB988" s="344"/>
      <c r="AC988" s="363" t="e">
        <f t="shared" ca="1" si="460"/>
        <v>#N/A</v>
      </c>
      <c r="AD988" s="376" t="e">
        <f t="shared" ca="1" si="461"/>
        <v>#N/A</v>
      </c>
      <c r="AE988" s="377" t="e">
        <f t="shared" ca="1" si="440"/>
        <v>#N/A</v>
      </c>
      <c r="AF988" s="344"/>
      <c r="AG988" s="359">
        <f t="shared" ca="1" si="462"/>
        <v>3.033832461147167</v>
      </c>
      <c r="AH988" s="357">
        <f t="shared" ca="1" si="463"/>
        <v>-6.6996852173164445</v>
      </c>
    </row>
    <row r="989" spans="1:34" x14ac:dyDescent="0.2">
      <c r="A989" s="402">
        <f t="shared" ca="1" si="441"/>
        <v>1E-4</v>
      </c>
      <c r="B989" s="357">
        <f t="shared" ca="1" si="442"/>
        <v>35.327200000001092</v>
      </c>
      <c r="C989" s="342"/>
      <c r="D989" s="359">
        <f t="shared" ca="1" si="443"/>
        <v>-0.83496186932949401</v>
      </c>
      <c r="E989" s="360">
        <f t="shared" ca="1" si="444"/>
        <v>-3.162507803069686</v>
      </c>
      <c r="F989" s="357">
        <f t="shared" ca="1" si="445"/>
        <v>3.2708740311590807</v>
      </c>
      <c r="G989" s="359">
        <f t="shared" ca="1" si="446"/>
        <v>16.362729406209354</v>
      </c>
      <c r="H989" s="360">
        <f t="shared" ca="1" si="447"/>
        <v>-130.27173951452502</v>
      </c>
      <c r="I989" s="357">
        <f t="shared" ca="1" si="448"/>
        <v>131.2953351408994</v>
      </c>
      <c r="J989" s="359">
        <f t="shared" ca="1" si="449"/>
        <v>953.1802660510491</v>
      </c>
      <c r="K989" s="360">
        <f t="shared" ca="1" si="450"/>
        <v>-11.804148017733699</v>
      </c>
      <c r="L989" s="357">
        <f t="shared" ca="1" si="435"/>
        <v>953.25335430806297</v>
      </c>
      <c r="M989" s="359">
        <f t="shared" ca="1" si="451"/>
        <v>-1.4458460806209046</v>
      </c>
      <c r="N989" s="357">
        <f t="shared" ca="1" si="452"/>
        <v>-82.840878245109593</v>
      </c>
      <c r="O989" s="343"/>
      <c r="P989" s="363">
        <f t="shared" ca="1" si="453"/>
        <v>23</v>
      </c>
      <c r="Q989" s="357">
        <f t="shared" ca="1" si="454"/>
        <v>0</v>
      </c>
      <c r="R989" s="359">
        <f t="shared" ca="1" si="455"/>
        <v>0</v>
      </c>
      <c r="S989" s="360">
        <f t="shared" ca="1" si="456"/>
        <v>8.3819999999999997</v>
      </c>
      <c r="T989" s="357">
        <f t="shared" ca="1" si="436"/>
        <v>82.227419999999995</v>
      </c>
      <c r="U989" s="364">
        <f t="shared" ca="1" si="437"/>
        <v>0</v>
      </c>
      <c r="V989" s="359">
        <f t="shared" ca="1" si="438"/>
        <v>1.2264468620808806</v>
      </c>
      <c r="W989" s="357">
        <f t="shared" ca="1" si="439"/>
        <v>56.157426850164121</v>
      </c>
      <c r="X989" s="343"/>
      <c r="Y989" s="367" t="str">
        <f t="shared" ca="1" si="457"/>
        <v/>
      </c>
      <c r="Z989" s="368" t="str">
        <f t="shared" ca="1" si="458"/>
        <v/>
      </c>
      <c r="AA989" s="369" t="str">
        <f t="shared" ca="1" si="459"/>
        <v/>
      </c>
      <c r="AB989" s="344"/>
      <c r="AC989" s="363" t="e">
        <f t="shared" ca="1" si="460"/>
        <v>#N/A</v>
      </c>
      <c r="AD989" s="376" t="e">
        <f t="shared" ca="1" si="461"/>
        <v>#N/A</v>
      </c>
      <c r="AE989" s="377" t="e">
        <f t="shared" ca="1" si="440"/>
        <v>#N/A</v>
      </c>
      <c r="AF989" s="344"/>
      <c r="AG989" s="359">
        <f t="shared" ca="1" si="462"/>
        <v>3.033793909763622</v>
      </c>
      <c r="AH989" s="357">
        <f t="shared" ca="1" si="463"/>
        <v>-6.6997249071498164</v>
      </c>
    </row>
    <row r="990" spans="1:34" x14ac:dyDescent="0.2">
      <c r="A990" s="402">
        <f t="shared" ca="1" si="441"/>
        <v>1E-4</v>
      </c>
      <c r="B990" s="357">
        <f t="shared" ca="1" si="442"/>
        <v>35.327300000001095</v>
      </c>
      <c r="C990" s="342"/>
      <c r="D990" s="359">
        <f t="shared" ca="1" si="443"/>
        <v>-0.8349606257120834</v>
      </c>
      <c r="E990" s="360">
        <f t="shared" ca="1" si="444"/>
        <v>-3.1624676453811915</v>
      </c>
      <c r="F990" s="357">
        <f t="shared" ca="1" si="445"/>
        <v>3.2708348864735393</v>
      </c>
      <c r="G990" s="359">
        <f t="shared" ca="1" si="446"/>
        <v>16.362645910146782</v>
      </c>
      <c r="H990" s="360">
        <f t="shared" ca="1" si="447"/>
        <v>-130.27205576128955</v>
      </c>
      <c r="I990" s="357">
        <f t="shared" ca="1" si="448"/>
        <v>131.29563851649215</v>
      </c>
      <c r="J990" s="359">
        <f t="shared" ca="1" si="449"/>
        <v>953.1802660510491</v>
      </c>
      <c r="K990" s="360">
        <f t="shared" ca="1" si="450"/>
        <v>-11.81717520749749</v>
      </c>
      <c r="L990" s="357">
        <f t="shared" ca="1" si="435"/>
        <v>953.25351571291537</v>
      </c>
      <c r="M990" s="359">
        <f t="shared" ca="1" si="451"/>
        <v>-1.4458470117827238</v>
      </c>
      <c r="N990" s="357">
        <f t="shared" ca="1" si="452"/>
        <v>-82.840931596751886</v>
      </c>
      <c r="O990" s="343"/>
      <c r="P990" s="363">
        <f t="shared" ca="1" si="453"/>
        <v>23</v>
      </c>
      <c r="Q990" s="357">
        <f t="shared" ca="1" si="454"/>
        <v>0</v>
      </c>
      <c r="R990" s="359">
        <f t="shared" ca="1" si="455"/>
        <v>0</v>
      </c>
      <c r="S990" s="360">
        <f t="shared" ca="1" si="456"/>
        <v>8.3819999999999997</v>
      </c>
      <c r="T990" s="357">
        <f t="shared" ca="1" si="436"/>
        <v>82.227419999999995</v>
      </c>
      <c r="U990" s="364">
        <f t="shared" ca="1" si="437"/>
        <v>0</v>
      </c>
      <c r="V990" s="359">
        <f t="shared" ca="1" si="438"/>
        <v>1.2264484597980791</v>
      </c>
      <c r="W990" s="357">
        <f t="shared" ca="1" si="439"/>
        <v>56.157759526849389</v>
      </c>
      <c r="X990" s="343"/>
      <c r="Y990" s="367" t="str">
        <f t="shared" ca="1" si="457"/>
        <v/>
      </c>
      <c r="Z990" s="368" t="str">
        <f t="shared" ca="1" si="458"/>
        <v/>
      </c>
      <c r="AA990" s="369" t="str">
        <f t="shared" ca="1" si="459"/>
        <v/>
      </c>
      <c r="AB990" s="344"/>
      <c r="AC990" s="363" t="e">
        <f t="shared" ca="1" si="460"/>
        <v>#N/A</v>
      </c>
      <c r="AD990" s="376" t="e">
        <f t="shared" ca="1" si="461"/>
        <v>#N/A</v>
      </c>
      <c r="AE990" s="377" t="e">
        <f t="shared" ca="1" si="440"/>
        <v>#N/A</v>
      </c>
      <c r="AF990" s="344"/>
      <c r="AG990" s="359">
        <f t="shared" ca="1" si="462"/>
        <v>3.0337553585692243</v>
      </c>
      <c r="AH990" s="357">
        <f t="shared" ca="1" si="463"/>
        <v>-6.6997645967745312</v>
      </c>
    </row>
    <row r="991" spans="1:34" x14ac:dyDescent="0.2">
      <c r="A991" s="402">
        <f t="shared" ca="1" si="441"/>
        <v>1E-4</v>
      </c>
      <c r="B991" s="357">
        <f t="shared" ca="1" si="442"/>
        <v>35.327400000001099</v>
      </c>
      <c r="C991" s="342"/>
      <c r="D991" s="359">
        <f t="shared" ca="1" si="443"/>
        <v>-0.83495938205479581</v>
      </c>
      <c r="E991" s="360">
        <f t="shared" ca="1" si="444"/>
        <v>-3.1624274879038552</v>
      </c>
      <c r="F991" s="357">
        <f t="shared" ca="1" si="445"/>
        <v>3.2707957420070142</v>
      </c>
      <c r="G991" s="359">
        <f t="shared" ca="1" si="446"/>
        <v>16.362562414208575</v>
      </c>
      <c r="H991" s="360">
        <f t="shared" ca="1" si="447"/>
        <v>-130.27237200403835</v>
      </c>
      <c r="I991" s="357">
        <f t="shared" ca="1" si="448"/>
        <v>131.29594188822983</v>
      </c>
      <c r="J991" s="359">
        <f t="shared" ca="1" si="449"/>
        <v>953.1802660510491</v>
      </c>
      <c r="K991" s="360">
        <f t="shared" ca="1" si="450"/>
        <v>-11.830202428885757</v>
      </c>
      <c r="L991" s="357">
        <f t="shared" ca="1" si="435"/>
        <v>953.25367729616289</v>
      </c>
      <c r="M991" s="359">
        <f t="shared" ca="1" si="451"/>
        <v>-1.4458479429354885</v>
      </c>
      <c r="N991" s="357">
        <f t="shared" ca="1" si="452"/>
        <v>-82.840984947875384</v>
      </c>
      <c r="O991" s="343"/>
      <c r="P991" s="363">
        <f t="shared" ca="1" si="453"/>
        <v>23</v>
      </c>
      <c r="Q991" s="357">
        <f t="shared" ca="1" si="454"/>
        <v>0</v>
      </c>
      <c r="R991" s="359">
        <f t="shared" ca="1" si="455"/>
        <v>0</v>
      </c>
      <c r="S991" s="360">
        <f t="shared" ca="1" si="456"/>
        <v>8.3819999999999997</v>
      </c>
      <c r="T991" s="357">
        <f t="shared" ca="1" si="436"/>
        <v>82.227419999999995</v>
      </c>
      <c r="U991" s="364">
        <f t="shared" ca="1" si="437"/>
        <v>0</v>
      </c>
      <c r="V991" s="359">
        <f t="shared" ca="1" si="438"/>
        <v>1.2264500575212391</v>
      </c>
      <c r="W991" s="357">
        <f t="shared" ca="1" si="439"/>
        <v>56.158092201785678</v>
      </c>
      <c r="X991" s="343"/>
      <c r="Y991" s="367" t="str">
        <f t="shared" ca="1" si="457"/>
        <v/>
      </c>
      <c r="Z991" s="368" t="str">
        <f t="shared" ca="1" si="458"/>
        <v/>
      </c>
      <c r="AA991" s="369" t="str">
        <f t="shared" ca="1" si="459"/>
        <v/>
      </c>
      <c r="AB991" s="344"/>
      <c r="AC991" s="363" t="e">
        <f t="shared" ca="1" si="460"/>
        <v>#N/A</v>
      </c>
      <c r="AD991" s="376" t="e">
        <f t="shared" ca="1" si="461"/>
        <v>#N/A</v>
      </c>
      <c r="AE991" s="377" t="e">
        <f t="shared" ca="1" si="440"/>
        <v>#N/A</v>
      </c>
      <c r="AF991" s="344"/>
      <c r="AG991" s="359">
        <f t="shared" ca="1" si="462"/>
        <v>3.0337168075639891</v>
      </c>
      <c r="AH991" s="357">
        <f t="shared" ca="1" si="463"/>
        <v>-6.6998042861905738</v>
      </c>
    </row>
    <row r="992" spans="1:34" x14ac:dyDescent="0.2">
      <c r="A992" s="402">
        <f t="shared" ca="1" si="441"/>
        <v>1E-4</v>
      </c>
      <c r="B992" s="357">
        <f t="shared" ca="1" si="442"/>
        <v>35.327500000001102</v>
      </c>
      <c r="C992" s="342"/>
      <c r="D992" s="359">
        <f t="shared" ca="1" si="443"/>
        <v>-0.83495813835763333</v>
      </c>
      <c r="E992" s="360">
        <f t="shared" ca="1" si="444"/>
        <v>-3.1623873306376638</v>
      </c>
      <c r="F992" s="357">
        <f t="shared" ca="1" si="445"/>
        <v>3.270756597759493</v>
      </c>
      <c r="G992" s="359">
        <f t="shared" ca="1" si="446"/>
        <v>16.362478918394739</v>
      </c>
      <c r="H992" s="360">
        <f t="shared" ca="1" si="447"/>
        <v>-130.27268824277141</v>
      </c>
      <c r="I992" s="357">
        <f t="shared" ca="1" si="448"/>
        <v>131.29624525611243</v>
      </c>
      <c r="J992" s="359">
        <f t="shared" ca="1" si="449"/>
        <v>953.1802660510491</v>
      </c>
      <c r="K992" s="360">
        <f t="shared" ca="1" si="450"/>
        <v>-11.843229681898098</v>
      </c>
      <c r="L992" s="357">
        <f t="shared" ca="1" si="435"/>
        <v>953.25383905780677</v>
      </c>
      <c r="M992" s="359">
        <f t="shared" ca="1" si="451"/>
        <v>-1.4458488740791986</v>
      </c>
      <c r="N992" s="357">
        <f t="shared" ca="1" si="452"/>
        <v>-82.841038298480086</v>
      </c>
      <c r="O992" s="343"/>
      <c r="P992" s="363">
        <f t="shared" ca="1" si="453"/>
        <v>23</v>
      </c>
      <c r="Q992" s="357">
        <f t="shared" ca="1" si="454"/>
        <v>0</v>
      </c>
      <c r="R992" s="359">
        <f t="shared" ca="1" si="455"/>
        <v>0</v>
      </c>
      <c r="S992" s="360">
        <f t="shared" ca="1" si="456"/>
        <v>8.3819999999999997</v>
      </c>
      <c r="T992" s="357">
        <f t="shared" ca="1" si="436"/>
        <v>82.227419999999995</v>
      </c>
      <c r="U992" s="364">
        <f t="shared" ca="1" si="437"/>
        <v>0</v>
      </c>
      <c r="V992" s="359">
        <f t="shared" ca="1" si="438"/>
        <v>1.2264516552503599</v>
      </c>
      <c r="W992" s="357">
        <f t="shared" ca="1" si="439"/>
        <v>56.158424874972873</v>
      </c>
      <c r="X992" s="343"/>
      <c r="Y992" s="367" t="str">
        <f t="shared" ca="1" si="457"/>
        <v/>
      </c>
      <c r="Z992" s="368" t="str">
        <f t="shared" ca="1" si="458"/>
        <v/>
      </c>
      <c r="AA992" s="369" t="str">
        <f t="shared" ca="1" si="459"/>
        <v/>
      </c>
      <c r="AB992" s="344"/>
      <c r="AC992" s="363" t="e">
        <f t="shared" ca="1" si="460"/>
        <v>#N/A</v>
      </c>
      <c r="AD992" s="376" t="e">
        <f t="shared" ca="1" si="461"/>
        <v>#N/A</v>
      </c>
      <c r="AE992" s="377" t="e">
        <f t="shared" ca="1" si="440"/>
        <v>#N/A</v>
      </c>
      <c r="AF992" s="344"/>
      <c r="AG992" s="359">
        <f t="shared" ca="1" si="462"/>
        <v>3.033678256747903</v>
      </c>
      <c r="AH992" s="357">
        <f t="shared" ca="1" si="463"/>
        <v>-6.6998439753979575</v>
      </c>
    </row>
    <row r="993" spans="1:34" x14ac:dyDescent="0.2">
      <c r="A993" s="402">
        <f t="shared" ca="1" si="441"/>
        <v>1E-4</v>
      </c>
      <c r="B993" s="357">
        <f t="shared" ca="1" si="442"/>
        <v>35.327600000001105</v>
      </c>
      <c r="C993" s="342"/>
      <c r="D993" s="359">
        <f t="shared" ca="1" si="443"/>
        <v>-0.83495689462059575</v>
      </c>
      <c r="E993" s="360">
        <f t="shared" ca="1" si="444"/>
        <v>-3.1623471735826305</v>
      </c>
      <c r="F993" s="357">
        <f t="shared" ca="1" si="445"/>
        <v>3.2707174537309882</v>
      </c>
      <c r="G993" s="359">
        <f t="shared" ca="1" si="446"/>
        <v>16.362395422705276</v>
      </c>
      <c r="H993" s="360">
        <f t="shared" ca="1" si="447"/>
        <v>-130.27300447748877</v>
      </c>
      <c r="I993" s="357">
        <f t="shared" ca="1" si="448"/>
        <v>131.29654862013996</v>
      </c>
      <c r="J993" s="359">
        <f t="shared" ca="1" si="449"/>
        <v>953.1802660510491</v>
      </c>
      <c r="K993" s="360">
        <f t="shared" ca="1" si="450"/>
        <v>-11.856256966534112</v>
      </c>
      <c r="L993" s="357">
        <f t="shared" ca="1" si="435"/>
        <v>953.25400099784804</v>
      </c>
      <c r="M993" s="359">
        <f t="shared" ca="1" si="451"/>
        <v>-1.4458498052138542</v>
      </c>
      <c r="N993" s="357">
        <f t="shared" ca="1" si="452"/>
        <v>-82.841091648566021</v>
      </c>
      <c r="O993" s="343"/>
      <c r="P993" s="363">
        <f t="shared" ca="1" si="453"/>
        <v>23</v>
      </c>
      <c r="Q993" s="357">
        <f t="shared" ca="1" si="454"/>
        <v>0</v>
      </c>
      <c r="R993" s="359">
        <f t="shared" ca="1" si="455"/>
        <v>0</v>
      </c>
      <c r="S993" s="360">
        <f t="shared" ca="1" si="456"/>
        <v>8.3819999999999997</v>
      </c>
      <c r="T993" s="357">
        <f t="shared" ca="1" si="436"/>
        <v>82.227419999999995</v>
      </c>
      <c r="U993" s="364">
        <f t="shared" ca="1" si="437"/>
        <v>0</v>
      </c>
      <c r="V993" s="359">
        <f t="shared" ca="1" si="438"/>
        <v>1.2264532529854419</v>
      </c>
      <c r="W993" s="357">
        <f t="shared" ca="1" si="439"/>
        <v>56.158757546410989</v>
      </c>
      <c r="X993" s="343"/>
      <c r="Y993" s="367" t="str">
        <f t="shared" ca="1" si="457"/>
        <v/>
      </c>
      <c r="Z993" s="368" t="str">
        <f t="shared" ca="1" si="458"/>
        <v/>
      </c>
      <c r="AA993" s="369" t="str">
        <f t="shared" ca="1" si="459"/>
        <v/>
      </c>
      <c r="AB993" s="344"/>
      <c r="AC993" s="363" t="e">
        <f t="shared" ca="1" si="460"/>
        <v>#N/A</v>
      </c>
      <c r="AD993" s="376" t="e">
        <f t="shared" ca="1" si="461"/>
        <v>#N/A</v>
      </c>
      <c r="AE993" s="377" t="e">
        <f t="shared" ca="1" si="440"/>
        <v>#N/A</v>
      </c>
      <c r="AF993" s="344"/>
      <c r="AG993" s="359">
        <f t="shared" ca="1" si="462"/>
        <v>3.0336397061209821</v>
      </c>
      <c r="AH993" s="357">
        <f t="shared" ca="1" si="463"/>
        <v>-6.6998836643966682</v>
      </c>
    </row>
    <row r="994" spans="1:34" x14ac:dyDescent="0.2">
      <c r="A994" s="402">
        <f t="shared" ca="1" si="441"/>
        <v>1E-4</v>
      </c>
      <c r="B994" s="357">
        <f t="shared" ca="1" si="442"/>
        <v>35.327700000001109</v>
      </c>
      <c r="C994" s="342"/>
      <c r="D994" s="359">
        <f t="shared" ca="1" si="443"/>
        <v>-0.83495565084368484</v>
      </c>
      <c r="E994" s="360">
        <f t="shared" ca="1" si="444"/>
        <v>-3.1623070167387528</v>
      </c>
      <c r="F994" s="357">
        <f t="shared" ca="1" si="445"/>
        <v>3.2706783099214989</v>
      </c>
      <c r="G994" s="359">
        <f t="shared" ca="1" si="446"/>
        <v>16.36231192714019</v>
      </c>
      <c r="H994" s="360">
        <f t="shared" ca="1" si="447"/>
        <v>-130.27332070819045</v>
      </c>
      <c r="I994" s="357">
        <f t="shared" ca="1" si="448"/>
        <v>131.29685198031245</v>
      </c>
      <c r="J994" s="359">
        <f t="shared" ca="1" si="449"/>
        <v>953.1802660510491</v>
      </c>
      <c r="K994" s="360">
        <f t="shared" ca="1" si="450"/>
        <v>-11.869284282793396</v>
      </c>
      <c r="L994" s="357">
        <f t="shared" ca="1" si="435"/>
        <v>953.25416311628794</v>
      </c>
      <c r="M994" s="359">
        <f t="shared" ca="1" si="451"/>
        <v>-1.4458507363394559</v>
      </c>
      <c r="N994" s="357">
        <f t="shared" ca="1" si="452"/>
        <v>-82.841144998133188</v>
      </c>
      <c r="O994" s="343"/>
      <c r="P994" s="363">
        <f t="shared" ca="1" si="453"/>
        <v>23</v>
      </c>
      <c r="Q994" s="357">
        <f t="shared" ca="1" si="454"/>
        <v>0</v>
      </c>
      <c r="R994" s="359">
        <f t="shared" ca="1" si="455"/>
        <v>0</v>
      </c>
      <c r="S994" s="360">
        <f t="shared" ca="1" si="456"/>
        <v>8.3819999999999997</v>
      </c>
      <c r="T994" s="357">
        <f t="shared" ca="1" si="436"/>
        <v>82.227419999999995</v>
      </c>
      <c r="U994" s="364">
        <f t="shared" ca="1" si="437"/>
        <v>0</v>
      </c>
      <c r="V994" s="359">
        <f t="shared" ca="1" si="438"/>
        <v>1.2264548507264856</v>
      </c>
      <c r="W994" s="357">
        <f t="shared" ca="1" si="439"/>
        <v>56.159090216100054</v>
      </c>
      <c r="X994" s="343"/>
      <c r="Y994" s="367" t="str">
        <f t="shared" ca="1" si="457"/>
        <v/>
      </c>
      <c r="Z994" s="368" t="str">
        <f t="shared" ca="1" si="458"/>
        <v/>
      </c>
      <c r="AA994" s="369" t="str">
        <f t="shared" ca="1" si="459"/>
        <v/>
      </c>
      <c r="AB994" s="344"/>
      <c r="AC994" s="363" t="e">
        <f t="shared" ca="1" si="460"/>
        <v>#N/A</v>
      </c>
      <c r="AD994" s="376" t="e">
        <f t="shared" ca="1" si="461"/>
        <v>#N/A</v>
      </c>
      <c r="AE994" s="377" t="e">
        <f t="shared" ca="1" si="440"/>
        <v>#N/A</v>
      </c>
      <c r="AF994" s="344"/>
      <c r="AG994" s="359">
        <f t="shared" ca="1" si="462"/>
        <v>3.0336011556832219</v>
      </c>
      <c r="AH994" s="357">
        <f t="shared" ca="1" si="463"/>
        <v>-6.6999233531867084</v>
      </c>
    </row>
    <row r="995" spans="1:34" x14ac:dyDescent="0.2">
      <c r="A995" s="402">
        <f t="shared" ca="1" si="441"/>
        <v>1E-4</v>
      </c>
      <c r="B995" s="357">
        <f t="shared" ca="1" si="442"/>
        <v>35.327800000001112</v>
      </c>
      <c r="C995" s="342"/>
      <c r="D995" s="359">
        <f t="shared" ca="1" si="443"/>
        <v>-0.83495440702689849</v>
      </c>
      <c r="E995" s="360">
        <f t="shared" ca="1" si="444"/>
        <v>-3.1622668601060298</v>
      </c>
      <c r="F995" s="357">
        <f t="shared" ca="1" si="445"/>
        <v>3.2706391663310228</v>
      </c>
      <c r="G995" s="359">
        <f t="shared" ca="1" si="446"/>
        <v>16.362228431699489</v>
      </c>
      <c r="H995" s="360">
        <f t="shared" ca="1" si="447"/>
        <v>-130.27363693487646</v>
      </c>
      <c r="I995" s="357">
        <f t="shared" ca="1" si="448"/>
        <v>131.29715533662991</v>
      </c>
      <c r="J995" s="359">
        <f t="shared" ca="1" si="449"/>
        <v>953.1802660510491</v>
      </c>
      <c r="K995" s="360">
        <f t="shared" ca="1" si="450"/>
        <v>-11.882311630675549</v>
      </c>
      <c r="L995" s="357">
        <f t="shared" ca="1" si="435"/>
        <v>953.25432541312773</v>
      </c>
      <c r="M995" s="359">
        <f t="shared" ca="1" si="451"/>
        <v>-1.4458516674560031</v>
      </c>
      <c r="N995" s="357">
        <f t="shared" ca="1" si="452"/>
        <v>-82.841198347181574</v>
      </c>
      <c r="O995" s="343"/>
      <c r="P995" s="363">
        <f t="shared" ca="1" si="453"/>
        <v>23</v>
      </c>
      <c r="Q995" s="357">
        <f t="shared" ca="1" si="454"/>
        <v>0</v>
      </c>
      <c r="R995" s="359">
        <f t="shared" ca="1" si="455"/>
        <v>0</v>
      </c>
      <c r="S995" s="360">
        <f t="shared" ca="1" si="456"/>
        <v>8.3819999999999997</v>
      </c>
      <c r="T995" s="357">
        <f t="shared" ca="1" si="436"/>
        <v>82.227419999999995</v>
      </c>
      <c r="U995" s="364">
        <f t="shared" ca="1" si="437"/>
        <v>0</v>
      </c>
      <c r="V995" s="359">
        <f t="shared" ca="1" si="438"/>
        <v>1.2264564484734894</v>
      </c>
      <c r="W995" s="357">
        <f t="shared" ca="1" si="439"/>
        <v>56.159422884039962</v>
      </c>
      <c r="X995" s="343"/>
      <c r="Y995" s="367" t="str">
        <f t="shared" ca="1" si="457"/>
        <v/>
      </c>
      <c r="Z995" s="368" t="str">
        <f t="shared" ca="1" si="458"/>
        <v/>
      </c>
      <c r="AA995" s="369" t="str">
        <f t="shared" ca="1" si="459"/>
        <v/>
      </c>
      <c r="AB995" s="344"/>
      <c r="AC995" s="363" t="e">
        <f t="shared" ca="1" si="460"/>
        <v>#N/A</v>
      </c>
      <c r="AD995" s="376" t="e">
        <f t="shared" ca="1" si="461"/>
        <v>#N/A</v>
      </c>
      <c r="AE995" s="377" t="e">
        <f t="shared" ca="1" si="440"/>
        <v>#N/A</v>
      </c>
      <c r="AF995" s="344"/>
      <c r="AG995" s="359">
        <f t="shared" ca="1" si="462"/>
        <v>3.0335626054346214</v>
      </c>
      <c r="AH995" s="357">
        <f t="shared" ca="1" si="463"/>
        <v>-6.6999630417680809</v>
      </c>
    </row>
    <row r="996" spans="1:34" x14ac:dyDescent="0.2">
      <c r="A996" s="402">
        <f t="shared" ca="1" si="441"/>
        <v>1E-4</v>
      </c>
      <c r="B996" s="357">
        <f t="shared" ca="1" si="442"/>
        <v>35.327900000001115</v>
      </c>
      <c r="C996" s="342"/>
      <c r="D996" s="359">
        <f t="shared" ca="1" si="443"/>
        <v>-0.83495316317024104</v>
      </c>
      <c r="E996" s="360">
        <f t="shared" ca="1" si="444"/>
        <v>-3.162226703684472</v>
      </c>
      <c r="F996" s="357">
        <f t="shared" ca="1" si="445"/>
        <v>3.270600022959572</v>
      </c>
      <c r="G996" s="359">
        <f t="shared" ca="1" si="446"/>
        <v>16.362144936383171</v>
      </c>
      <c r="H996" s="360">
        <f t="shared" ca="1" si="447"/>
        <v>-130.27395315754683</v>
      </c>
      <c r="I996" s="357">
        <f t="shared" ca="1" si="448"/>
        <v>131.29745868909237</v>
      </c>
      <c r="J996" s="359">
        <f t="shared" ca="1" si="449"/>
        <v>953.1802660510491</v>
      </c>
      <c r="K996" s="360">
        <f t="shared" ca="1" si="450"/>
        <v>-11.895339010180169</v>
      </c>
      <c r="L996" s="357">
        <f t="shared" ca="1" si="435"/>
        <v>953.25448788836866</v>
      </c>
      <c r="M996" s="359">
        <f t="shared" ca="1" si="451"/>
        <v>-1.4458525985634967</v>
      </c>
      <c r="N996" s="357">
        <f t="shared" ca="1" si="452"/>
        <v>-82.841251695711236</v>
      </c>
      <c r="O996" s="343"/>
      <c r="P996" s="363">
        <f t="shared" ca="1" si="453"/>
        <v>23</v>
      </c>
      <c r="Q996" s="357">
        <f t="shared" ca="1" si="454"/>
        <v>0</v>
      </c>
      <c r="R996" s="359">
        <f t="shared" ca="1" si="455"/>
        <v>0</v>
      </c>
      <c r="S996" s="360">
        <f t="shared" ca="1" si="456"/>
        <v>8.3819999999999997</v>
      </c>
      <c r="T996" s="357">
        <f t="shared" ca="1" si="436"/>
        <v>82.227419999999995</v>
      </c>
      <c r="U996" s="364">
        <f t="shared" ca="1" si="437"/>
        <v>0</v>
      </c>
      <c r="V996" s="359">
        <f t="shared" ca="1" si="438"/>
        <v>1.2264580462264552</v>
      </c>
      <c r="W996" s="357">
        <f t="shared" ca="1" si="439"/>
        <v>56.159755550230784</v>
      </c>
      <c r="X996" s="343"/>
      <c r="Y996" s="367" t="str">
        <f t="shared" ca="1" si="457"/>
        <v/>
      </c>
      <c r="Z996" s="368" t="str">
        <f t="shared" ca="1" si="458"/>
        <v/>
      </c>
      <c r="AA996" s="369" t="str">
        <f t="shared" ca="1" si="459"/>
        <v/>
      </c>
      <c r="AB996" s="344"/>
      <c r="AC996" s="363" t="e">
        <f t="shared" ca="1" si="460"/>
        <v>#N/A</v>
      </c>
      <c r="AD996" s="376" t="e">
        <f t="shared" ca="1" si="461"/>
        <v>#N/A</v>
      </c>
      <c r="AE996" s="377" t="e">
        <f t="shared" ca="1" si="440"/>
        <v>#N/A</v>
      </c>
      <c r="AF996" s="344"/>
      <c r="AG996" s="359">
        <f t="shared" ca="1" si="462"/>
        <v>3.033524055375195</v>
      </c>
      <c r="AH996" s="357">
        <f t="shared" ca="1" si="463"/>
        <v>-6.7000027301407732</v>
      </c>
    </row>
    <row r="997" spans="1:34" x14ac:dyDescent="0.2">
      <c r="A997" s="402">
        <f t="shared" ca="1" si="441"/>
        <v>1E-4</v>
      </c>
      <c r="B997" s="357">
        <f t="shared" ca="1" si="442"/>
        <v>35.328000000001119</v>
      </c>
      <c r="C997" s="342"/>
      <c r="D997" s="359">
        <f t="shared" ca="1" si="443"/>
        <v>-0.83495191927370949</v>
      </c>
      <c r="E997" s="360">
        <f t="shared" ca="1" si="444"/>
        <v>-3.1621865474740725</v>
      </c>
      <c r="F997" s="357">
        <f t="shared" ca="1" si="445"/>
        <v>3.2705608798071388</v>
      </c>
      <c r="G997" s="359">
        <f t="shared" ca="1" si="446"/>
        <v>16.362061441191244</v>
      </c>
      <c r="H997" s="360">
        <f t="shared" ca="1" si="447"/>
        <v>-130.27426937620157</v>
      </c>
      <c r="I997" s="357">
        <f t="shared" ca="1" si="448"/>
        <v>131.29776203769981</v>
      </c>
      <c r="J997" s="359">
        <f t="shared" ca="1" si="449"/>
        <v>953.1802660510491</v>
      </c>
      <c r="K997" s="360">
        <f t="shared" ca="1" si="450"/>
        <v>-11.908366421306857</v>
      </c>
      <c r="L997" s="357">
        <f t="shared" ca="1" si="435"/>
        <v>953.25465054201175</v>
      </c>
      <c r="M997" s="359">
        <f t="shared" ca="1" si="451"/>
        <v>-1.4458535296619364</v>
      </c>
      <c r="N997" s="357">
        <f t="shared" ca="1" si="452"/>
        <v>-82.841305043722144</v>
      </c>
      <c r="O997" s="343"/>
      <c r="P997" s="363">
        <f t="shared" ca="1" si="453"/>
        <v>23</v>
      </c>
      <c r="Q997" s="357">
        <f t="shared" ca="1" si="454"/>
        <v>0</v>
      </c>
      <c r="R997" s="359">
        <f t="shared" ca="1" si="455"/>
        <v>0</v>
      </c>
      <c r="S997" s="360">
        <f t="shared" ca="1" si="456"/>
        <v>8.3819999999999997</v>
      </c>
      <c r="T997" s="357">
        <f t="shared" ca="1" si="436"/>
        <v>82.227419999999995</v>
      </c>
      <c r="U997" s="364">
        <f t="shared" ca="1" si="437"/>
        <v>0</v>
      </c>
      <c r="V997" s="359">
        <f t="shared" ca="1" si="438"/>
        <v>1.2264596439853812</v>
      </c>
      <c r="W997" s="357">
        <f t="shared" ca="1" si="439"/>
        <v>56.160088214672427</v>
      </c>
      <c r="X997" s="343"/>
      <c r="Y997" s="367" t="str">
        <f t="shared" ca="1" si="457"/>
        <v/>
      </c>
      <c r="Z997" s="368" t="str">
        <f t="shared" ca="1" si="458"/>
        <v/>
      </c>
      <c r="AA997" s="369" t="str">
        <f t="shared" ca="1" si="459"/>
        <v/>
      </c>
      <c r="AB997" s="344"/>
      <c r="AC997" s="363" t="e">
        <f t="shared" ca="1" si="460"/>
        <v>#N/A</v>
      </c>
      <c r="AD997" s="376" t="e">
        <f t="shared" ca="1" si="461"/>
        <v>#N/A</v>
      </c>
      <c r="AE997" s="377" t="e">
        <f t="shared" ca="1" si="440"/>
        <v>#N/A</v>
      </c>
      <c r="AF997" s="344"/>
      <c r="AG997" s="359">
        <f t="shared" ca="1" si="462"/>
        <v>3.0334855055049319</v>
      </c>
      <c r="AH997" s="357">
        <f t="shared" ca="1" si="463"/>
        <v>-6.7000424183047942</v>
      </c>
    </row>
    <row r="998" spans="1:34" x14ac:dyDescent="0.2">
      <c r="A998" s="402">
        <f t="shared" ca="1" si="441"/>
        <v>1E-4</v>
      </c>
      <c r="B998" s="357">
        <f t="shared" ca="1" si="442"/>
        <v>35.328100000001122</v>
      </c>
      <c r="C998" s="342"/>
      <c r="D998" s="359">
        <f t="shared" ca="1" si="443"/>
        <v>-0.83495067533730549</v>
      </c>
      <c r="E998" s="360">
        <f t="shared" ca="1" si="444"/>
        <v>-3.1621463914748409</v>
      </c>
      <c r="F998" s="357">
        <f t="shared" ca="1" si="445"/>
        <v>3.2705217368737332</v>
      </c>
      <c r="G998" s="359">
        <f t="shared" ca="1" si="446"/>
        <v>16.361977946123709</v>
      </c>
      <c r="H998" s="360">
        <f t="shared" ca="1" si="447"/>
        <v>-130.27458559084073</v>
      </c>
      <c r="I998" s="357">
        <f t="shared" ca="1" si="448"/>
        <v>131.29806538245234</v>
      </c>
      <c r="J998" s="359">
        <f t="shared" ca="1" si="449"/>
        <v>953.1802660510491</v>
      </c>
      <c r="K998" s="360">
        <f t="shared" ca="1" si="450"/>
        <v>-11.92139386405521</v>
      </c>
      <c r="L998" s="357">
        <f t="shared" ca="1" si="435"/>
        <v>953.25481337405824</v>
      </c>
      <c r="M998" s="359">
        <f t="shared" ca="1" si="451"/>
        <v>-1.4458544607513224</v>
      </c>
      <c r="N998" s="357">
        <f t="shared" ca="1" si="452"/>
        <v>-82.841358391214314</v>
      </c>
      <c r="O998" s="343"/>
      <c r="P998" s="363">
        <f t="shared" ca="1" si="453"/>
        <v>23</v>
      </c>
      <c r="Q998" s="357">
        <f t="shared" ca="1" si="454"/>
        <v>0</v>
      </c>
      <c r="R998" s="359">
        <f t="shared" ca="1" si="455"/>
        <v>0</v>
      </c>
      <c r="S998" s="360">
        <f t="shared" ca="1" si="456"/>
        <v>8.3819999999999997</v>
      </c>
      <c r="T998" s="357">
        <f t="shared" ca="1" si="436"/>
        <v>82.227419999999995</v>
      </c>
      <c r="U998" s="364">
        <f t="shared" ca="1" si="437"/>
        <v>0</v>
      </c>
      <c r="V998" s="359">
        <f t="shared" ca="1" si="438"/>
        <v>1.2264612417502687</v>
      </c>
      <c r="W998" s="357">
        <f t="shared" ca="1" si="439"/>
        <v>56.160420877364992</v>
      </c>
      <c r="X998" s="343"/>
      <c r="Y998" s="367" t="str">
        <f t="shared" ca="1" si="457"/>
        <v/>
      </c>
      <c r="Z998" s="368" t="str">
        <f t="shared" ca="1" si="458"/>
        <v/>
      </c>
      <c r="AA998" s="369" t="str">
        <f t="shared" ca="1" si="459"/>
        <v/>
      </c>
      <c r="AB998" s="344"/>
      <c r="AC998" s="363" t="e">
        <f t="shared" ca="1" si="460"/>
        <v>#N/A</v>
      </c>
      <c r="AD998" s="376" t="e">
        <f t="shared" ca="1" si="461"/>
        <v>#N/A</v>
      </c>
      <c r="AE998" s="377" t="e">
        <f t="shared" ca="1" si="440"/>
        <v>#N/A</v>
      </c>
      <c r="AF998" s="344"/>
      <c r="AG998" s="359">
        <f t="shared" ca="1" si="462"/>
        <v>3.0334469558238437</v>
      </c>
      <c r="AH998" s="357">
        <f t="shared" ca="1" si="463"/>
        <v>-6.7000821062601323</v>
      </c>
    </row>
    <row r="999" spans="1:34" x14ac:dyDescent="0.2">
      <c r="A999" s="402">
        <f t="shared" ca="1" si="441"/>
        <v>1E-4</v>
      </c>
      <c r="B999" s="357">
        <f t="shared" ca="1" si="442"/>
        <v>35.328200000001125</v>
      </c>
      <c r="C999" s="342"/>
      <c r="D999" s="359">
        <f t="shared" ca="1" si="443"/>
        <v>-0.8349494313610305</v>
      </c>
      <c r="E999" s="360">
        <f t="shared" ca="1" si="444"/>
        <v>-3.1621062356867666</v>
      </c>
      <c r="F999" s="357">
        <f t="shared" ca="1" si="445"/>
        <v>3.2704825941593452</v>
      </c>
      <c r="G999" s="359">
        <f t="shared" ca="1" si="446"/>
        <v>16.361894451180572</v>
      </c>
      <c r="H999" s="360">
        <f t="shared" ca="1" si="447"/>
        <v>-130.2749018014643</v>
      </c>
      <c r="I999" s="357">
        <f t="shared" ca="1" si="448"/>
        <v>131.29836872334985</v>
      </c>
      <c r="J999" s="359">
        <f t="shared" ca="1" si="449"/>
        <v>953.1802660510491</v>
      </c>
      <c r="K999" s="360">
        <f t="shared" ca="1" si="450"/>
        <v>-11.934421338424825</v>
      </c>
      <c r="L999" s="357">
        <f t="shared" ca="1" si="435"/>
        <v>953.25497638450952</v>
      </c>
      <c r="M999" s="359">
        <f t="shared" ca="1" si="451"/>
        <v>-1.4458553918316548</v>
      </c>
      <c r="N999" s="357">
        <f t="shared" ca="1" si="452"/>
        <v>-82.841411738187745</v>
      </c>
      <c r="O999" s="343"/>
      <c r="P999" s="363">
        <f t="shared" ca="1" si="453"/>
        <v>23</v>
      </c>
      <c r="Q999" s="357">
        <f t="shared" ca="1" si="454"/>
        <v>0</v>
      </c>
      <c r="R999" s="359">
        <f t="shared" ca="1" si="455"/>
        <v>0</v>
      </c>
      <c r="S999" s="360">
        <f t="shared" ca="1" si="456"/>
        <v>8.3819999999999997</v>
      </c>
      <c r="T999" s="357">
        <f t="shared" ca="1" si="436"/>
        <v>82.227419999999995</v>
      </c>
      <c r="U999" s="364">
        <f t="shared" ca="1" si="437"/>
        <v>0</v>
      </c>
      <c r="V999" s="359">
        <f t="shared" ca="1" si="438"/>
        <v>1.226462839521117</v>
      </c>
      <c r="W999" s="357">
        <f t="shared" ca="1" si="439"/>
        <v>56.160753538308334</v>
      </c>
      <c r="X999" s="343"/>
      <c r="Y999" s="367" t="str">
        <f t="shared" ca="1" si="457"/>
        <v/>
      </c>
      <c r="Z999" s="368" t="str">
        <f t="shared" ca="1" si="458"/>
        <v/>
      </c>
      <c r="AA999" s="369" t="str">
        <f t="shared" ca="1" si="459"/>
        <v/>
      </c>
      <c r="AB999" s="344"/>
      <c r="AC999" s="363" t="e">
        <f t="shared" ca="1" si="460"/>
        <v>#N/A</v>
      </c>
      <c r="AD999" s="376" t="e">
        <f t="shared" ca="1" si="461"/>
        <v>#N/A</v>
      </c>
      <c r="AE999" s="377" t="e">
        <f t="shared" ca="1" si="440"/>
        <v>#N/A</v>
      </c>
      <c r="AF999" s="344"/>
      <c r="AG999" s="359">
        <f t="shared" ca="1" si="462"/>
        <v>3.0334084063319207</v>
      </c>
      <c r="AH999" s="357">
        <f t="shared" ca="1" si="463"/>
        <v>-6.7001217940067992</v>
      </c>
    </row>
    <row r="1000" spans="1:34" x14ac:dyDescent="0.2">
      <c r="A1000" s="402">
        <f t="shared" ca="1" si="441"/>
        <v>1E-4</v>
      </c>
      <c r="B1000" s="357">
        <f t="shared" ca="1" si="442"/>
        <v>35.328300000001128</v>
      </c>
      <c r="C1000" s="342"/>
      <c r="D1000" s="359">
        <f t="shared" ca="1" si="443"/>
        <v>-0.83494818734488452</v>
      </c>
      <c r="E1000" s="360">
        <f t="shared" ca="1" si="444"/>
        <v>-3.1620660801098657</v>
      </c>
      <c r="F1000" s="357">
        <f t="shared" ca="1" si="445"/>
        <v>3.2704434516639909</v>
      </c>
      <c r="G1000" s="359">
        <f t="shared" ca="1" si="446"/>
        <v>16.361810956361836</v>
      </c>
      <c r="H1000" s="360">
        <f t="shared" ca="1" si="447"/>
        <v>-130.2752180080723</v>
      </c>
      <c r="I1000" s="357">
        <f t="shared" ca="1" si="448"/>
        <v>131.29867206039248</v>
      </c>
      <c r="J1000" s="359">
        <f t="shared" ca="1" si="449"/>
        <v>953.1802660510491</v>
      </c>
      <c r="K1000" s="360">
        <f t="shared" ca="1" si="450"/>
        <v>-11.947448844415302</v>
      </c>
      <c r="L1000" s="357">
        <f t="shared" ca="1" si="435"/>
        <v>953.25513957336659</v>
      </c>
      <c r="M1000" s="359">
        <f t="shared" ca="1" si="451"/>
        <v>-1.4458563229029338</v>
      </c>
      <c r="N1000" s="357">
        <f t="shared" ca="1" si="452"/>
        <v>-82.841465084642451</v>
      </c>
      <c r="O1000" s="343"/>
      <c r="P1000" s="363">
        <f t="shared" ca="1" si="453"/>
        <v>23</v>
      </c>
      <c r="Q1000" s="357">
        <f t="shared" ca="1" si="454"/>
        <v>0</v>
      </c>
      <c r="R1000" s="359">
        <f t="shared" ca="1" si="455"/>
        <v>0</v>
      </c>
      <c r="S1000" s="360">
        <f t="shared" ca="1" si="456"/>
        <v>8.3819999999999997</v>
      </c>
      <c r="T1000" s="357">
        <f t="shared" ca="1" si="436"/>
        <v>82.227419999999995</v>
      </c>
      <c r="U1000" s="364">
        <f t="shared" ca="1" si="437"/>
        <v>0</v>
      </c>
      <c r="V1000" s="359">
        <f t="shared" ca="1" si="438"/>
        <v>1.2264644372979259</v>
      </c>
      <c r="W1000" s="357">
        <f t="shared" ca="1" si="439"/>
        <v>56.161086197502499</v>
      </c>
      <c r="X1000" s="343"/>
      <c r="Y1000" s="367" t="str">
        <f t="shared" ca="1" si="457"/>
        <v/>
      </c>
      <c r="Z1000" s="368" t="str">
        <f t="shared" ca="1" si="458"/>
        <v/>
      </c>
      <c r="AA1000" s="369" t="str">
        <f t="shared" ca="1" si="459"/>
        <v/>
      </c>
      <c r="AB1000" s="344"/>
      <c r="AC1000" s="363" t="e">
        <f t="shared" ca="1" si="460"/>
        <v>#N/A</v>
      </c>
      <c r="AD1000" s="376" t="e">
        <f t="shared" ca="1" si="461"/>
        <v>#N/A</v>
      </c>
      <c r="AE1000" s="377" t="e">
        <f t="shared" ca="1" si="440"/>
        <v>#N/A</v>
      </c>
      <c r="AF1000" s="344"/>
      <c r="AG1000" s="359">
        <f t="shared" ca="1" si="462"/>
        <v>3.0333698570291805</v>
      </c>
      <c r="AH1000" s="357">
        <f t="shared" ca="1" si="463"/>
        <v>-6.7001614815447788</v>
      </c>
    </row>
    <row r="1001" spans="1:34" x14ac:dyDescent="0.2">
      <c r="A1001" s="402">
        <f t="shared" ca="1" si="441"/>
        <v>1E-4</v>
      </c>
      <c r="B1001" s="357">
        <f t="shared" ca="1" si="442"/>
        <v>35.328400000001132</v>
      </c>
      <c r="C1001" s="342"/>
      <c r="D1001" s="359">
        <f t="shared" ca="1" si="443"/>
        <v>-0.83494694328886798</v>
      </c>
      <c r="E1001" s="360">
        <f t="shared" ca="1" si="444"/>
        <v>-3.1620259247441336</v>
      </c>
      <c r="F1001" s="357">
        <f t="shared" ca="1" si="445"/>
        <v>3.2704043093876662</v>
      </c>
      <c r="G1001" s="359">
        <f t="shared" ca="1" si="446"/>
        <v>16.361727461667506</v>
      </c>
      <c r="H1001" s="360">
        <f t="shared" ca="1" si="447"/>
        <v>-130.27553421066477</v>
      </c>
      <c r="I1001" s="357">
        <f t="shared" ca="1" si="448"/>
        <v>131.29897539358018</v>
      </c>
      <c r="J1001" s="359">
        <f t="shared" ca="1" si="449"/>
        <v>953.1802660510491</v>
      </c>
      <c r="K1001" s="360">
        <f t="shared" ca="1" si="450"/>
        <v>-11.960476382026238</v>
      </c>
      <c r="L1001" s="357">
        <f t="shared" ca="1" si="435"/>
        <v>953.25530294063083</v>
      </c>
      <c r="M1001" s="359">
        <f t="shared" ca="1" si="451"/>
        <v>-1.4458572539651595</v>
      </c>
      <c r="N1001" s="357">
        <f t="shared" ca="1" si="452"/>
        <v>-82.841518430578446</v>
      </c>
      <c r="O1001" s="343"/>
      <c r="P1001" s="363">
        <f t="shared" ca="1" si="453"/>
        <v>23</v>
      </c>
      <c r="Q1001" s="357">
        <f t="shared" ca="1" si="454"/>
        <v>0</v>
      </c>
      <c r="R1001" s="359">
        <f t="shared" ca="1" si="455"/>
        <v>0</v>
      </c>
      <c r="S1001" s="360">
        <f t="shared" ca="1" si="456"/>
        <v>8.3819999999999997</v>
      </c>
      <c r="T1001" s="357">
        <f t="shared" ca="1" si="436"/>
        <v>82.227419999999995</v>
      </c>
      <c r="U1001" s="364">
        <f t="shared" ca="1" si="437"/>
        <v>0</v>
      </c>
      <c r="V1001" s="359">
        <f t="shared" ca="1" si="438"/>
        <v>1.2264660350806964</v>
      </c>
      <c r="W1001" s="357">
        <f t="shared" ca="1" si="439"/>
        <v>56.161418854947513</v>
      </c>
      <c r="X1001" s="343"/>
      <c r="Y1001" s="367" t="str">
        <f t="shared" ca="1" si="457"/>
        <v/>
      </c>
      <c r="Z1001" s="368" t="str">
        <f t="shared" ca="1" si="458"/>
        <v/>
      </c>
      <c r="AA1001" s="369" t="str">
        <f t="shared" ca="1" si="459"/>
        <v/>
      </c>
      <c r="AB1001" s="344"/>
      <c r="AC1001" s="363" t="e">
        <f t="shared" ca="1" si="460"/>
        <v>#N/A</v>
      </c>
      <c r="AD1001" s="376" t="e">
        <f t="shared" ca="1" si="461"/>
        <v>#N/A</v>
      </c>
      <c r="AE1001" s="377" t="e">
        <f t="shared" ca="1" si="440"/>
        <v>#N/A</v>
      </c>
      <c r="AF1001" s="344"/>
      <c r="AG1001" s="359">
        <f t="shared" ca="1" si="462"/>
        <v>3.0333313079156152</v>
      </c>
      <c r="AH1001" s="357">
        <f t="shared" ca="1" si="463"/>
        <v>-6.7002011688740755</v>
      </c>
    </row>
    <row r="1002" spans="1:34" x14ac:dyDescent="0.2">
      <c r="A1002" s="402">
        <f t="shared" ca="1" si="441"/>
        <v>1E-4</v>
      </c>
      <c r="B1002" s="357">
        <f t="shared" ca="1" si="442"/>
        <v>35.328500000001135</v>
      </c>
      <c r="C1002" s="342"/>
      <c r="D1002" s="359">
        <f t="shared" ca="1" si="443"/>
        <v>-0.83494569919298167</v>
      </c>
      <c r="E1002" s="360">
        <f t="shared" ca="1" si="444"/>
        <v>-3.1619857695895659</v>
      </c>
      <c r="F1002" s="357">
        <f t="shared" ca="1" si="445"/>
        <v>3.2703651673303664</v>
      </c>
      <c r="G1002" s="359">
        <f t="shared" ca="1" si="446"/>
        <v>16.361643967097585</v>
      </c>
      <c r="H1002" s="360">
        <f t="shared" ca="1" si="447"/>
        <v>-130.27585040924174</v>
      </c>
      <c r="I1002" s="357">
        <f t="shared" ca="1" si="448"/>
        <v>131.29927872291299</v>
      </c>
      <c r="J1002" s="359">
        <f t="shared" ca="1" si="449"/>
        <v>953.1802660510491</v>
      </c>
      <c r="K1002" s="360">
        <f t="shared" ca="1" si="450"/>
        <v>-11.973503951257234</v>
      </c>
      <c r="L1002" s="357">
        <f t="shared" ca="1" si="435"/>
        <v>953.25546648630325</v>
      </c>
      <c r="M1002" s="359">
        <f t="shared" ca="1" si="451"/>
        <v>-1.4458581850183321</v>
      </c>
      <c r="N1002" s="357">
        <f t="shared" ca="1" si="452"/>
        <v>-82.841571775995746</v>
      </c>
      <c r="O1002" s="343"/>
      <c r="P1002" s="363">
        <f t="shared" ca="1" si="453"/>
        <v>23</v>
      </c>
      <c r="Q1002" s="357">
        <f t="shared" ca="1" si="454"/>
        <v>0</v>
      </c>
      <c r="R1002" s="359">
        <f t="shared" ca="1" si="455"/>
        <v>0</v>
      </c>
      <c r="S1002" s="360">
        <f t="shared" ca="1" si="456"/>
        <v>8.3819999999999997</v>
      </c>
      <c r="T1002" s="357">
        <f t="shared" ca="1" si="436"/>
        <v>82.227419999999995</v>
      </c>
      <c r="U1002" s="364">
        <f t="shared" ca="1" si="437"/>
        <v>0</v>
      </c>
      <c r="V1002" s="359">
        <f t="shared" ca="1" si="438"/>
        <v>1.2264676328694271</v>
      </c>
      <c r="W1002" s="357">
        <f t="shared" ca="1" si="439"/>
        <v>56.161751510643278</v>
      </c>
      <c r="X1002" s="343"/>
      <c r="Y1002" s="367" t="str">
        <f t="shared" ca="1" si="457"/>
        <v/>
      </c>
      <c r="Z1002" s="368" t="str">
        <f t="shared" ca="1" si="458"/>
        <v/>
      </c>
      <c r="AA1002" s="369" t="str">
        <f t="shared" ca="1" si="459"/>
        <v/>
      </c>
      <c r="AB1002" s="344"/>
      <c r="AC1002" s="363" t="e">
        <f t="shared" ca="1" si="460"/>
        <v>#N/A</v>
      </c>
      <c r="AD1002" s="376" t="e">
        <f t="shared" ca="1" si="461"/>
        <v>#N/A</v>
      </c>
      <c r="AE1002" s="377" t="e">
        <f t="shared" ca="1" si="440"/>
        <v>#N/A</v>
      </c>
      <c r="AF1002" s="344"/>
      <c r="AG1002" s="359">
        <f t="shared" ca="1" si="462"/>
        <v>3.0332927589912249</v>
      </c>
      <c r="AH1002" s="357">
        <f t="shared" ca="1" si="463"/>
        <v>-6.7002408559946929</v>
      </c>
    </row>
    <row r="1003" spans="1:34" x14ac:dyDescent="0.2">
      <c r="A1003" s="402">
        <f t="shared" ca="1" si="441"/>
        <v>1E-4</v>
      </c>
      <c r="B1003" s="357">
        <f t="shared" ca="1" si="442"/>
        <v>35.328600000001138</v>
      </c>
      <c r="C1003" s="342"/>
      <c r="D1003" s="359">
        <f t="shared" ca="1" si="443"/>
        <v>-0.83494445505722559</v>
      </c>
      <c r="E1003" s="360">
        <f t="shared" ca="1" si="444"/>
        <v>-3.1619456146461768</v>
      </c>
      <c r="F1003" s="357">
        <f t="shared" ca="1" si="445"/>
        <v>3.270326025492106</v>
      </c>
      <c r="G1003" s="359">
        <f t="shared" ca="1" si="446"/>
        <v>16.36156047265208</v>
      </c>
      <c r="H1003" s="360">
        <f t="shared" ca="1" si="447"/>
        <v>-130.2761666038032</v>
      </c>
      <c r="I1003" s="357">
        <f t="shared" ca="1" si="448"/>
        <v>131.29958204839093</v>
      </c>
      <c r="J1003" s="359">
        <f t="shared" ca="1" si="449"/>
        <v>953.1802660510491</v>
      </c>
      <c r="K1003" s="360">
        <f t="shared" ca="1" si="450"/>
        <v>-11.986531552107886</v>
      </c>
      <c r="L1003" s="357">
        <f t="shared" ca="1" si="435"/>
        <v>953.25563021038511</v>
      </c>
      <c r="M1003" s="359">
        <f t="shared" ca="1" si="451"/>
        <v>-1.4458591160624517</v>
      </c>
      <c r="N1003" s="357">
        <f t="shared" ca="1" si="452"/>
        <v>-82.841625120894335</v>
      </c>
      <c r="O1003" s="343"/>
      <c r="P1003" s="363">
        <f t="shared" ca="1" si="453"/>
        <v>23</v>
      </c>
      <c r="Q1003" s="357">
        <f t="shared" ca="1" si="454"/>
        <v>0</v>
      </c>
      <c r="R1003" s="359">
        <f t="shared" ca="1" si="455"/>
        <v>0</v>
      </c>
      <c r="S1003" s="360">
        <f t="shared" ca="1" si="456"/>
        <v>8.3819999999999997</v>
      </c>
      <c r="T1003" s="357">
        <f t="shared" ca="1" si="436"/>
        <v>82.227419999999995</v>
      </c>
      <c r="U1003" s="364">
        <f t="shared" ca="1" si="437"/>
        <v>0</v>
      </c>
      <c r="V1003" s="359">
        <f ca="1">Rho_moyen*(20000-Alt_rampe-pos_z)/(20000+Alt_rampe+pos_z)</f>
        <v>1.2264692306641192</v>
      </c>
      <c r="W1003" s="357">
        <f t="shared" ca="1" si="439"/>
        <v>56.162084164589857</v>
      </c>
      <c r="X1003" s="343"/>
      <c r="Y1003" s="367" t="str">
        <f t="shared" ca="1" si="457"/>
        <v/>
      </c>
      <c r="Z1003" s="368" t="str">
        <f t="shared" ca="1" si="458"/>
        <v/>
      </c>
      <c r="AA1003" s="369" t="str">
        <f t="shared" ca="1" si="459"/>
        <v/>
      </c>
      <c r="AB1003" s="344"/>
      <c r="AC1003" s="363" t="e">
        <f t="shared" ca="1" si="460"/>
        <v>#N/A</v>
      </c>
      <c r="AD1003" s="376" t="e">
        <f t="shared" ca="1" si="461"/>
        <v>#N/A</v>
      </c>
      <c r="AE1003" s="377" t="e">
        <f t="shared" ca="1" si="440"/>
        <v>#N/A</v>
      </c>
      <c r="AF1003" s="344"/>
      <c r="AG1003" s="359">
        <f t="shared" ca="1" si="462"/>
        <v>3.03325421025602</v>
      </c>
      <c r="AH1003" s="357">
        <f t="shared" ca="1" si="463"/>
        <v>-6.7002805429066186</v>
      </c>
    </row>
    <row r="1004" spans="1:34" x14ac:dyDescent="0.2">
      <c r="A1004" s="403">
        <f t="shared" ca="1" si="441"/>
        <v>1E-4</v>
      </c>
      <c r="B1004" s="358">
        <f t="shared" ca="1" si="442"/>
        <v>35.328700000001142</v>
      </c>
      <c r="C1004" s="342"/>
      <c r="D1004" s="361">
        <f t="shared" ca="1" si="443"/>
        <v>-0.83494321088160117</v>
      </c>
      <c r="E1004" s="362">
        <f t="shared" ca="1" si="444"/>
        <v>-3.1619054599139567</v>
      </c>
      <c r="F1004" s="358">
        <f t="shared" ca="1" si="445"/>
        <v>3.2702868838728762</v>
      </c>
      <c r="G1004" s="361">
        <f t="shared" ca="1" si="446"/>
        <v>16.361476978330991</v>
      </c>
      <c r="H1004" s="362">
        <f t="shared" ca="1" si="447"/>
        <v>-130.27648279434919</v>
      </c>
      <c r="I1004" s="358">
        <f t="shared" ca="1" si="448"/>
        <v>131.29988537001401</v>
      </c>
      <c r="J1004" s="361">
        <f t="shared" ca="1" si="449"/>
        <v>953.1802660510491</v>
      </c>
      <c r="K1004" s="362">
        <f t="shared" ca="1" si="450"/>
        <v>-11.999559184577793</v>
      </c>
      <c r="L1004" s="358">
        <f t="shared" ca="1" si="435"/>
        <v>953.25579411287765</v>
      </c>
      <c r="M1004" s="361">
        <f t="shared" ca="1" si="451"/>
        <v>-1.4458600470975183</v>
      </c>
      <c r="N1004" s="358">
        <f t="shared" ca="1" si="452"/>
        <v>-82.841678465274228</v>
      </c>
      <c r="O1004" s="343"/>
      <c r="P1004" s="365">
        <f t="shared" ca="1" si="453"/>
        <v>23</v>
      </c>
      <c r="Q1004" s="358">
        <f t="shared" ca="1" si="454"/>
        <v>0</v>
      </c>
      <c r="R1004" s="361">
        <f t="shared" ca="1" si="455"/>
        <v>0</v>
      </c>
      <c r="S1004" s="362">
        <f t="shared" ca="1" si="456"/>
        <v>8.3819999999999997</v>
      </c>
      <c r="T1004" s="358">
        <f t="shared" ca="1" si="436"/>
        <v>82.227419999999995</v>
      </c>
      <c r="U1004" s="366">
        <f t="shared" ca="1" si="437"/>
        <v>0</v>
      </c>
      <c r="V1004" s="361">
        <f t="shared" ca="1" si="438"/>
        <v>1.2264708284647714</v>
      </c>
      <c r="W1004" s="358">
        <f ca="1">1/2*Rho*Sref*Cx*vit_xz^2</f>
        <v>56.16241681678715</v>
      </c>
      <c r="X1004" s="343"/>
      <c r="Y1004" s="370" t="str">
        <f ca="1">IF(AND(pos_z&lt;=0,K1003&gt;0),"Impact balistique","") &amp; IF(AND(H1005&lt;0,vit_z&gt;=0),"Apogée","") &amp; IF(AND(Poussee=0,Q1003&gt;0),"Fin de propulsion","") &amp; IF(AND(L1005&gt;L_rampe,pos_xz&lt;=L_rampe),"Sortie de rampe","")</f>
        <v/>
      </c>
      <c r="Z1004" s="371" t="str">
        <f t="shared" ca="1" si="458"/>
        <v/>
      </c>
      <c r="AA1004" s="372" t="str">
        <f t="shared" ca="1" si="459"/>
        <v/>
      </c>
      <c r="AB1004" s="344"/>
      <c r="AC1004" s="365" t="e">
        <f t="shared" ca="1" si="460"/>
        <v>#N/A</v>
      </c>
      <c r="AD1004" s="378" t="e">
        <f t="shared" ca="1" si="461"/>
        <v>#N/A</v>
      </c>
      <c r="AE1004" s="379" t="e">
        <f t="shared" ca="1" si="440"/>
        <v>#N/A</v>
      </c>
      <c r="AF1004" s="344"/>
      <c r="AG1004" s="361">
        <f t="shared" ca="1" si="462"/>
        <v>3.0332156617099955</v>
      </c>
      <c r="AH1004" s="358">
        <f t="shared" ca="1" si="463"/>
        <v>-6.7003202296098614</v>
      </c>
    </row>
    <row r="1005" spans="1:34" x14ac:dyDescent="0.2">
      <c r="Y1005" s="356"/>
    </row>
    <row r="1010" spans="12:12" x14ac:dyDescent="0.2">
      <c r="L1010"/>
    </row>
    <row r="1034" spans="5:25" x14ac:dyDescent="0.2">
      <c r="E1034" s="353" t="s">
        <v>255</v>
      </c>
      <c r="J1034" s="354" t="s">
        <v>247</v>
      </c>
      <c r="T1034" s="353" t="s">
        <v>246</v>
      </c>
      <c r="Y1034" s="355" t="s">
        <v>249</v>
      </c>
    </row>
    <row r="1035" spans="5:25" x14ac:dyDescent="0.2">
      <c r="E1035" s="352" t="s">
        <v>259</v>
      </c>
    </row>
    <row r="1036" spans="5:25" x14ac:dyDescent="0.2">
      <c r="E1036" s="352"/>
      <c r="T1036" s="352" t="s">
        <v>252</v>
      </c>
    </row>
    <row r="1037" spans="5:25" x14ac:dyDescent="0.2">
      <c r="E1037" s="352"/>
      <c r="T1037" s="352" t="s">
        <v>256</v>
      </c>
    </row>
    <row r="1038" spans="5:25" x14ac:dyDescent="0.2">
      <c r="E1038" s="352"/>
      <c r="T1038" s="352" t="s">
        <v>257</v>
      </c>
    </row>
    <row r="1039" spans="5:25" x14ac:dyDescent="0.2">
      <c r="E1039" s="352"/>
      <c r="T1039" s="352" t="s">
        <v>263</v>
      </c>
    </row>
    <row r="1040" spans="5:25" x14ac:dyDescent="0.2">
      <c r="E1040" s="352" t="s">
        <v>258</v>
      </c>
      <c r="T1040" s="352" t="s">
        <v>248</v>
      </c>
    </row>
    <row r="1041" spans="5:20" x14ac:dyDescent="0.2">
      <c r="E1041" s="352"/>
      <c r="T1041" s="352" t="s">
        <v>264</v>
      </c>
    </row>
    <row r="1042" spans="5:20" x14ac:dyDescent="0.2">
      <c r="E1042" s="352"/>
      <c r="R1042" s="356"/>
      <c r="T1042" s="352"/>
    </row>
    <row r="1043" spans="5:20" x14ac:dyDescent="0.2">
      <c r="E1043" s="352"/>
    </row>
    <row r="1044" spans="5:20" x14ac:dyDescent="0.2">
      <c r="E1044" s="352"/>
    </row>
    <row r="1045" spans="5:20" x14ac:dyDescent="0.2">
      <c r="E1045" s="352" t="s">
        <v>261</v>
      </c>
      <c r="R1045" s="356"/>
      <c r="T1045" s="352"/>
    </row>
    <row r="1046" spans="5:20" x14ac:dyDescent="0.2">
      <c r="E1046" s="352"/>
    </row>
    <row r="1047" spans="5:20" x14ac:dyDescent="0.2">
      <c r="E1047" s="352"/>
    </row>
    <row r="1048" spans="5:20" x14ac:dyDescent="0.2">
      <c r="E1048" s="352"/>
      <c r="T1048" s="351" t="s">
        <v>254</v>
      </c>
    </row>
    <row r="1049" spans="5:20" x14ac:dyDescent="0.2">
      <c r="E1049" s="352"/>
    </row>
    <row r="1050" spans="5:20" x14ac:dyDescent="0.2">
      <c r="E1050" s="352" t="s">
        <v>262</v>
      </c>
    </row>
    <row r="1053" spans="5:20" x14ac:dyDescent="0.2">
      <c r="T1053" s="351" t="s">
        <v>269</v>
      </c>
    </row>
    <row r="1055" spans="5:20" x14ac:dyDescent="0.2">
      <c r="E1055" s="352" t="s">
        <v>251</v>
      </c>
    </row>
    <row r="1058" spans="5:20" x14ac:dyDescent="0.2">
      <c r="T1058" s="352" t="s">
        <v>270</v>
      </c>
    </row>
    <row r="1060" spans="5:20" x14ac:dyDescent="0.2">
      <c r="E1060" s="352" t="s">
        <v>260</v>
      </c>
    </row>
    <row r="1061" spans="5:20" x14ac:dyDescent="0.2">
      <c r="E1061" s="352"/>
    </row>
    <row r="1062" spans="5:20" x14ac:dyDescent="0.2">
      <c r="E1062" s="352"/>
    </row>
    <row r="1063" spans="5:20" x14ac:dyDescent="0.2">
      <c r="E1063" s="352"/>
    </row>
    <row r="1064" spans="5:20" x14ac:dyDescent="0.2">
      <c r="E1064" s="352"/>
    </row>
    <row r="1065" spans="5:20" x14ac:dyDescent="0.2">
      <c r="E1065" s="352" t="s">
        <v>250</v>
      </c>
    </row>
    <row r="1066" spans="5:20" x14ac:dyDescent="0.2">
      <c r="E1066" s="352"/>
    </row>
    <row r="1067" spans="5:20" x14ac:dyDescent="0.2">
      <c r="E1067" s="352"/>
    </row>
    <row r="1068" spans="5:20" x14ac:dyDescent="0.2">
      <c r="E1068" s="352"/>
    </row>
    <row r="1069" spans="5:20" x14ac:dyDescent="0.2">
      <c r="E1069" s="352"/>
    </row>
    <row r="1070" spans="5:20" x14ac:dyDescent="0.2">
      <c r="E1070" s="352" t="s">
        <v>253</v>
      </c>
    </row>
    <row r="1071" spans="5:20" x14ac:dyDescent="0.2">
      <c r="E1071" s="352"/>
    </row>
    <row r="1072" spans="5:20" x14ac:dyDescent="0.2">
      <c r="E1072" s="352"/>
    </row>
    <row r="1073" spans="5:5" x14ac:dyDescent="0.2">
      <c r="E1073" s="352"/>
    </row>
    <row r="1074" spans="5:5" x14ac:dyDescent="0.2">
      <c r="E1074" s="352"/>
    </row>
    <row r="1075" spans="5:5" x14ac:dyDescent="0.2">
      <c r="E1075" s="352" t="s">
        <v>265</v>
      </c>
    </row>
  </sheetData>
  <sheetProtection password="C6AC" sheet="1"/>
  <mergeCells count="5">
    <mergeCell ref="D1:N1"/>
    <mergeCell ref="P1:W1"/>
    <mergeCell ref="AG1:AH1"/>
    <mergeCell ref="Y2:AA2"/>
    <mergeCell ref="AC1:AE1"/>
  </mergeCells>
  <phoneticPr fontId="8" type="noConversion"/>
  <conditionalFormatting sqref="A4:XFD1004">
    <cfRule type="expression" dxfId="5" priority="7" stopIfTrue="1">
      <formula>OR($Y4="Sortie de rampe",$Z4="Para")</formula>
    </cfRule>
    <cfRule type="expression" dxfId="4" priority="8" stopIfTrue="1">
      <formula>OR($Y4="Fin de propulsion",$Y4="Impact balistique",$AA4="Satellite")</formula>
    </cfRule>
    <cfRule type="expression" dxfId="3" priority="9" stopIfTrue="1">
      <formula>$Y4="Apogée"</formula>
    </cfRule>
  </conditionalFormatting>
  <hyperlinks>
    <hyperlink ref="J1034" r:id="rId1"/>
    <hyperlink ref="Y1034" r:id="rId2"/>
  </hyperlinks>
  <pageMargins left="0.39370078740157483" right="0.39370078740157483" top="0.39370078740157483" bottom="0.39370078740157483" header="0" footer="0"/>
  <pageSetup paperSize="9" scale="29" firstPageNumber="0" fitToHeight="5" orientation="portrait" horizontalDpi="300" verticalDpi="300" r:id="rId3"/>
  <headerFooter alignWithMargins="0"/>
  <drawing r:id="rId4"/>
  <legacyDrawing r:id="rId5"/>
  <oleObjects>
    <mc:AlternateContent xmlns:mc="http://schemas.openxmlformats.org/markup-compatibility/2006">
      <mc:Choice Requires="x14">
        <oleObject progId="Equation.3" shapeId="3091" r:id="rId6">
          <objectPr defaultSize="0" autoPict="0" r:id="rId7">
            <anchor moveWithCells="1">
              <from>
                <xdr:col>18</xdr:col>
                <xdr:colOff>19050</xdr:colOff>
                <xdr:row>1010</xdr:row>
                <xdr:rowOff>123825</xdr:rowOff>
              </from>
              <to>
                <xdr:col>20</xdr:col>
                <xdr:colOff>361950</xdr:colOff>
                <xdr:row>1013</xdr:row>
                <xdr:rowOff>28575</xdr:rowOff>
              </to>
            </anchor>
          </objectPr>
        </oleObject>
      </mc:Choice>
      <mc:Fallback>
        <oleObject progId="Equation.3" shapeId="3091" r:id="rId6"/>
      </mc:Fallback>
    </mc:AlternateContent>
    <mc:AlternateContent xmlns:mc="http://schemas.openxmlformats.org/markup-compatibility/2006">
      <mc:Choice Requires="x14">
        <oleObject progId="Equation.3" shapeId="3092" r:id="rId8">
          <objectPr defaultSize="0" autoPict="0" r:id="rId9">
            <anchor moveWithCells="1">
              <from>
                <xdr:col>21</xdr:col>
                <xdr:colOff>28575</xdr:colOff>
                <xdr:row>1024</xdr:row>
                <xdr:rowOff>200025</xdr:rowOff>
              </from>
              <to>
                <xdr:col>25</xdr:col>
                <xdr:colOff>571500</xdr:colOff>
                <xdr:row>1026</xdr:row>
                <xdr:rowOff>95250</xdr:rowOff>
              </to>
            </anchor>
          </objectPr>
        </oleObject>
      </mc:Choice>
      <mc:Fallback>
        <oleObject progId="Equation.3" shapeId="3092" r:id="rId8"/>
      </mc:Fallback>
    </mc:AlternateContent>
    <mc:AlternateContent xmlns:mc="http://schemas.openxmlformats.org/markup-compatibility/2006">
      <mc:Choice Requires="x14">
        <oleObject progId="Equation.3" shapeId="3096" r:id="rId10">
          <objectPr defaultSize="0" autoPict="0" r:id="rId11">
            <anchor moveWithCells="1">
              <from>
                <xdr:col>16</xdr:col>
                <xdr:colOff>314325</xdr:colOff>
                <xdr:row>1006</xdr:row>
                <xdr:rowOff>28575</xdr:rowOff>
              </from>
              <to>
                <xdr:col>24</xdr:col>
                <xdr:colOff>190500</xdr:colOff>
                <xdr:row>1007</xdr:row>
                <xdr:rowOff>123825</xdr:rowOff>
              </to>
            </anchor>
          </objectPr>
        </oleObject>
      </mc:Choice>
      <mc:Fallback>
        <oleObject progId="Equation.3" shapeId="3096" r:id="rId10"/>
      </mc:Fallback>
    </mc:AlternateContent>
    <mc:AlternateContent xmlns:mc="http://schemas.openxmlformats.org/markup-compatibility/2006">
      <mc:Choice Requires="x14">
        <oleObject progId="Equation.3" shapeId="3112" r:id="rId12">
          <objectPr defaultSize="0" autoPict="0" r:id="rId13">
            <anchor moveWithCells="1">
              <from>
                <xdr:col>7</xdr:col>
                <xdr:colOff>19050</xdr:colOff>
                <xdr:row>1017</xdr:row>
                <xdr:rowOff>209550</xdr:rowOff>
              </from>
              <to>
                <xdr:col>10</xdr:col>
                <xdr:colOff>733425</xdr:colOff>
                <xdr:row>1019</xdr:row>
                <xdr:rowOff>171450</xdr:rowOff>
              </to>
            </anchor>
          </objectPr>
        </oleObject>
      </mc:Choice>
      <mc:Fallback>
        <oleObject progId="Equation.3" shapeId="3112" r:id="rId12"/>
      </mc:Fallback>
    </mc:AlternateContent>
    <mc:AlternateContent xmlns:mc="http://schemas.openxmlformats.org/markup-compatibility/2006">
      <mc:Choice Requires="x14">
        <oleObject progId="Equation.3" shapeId="3114" r:id="rId14">
          <objectPr defaultSize="0" autoPict="0" r:id="rId15">
            <anchor moveWithCells="1">
              <from>
                <xdr:col>7</xdr:col>
                <xdr:colOff>19050</xdr:colOff>
                <xdr:row>1014</xdr:row>
                <xdr:rowOff>219075</xdr:rowOff>
              </from>
              <to>
                <xdr:col>11</xdr:col>
                <xdr:colOff>333375</xdr:colOff>
                <xdr:row>1016</xdr:row>
                <xdr:rowOff>85725</xdr:rowOff>
              </to>
            </anchor>
          </objectPr>
        </oleObject>
      </mc:Choice>
      <mc:Fallback>
        <oleObject progId="Equation.3" shapeId="3114" r:id="rId14"/>
      </mc:Fallback>
    </mc:AlternateContent>
    <mc:AlternateContent xmlns:mc="http://schemas.openxmlformats.org/markup-compatibility/2006">
      <mc:Choice Requires="x14">
        <oleObject progId="Equation.3" shapeId="3115" r:id="rId16">
          <objectPr defaultSize="0" autoPict="0" r:id="rId17">
            <anchor moveWithCells="1">
              <from>
                <xdr:col>7</xdr:col>
                <xdr:colOff>19050</xdr:colOff>
                <xdr:row>1016</xdr:row>
                <xdr:rowOff>95250</xdr:rowOff>
              </from>
              <to>
                <xdr:col>11</xdr:col>
                <xdr:colOff>295275</xdr:colOff>
                <xdr:row>1017</xdr:row>
                <xdr:rowOff>200025</xdr:rowOff>
              </to>
            </anchor>
          </objectPr>
        </oleObject>
      </mc:Choice>
      <mc:Fallback>
        <oleObject progId="Equation.3" shapeId="3115" r:id="rId16"/>
      </mc:Fallback>
    </mc:AlternateContent>
    <mc:AlternateContent xmlns:mc="http://schemas.openxmlformats.org/markup-compatibility/2006">
      <mc:Choice Requires="x14">
        <oleObject progId="Equation.3" shapeId="3119" r:id="rId18">
          <objectPr defaultSize="0" autoPict="0" r:id="rId19">
            <anchor moveWithCells="1">
              <from>
                <xdr:col>10</xdr:col>
                <xdr:colOff>0</xdr:colOff>
                <xdr:row>1022</xdr:row>
                <xdr:rowOff>85725</xdr:rowOff>
              </from>
              <to>
                <xdr:col>17</xdr:col>
                <xdr:colOff>342900</xdr:colOff>
                <xdr:row>1024</xdr:row>
                <xdr:rowOff>209550</xdr:rowOff>
              </to>
            </anchor>
          </objectPr>
        </oleObject>
      </mc:Choice>
      <mc:Fallback>
        <oleObject progId="Equation.3" shapeId="3119" r:id="rId18"/>
      </mc:Fallback>
    </mc:AlternateContent>
    <mc:AlternateContent xmlns:mc="http://schemas.openxmlformats.org/markup-compatibility/2006">
      <mc:Choice Requires="x14">
        <oleObject progId="Equation.3" shapeId="3120" r:id="rId20">
          <objectPr defaultSize="0" autoPict="0" r:id="rId21">
            <anchor moveWithCells="1">
              <from>
                <xdr:col>4</xdr:col>
                <xdr:colOff>0</xdr:colOff>
                <xdr:row>1008</xdr:row>
                <xdr:rowOff>0</xdr:rowOff>
              </from>
              <to>
                <xdr:col>11</xdr:col>
                <xdr:colOff>295275</xdr:colOff>
                <xdr:row>1010</xdr:row>
                <xdr:rowOff>114300</xdr:rowOff>
              </to>
            </anchor>
          </objectPr>
        </oleObject>
      </mc:Choice>
      <mc:Fallback>
        <oleObject progId="Equation.3" shapeId="3120" r:id="rId20"/>
      </mc:Fallback>
    </mc:AlternateContent>
    <mc:AlternateContent xmlns:mc="http://schemas.openxmlformats.org/markup-compatibility/2006">
      <mc:Choice Requires="x14">
        <oleObject progId="Equation.3" shapeId="3121" r:id="rId22">
          <objectPr defaultSize="0" autoPict="0" r:id="rId23">
            <anchor moveWithCells="1">
              <from>
                <xdr:col>4</xdr:col>
                <xdr:colOff>0</xdr:colOff>
                <xdr:row>1010</xdr:row>
                <xdr:rowOff>123825</xdr:rowOff>
              </from>
              <to>
                <xdr:col>12</xdr:col>
                <xdr:colOff>304800</xdr:colOff>
                <xdr:row>1013</xdr:row>
                <xdr:rowOff>0</xdr:rowOff>
              </to>
            </anchor>
          </objectPr>
        </oleObject>
      </mc:Choice>
      <mc:Fallback>
        <oleObject progId="Equation.3" shapeId="3121" r:id="rId22"/>
      </mc:Fallback>
    </mc:AlternateContent>
    <mc:AlternateContent xmlns:mc="http://schemas.openxmlformats.org/markup-compatibility/2006">
      <mc:Choice Requires="x14">
        <oleObject progId="Equation.3" shapeId="3122" r:id="rId24">
          <objectPr defaultSize="0" autoPict="0" r:id="rId25">
            <anchor moveWithCells="1">
              <from>
                <xdr:col>1</xdr:col>
                <xdr:colOff>19050</xdr:colOff>
                <xdr:row>1006</xdr:row>
                <xdr:rowOff>123825</xdr:rowOff>
              </from>
              <to>
                <xdr:col>3</xdr:col>
                <xdr:colOff>676275</xdr:colOff>
                <xdr:row>1007</xdr:row>
                <xdr:rowOff>219075</xdr:rowOff>
              </to>
            </anchor>
          </objectPr>
        </oleObject>
      </mc:Choice>
      <mc:Fallback>
        <oleObject progId="Equation.3" shapeId="3122" r:id="rId24"/>
      </mc:Fallback>
    </mc:AlternateContent>
    <mc:AlternateContent xmlns:mc="http://schemas.openxmlformats.org/markup-compatibility/2006">
      <mc:Choice Requires="x14">
        <oleObject progId="Equation.3" shapeId="3124" r:id="rId26">
          <objectPr defaultSize="0" autoPict="0" r:id="rId27">
            <anchor moveWithCells="1">
              <from>
                <xdr:col>10</xdr:col>
                <xdr:colOff>0</xdr:colOff>
                <xdr:row>1024</xdr:row>
                <xdr:rowOff>219075</xdr:rowOff>
              </from>
              <to>
                <xdr:col>16</xdr:col>
                <xdr:colOff>0</xdr:colOff>
                <xdr:row>1026</xdr:row>
                <xdr:rowOff>180975</xdr:rowOff>
              </to>
            </anchor>
          </objectPr>
        </oleObject>
      </mc:Choice>
      <mc:Fallback>
        <oleObject progId="Equation.3" shapeId="3124" r:id="rId26"/>
      </mc:Fallback>
    </mc:AlternateContent>
    <mc:AlternateContent xmlns:mc="http://schemas.openxmlformats.org/markup-compatibility/2006">
      <mc:Choice Requires="x14">
        <oleObject progId="Equation.3" shapeId="3125" r:id="rId28">
          <objectPr defaultSize="0" autoPict="0" r:id="rId29">
            <anchor moveWithCells="1">
              <from>
                <xdr:col>18</xdr:col>
                <xdr:colOff>19050</xdr:colOff>
                <xdr:row>1013</xdr:row>
                <xdr:rowOff>38100</xdr:rowOff>
              </from>
              <to>
                <xdr:col>21</xdr:col>
                <xdr:colOff>28575</xdr:colOff>
                <xdr:row>1014</xdr:row>
                <xdr:rowOff>142875</xdr:rowOff>
              </to>
            </anchor>
          </objectPr>
        </oleObject>
      </mc:Choice>
      <mc:Fallback>
        <oleObject progId="Equation.3" shapeId="3125" r:id="rId28"/>
      </mc:Fallback>
    </mc:AlternateContent>
    <mc:AlternateContent xmlns:mc="http://schemas.openxmlformats.org/markup-compatibility/2006">
      <mc:Choice Requires="x14">
        <oleObject progId="Equation.3" shapeId="3127" r:id="rId30">
          <objectPr defaultSize="0" autoPict="0" r:id="rId31">
            <anchor moveWithCells="1">
              <from>
                <xdr:col>1</xdr:col>
                <xdr:colOff>19050</xdr:colOff>
                <xdr:row>1005</xdr:row>
                <xdr:rowOff>19050</xdr:rowOff>
              </from>
              <to>
                <xdr:col>10</xdr:col>
                <xdr:colOff>504825</xdr:colOff>
                <xdr:row>1006</xdr:row>
                <xdr:rowOff>114300</xdr:rowOff>
              </to>
            </anchor>
          </objectPr>
        </oleObject>
      </mc:Choice>
      <mc:Fallback>
        <oleObject progId="Equation.3" shapeId="3127" r:id="rId30"/>
      </mc:Fallback>
    </mc:AlternateContent>
    <mc:AlternateContent xmlns:mc="http://schemas.openxmlformats.org/markup-compatibility/2006">
      <mc:Choice Requires="x14">
        <oleObject progId="Equation.3" shapeId="3129" r:id="rId32">
          <objectPr defaultSize="0" autoPict="0" r:id="rId33">
            <anchor moveWithCells="1">
              <from>
                <xdr:col>4</xdr:col>
                <xdr:colOff>0</xdr:colOff>
                <xdr:row>1013</xdr:row>
                <xdr:rowOff>19050</xdr:rowOff>
              </from>
              <to>
                <xdr:col>8</xdr:col>
                <xdr:colOff>238125</xdr:colOff>
                <xdr:row>1014</xdr:row>
                <xdr:rowOff>209550</xdr:rowOff>
              </to>
            </anchor>
          </objectPr>
        </oleObject>
      </mc:Choice>
      <mc:Fallback>
        <oleObject progId="Equation.3" shapeId="3129" r:id="rId32"/>
      </mc:Fallback>
    </mc:AlternateContent>
    <mc:AlternateContent xmlns:mc="http://schemas.openxmlformats.org/markup-compatibility/2006">
      <mc:Choice Requires="x14">
        <oleObject progId="Equation.3" shapeId="3131" r:id="rId34">
          <objectPr defaultSize="0" autoPict="0" r:id="rId35">
            <anchor moveWithCells="1">
              <from>
                <xdr:col>20</xdr:col>
                <xdr:colOff>19050</xdr:colOff>
                <xdr:row>1018</xdr:row>
                <xdr:rowOff>66675</xdr:rowOff>
              </from>
              <to>
                <xdr:col>24</xdr:col>
                <xdr:colOff>1352550</xdr:colOff>
                <xdr:row>1019</xdr:row>
                <xdr:rowOff>171450</xdr:rowOff>
              </to>
            </anchor>
          </objectPr>
        </oleObject>
      </mc:Choice>
      <mc:Fallback>
        <oleObject progId="Equation.3" shapeId="3131" r:id="rId34"/>
      </mc:Fallback>
    </mc:AlternateContent>
    <mc:AlternateContent xmlns:mc="http://schemas.openxmlformats.org/markup-compatibility/2006">
      <mc:Choice Requires="x14">
        <oleObject progId="Equation.3" shapeId="3134" r:id="rId36">
          <objectPr defaultSize="0" autoPict="0" r:id="rId37">
            <anchor moveWithCells="1">
              <from>
                <xdr:col>10</xdr:col>
                <xdr:colOff>0</xdr:colOff>
                <xdr:row>1019</xdr:row>
                <xdr:rowOff>180975</xdr:rowOff>
              </from>
              <to>
                <xdr:col>20</xdr:col>
                <xdr:colOff>723900</xdr:colOff>
                <xdr:row>1022</xdr:row>
                <xdr:rowOff>66675</xdr:rowOff>
              </to>
            </anchor>
          </objectPr>
        </oleObject>
      </mc:Choice>
      <mc:Fallback>
        <oleObject progId="Equation.3" shapeId="3134" r:id="rId36"/>
      </mc:Fallback>
    </mc:AlternateContent>
    <mc:AlternateContent xmlns:mc="http://schemas.openxmlformats.org/markup-compatibility/2006">
      <mc:Choice Requires="x14">
        <oleObject progId="Equation.3" shapeId="3135" r:id="rId38">
          <objectPr defaultSize="0" autoPict="0" r:id="rId39">
            <anchor moveWithCells="1">
              <from>
                <xdr:col>12</xdr:col>
                <xdr:colOff>0</xdr:colOff>
                <xdr:row>1018</xdr:row>
                <xdr:rowOff>66675</xdr:rowOff>
              </from>
              <to>
                <xdr:col>19</xdr:col>
                <xdr:colOff>228600</xdr:colOff>
                <xdr:row>1019</xdr:row>
                <xdr:rowOff>171450</xdr:rowOff>
              </to>
            </anchor>
          </objectPr>
        </oleObject>
      </mc:Choice>
      <mc:Fallback>
        <oleObject progId="Equation.3" shapeId="3135" r:id="rId38"/>
      </mc:Fallback>
    </mc:AlternateContent>
    <mc:AlternateContent xmlns:mc="http://schemas.openxmlformats.org/markup-compatibility/2006">
      <mc:Choice Requires="x14">
        <oleObject progId="Equation.3" shapeId="3141" r:id="rId40">
          <objectPr defaultSize="0" autoPict="0" r:id="rId41">
            <anchor moveWithCells="1">
              <from>
                <xdr:col>33</xdr:col>
                <xdr:colOff>19050</xdr:colOff>
                <xdr:row>1007</xdr:row>
                <xdr:rowOff>152400</xdr:rowOff>
              </from>
              <to>
                <xdr:col>37</xdr:col>
                <xdr:colOff>352425</xdr:colOff>
                <xdr:row>1010</xdr:row>
                <xdr:rowOff>95250</xdr:rowOff>
              </to>
            </anchor>
          </objectPr>
        </oleObject>
      </mc:Choice>
      <mc:Fallback>
        <oleObject progId="Equation.3" shapeId="3141" r:id="rId40"/>
      </mc:Fallback>
    </mc:AlternateContent>
    <mc:AlternateContent xmlns:mc="http://schemas.openxmlformats.org/markup-compatibility/2006">
      <mc:Choice Requires="x14">
        <oleObject progId="Equation.3" shapeId="3142" r:id="rId42">
          <objectPr defaultSize="0" autoPict="0" r:id="rId43">
            <anchor moveWithCells="1">
              <from>
                <xdr:col>33</xdr:col>
                <xdr:colOff>19050</xdr:colOff>
                <xdr:row>1010</xdr:row>
                <xdr:rowOff>114300</xdr:rowOff>
              </from>
              <to>
                <xdr:col>35</xdr:col>
                <xdr:colOff>904875</xdr:colOff>
                <xdr:row>1013</xdr:row>
                <xdr:rowOff>57150</xdr:rowOff>
              </to>
            </anchor>
          </objectPr>
        </oleObject>
      </mc:Choice>
      <mc:Fallback>
        <oleObject progId="Equation.3" shapeId="3142" r:id="rId42"/>
      </mc:Fallback>
    </mc:AlternateContent>
    <mc:AlternateContent xmlns:mc="http://schemas.openxmlformats.org/markup-compatibility/2006">
      <mc:Choice Requires="x14">
        <oleObject progId="Equation.3" shapeId="3157" r:id="rId44">
          <objectPr defaultSize="0" autoPict="0" r:id="rId45">
            <anchor moveWithCells="1">
              <from>
                <xdr:col>4</xdr:col>
                <xdr:colOff>0</xdr:colOff>
                <xdr:row>1035</xdr:row>
                <xdr:rowOff>28575</xdr:rowOff>
              </from>
              <to>
                <xdr:col>11</xdr:col>
                <xdr:colOff>695325</xdr:colOff>
                <xdr:row>1038</xdr:row>
                <xdr:rowOff>28575</xdr:rowOff>
              </to>
            </anchor>
          </objectPr>
        </oleObject>
      </mc:Choice>
      <mc:Fallback>
        <oleObject progId="Equation.3" shapeId="3157" r:id="rId44"/>
      </mc:Fallback>
    </mc:AlternateContent>
    <mc:AlternateContent xmlns:mc="http://schemas.openxmlformats.org/markup-compatibility/2006">
      <mc:Choice Requires="x14">
        <oleObject progId="Equation.3" shapeId="3158" r:id="rId46">
          <objectPr defaultSize="0" autoPict="0" r:id="rId47">
            <anchor moveWithCells="1">
              <from>
                <xdr:col>4</xdr:col>
                <xdr:colOff>0</xdr:colOff>
                <xdr:row>1040</xdr:row>
                <xdr:rowOff>28575</xdr:rowOff>
              </from>
              <to>
                <xdr:col>12</xdr:col>
                <xdr:colOff>38100</xdr:colOff>
                <xdr:row>1043</xdr:row>
                <xdr:rowOff>28575</xdr:rowOff>
              </to>
            </anchor>
          </objectPr>
        </oleObject>
      </mc:Choice>
      <mc:Fallback>
        <oleObject progId="Equation.3" shapeId="3158" r:id="rId46"/>
      </mc:Fallback>
    </mc:AlternateContent>
    <mc:AlternateContent xmlns:mc="http://schemas.openxmlformats.org/markup-compatibility/2006">
      <mc:Choice Requires="x14">
        <oleObject progId="Equation.3" shapeId="3161" r:id="rId48">
          <objectPr defaultSize="0" autoPict="0" r:id="rId49">
            <anchor moveWithCells="1">
              <from>
                <xdr:col>18</xdr:col>
                <xdr:colOff>19050</xdr:colOff>
                <xdr:row>1014</xdr:row>
                <xdr:rowOff>152400</xdr:rowOff>
              </from>
              <to>
                <xdr:col>20</xdr:col>
                <xdr:colOff>419100</xdr:colOff>
                <xdr:row>1016</xdr:row>
                <xdr:rowOff>19050</xdr:rowOff>
              </to>
            </anchor>
          </objectPr>
        </oleObject>
      </mc:Choice>
      <mc:Fallback>
        <oleObject progId="Equation.3" shapeId="3161" r:id="rId48"/>
      </mc:Fallback>
    </mc:AlternateContent>
    <mc:AlternateContent xmlns:mc="http://schemas.openxmlformats.org/markup-compatibility/2006">
      <mc:Choice Requires="x14">
        <oleObject progId="Equation.3" shapeId="3162" r:id="rId50">
          <objectPr defaultSize="0" autoPict="0" r:id="rId51">
            <anchor moveWithCells="1">
              <from>
                <xdr:col>16</xdr:col>
                <xdr:colOff>314325</xdr:colOff>
                <xdr:row>1007</xdr:row>
                <xdr:rowOff>142875</xdr:rowOff>
              </from>
              <to>
                <xdr:col>32</xdr:col>
                <xdr:colOff>209550</xdr:colOff>
                <xdr:row>1010</xdr:row>
                <xdr:rowOff>114300</xdr:rowOff>
              </to>
            </anchor>
          </objectPr>
        </oleObject>
      </mc:Choice>
      <mc:Fallback>
        <oleObject progId="Equation.3" shapeId="3162" r:id="rId50"/>
      </mc:Fallback>
    </mc:AlternateContent>
    <mc:AlternateContent xmlns:mc="http://schemas.openxmlformats.org/markup-compatibility/2006">
      <mc:Choice Requires="x14">
        <oleObject progId="Equation.3" shapeId="3167" r:id="rId52">
          <objectPr defaultSize="0" autoPict="0" r:id="rId53">
            <anchor moveWithCells="1">
              <from>
                <xdr:col>4</xdr:col>
                <xdr:colOff>0</xdr:colOff>
                <xdr:row>1055</xdr:row>
                <xdr:rowOff>38100</xdr:rowOff>
              </from>
              <to>
                <xdr:col>12</xdr:col>
                <xdr:colOff>419100</xdr:colOff>
                <xdr:row>1058</xdr:row>
                <xdr:rowOff>66675</xdr:rowOff>
              </to>
            </anchor>
          </objectPr>
        </oleObject>
      </mc:Choice>
      <mc:Fallback>
        <oleObject progId="Equation.3" shapeId="3167" r:id="rId52"/>
      </mc:Fallback>
    </mc:AlternateContent>
    <mc:AlternateContent xmlns:mc="http://schemas.openxmlformats.org/markup-compatibility/2006">
      <mc:Choice Requires="x14">
        <oleObject progId="Equation.3" shapeId="3168" r:id="rId54">
          <objectPr defaultSize="0" autoPict="0" r:id="rId55">
            <anchor moveWithCells="1">
              <from>
                <xdr:col>4</xdr:col>
                <xdr:colOff>0</xdr:colOff>
                <xdr:row>1060</xdr:row>
                <xdr:rowOff>38100</xdr:rowOff>
              </from>
              <to>
                <xdr:col>15</xdr:col>
                <xdr:colOff>66675</xdr:colOff>
                <xdr:row>1063</xdr:row>
                <xdr:rowOff>66675</xdr:rowOff>
              </to>
            </anchor>
          </objectPr>
        </oleObject>
      </mc:Choice>
      <mc:Fallback>
        <oleObject progId="Equation.3" shapeId="3168" r:id="rId54"/>
      </mc:Fallback>
    </mc:AlternateContent>
    <mc:AlternateContent xmlns:mc="http://schemas.openxmlformats.org/markup-compatibility/2006">
      <mc:Choice Requires="x14">
        <oleObject progId="Equation.3" shapeId="3169" r:id="rId56">
          <objectPr defaultSize="0" autoPict="0" r:id="rId57">
            <anchor moveWithCells="1">
              <from>
                <xdr:col>4</xdr:col>
                <xdr:colOff>0</xdr:colOff>
                <xdr:row>1065</xdr:row>
                <xdr:rowOff>38100</xdr:rowOff>
              </from>
              <to>
                <xdr:col>16</xdr:col>
                <xdr:colOff>838200</xdr:colOff>
                <xdr:row>1068</xdr:row>
                <xdr:rowOff>66675</xdr:rowOff>
              </to>
            </anchor>
          </objectPr>
        </oleObject>
      </mc:Choice>
      <mc:Fallback>
        <oleObject progId="Equation.3" shapeId="3169" r:id="rId56"/>
      </mc:Fallback>
    </mc:AlternateContent>
    <mc:AlternateContent xmlns:mc="http://schemas.openxmlformats.org/markup-compatibility/2006">
      <mc:Choice Requires="x14">
        <oleObject progId="Equation.3" shapeId="3173" r:id="rId58">
          <objectPr defaultSize="0" autoPict="0" r:id="rId59">
            <anchor moveWithCells="1">
              <from>
                <xdr:col>4</xdr:col>
                <xdr:colOff>0</xdr:colOff>
                <xdr:row>1045</xdr:row>
                <xdr:rowOff>38100</xdr:rowOff>
              </from>
              <to>
                <xdr:col>16</xdr:col>
                <xdr:colOff>133350</xdr:colOff>
                <xdr:row>1048</xdr:row>
                <xdr:rowOff>38100</xdr:rowOff>
              </to>
            </anchor>
          </objectPr>
        </oleObject>
      </mc:Choice>
      <mc:Fallback>
        <oleObject progId="Equation.3" shapeId="3173" r:id="rId58"/>
      </mc:Fallback>
    </mc:AlternateContent>
    <mc:AlternateContent xmlns:mc="http://schemas.openxmlformats.org/markup-compatibility/2006">
      <mc:Choice Requires="x14">
        <oleObject progId="Equation.3" shapeId="3174" r:id="rId60">
          <objectPr defaultSize="0" autoPict="0" r:id="rId61">
            <anchor moveWithCells="1">
              <from>
                <xdr:col>4</xdr:col>
                <xdr:colOff>0</xdr:colOff>
                <xdr:row>1050</xdr:row>
                <xdr:rowOff>38100</xdr:rowOff>
              </from>
              <to>
                <xdr:col>16</xdr:col>
                <xdr:colOff>485775</xdr:colOff>
                <xdr:row>1053</xdr:row>
                <xdr:rowOff>66675</xdr:rowOff>
              </to>
            </anchor>
          </objectPr>
        </oleObject>
      </mc:Choice>
      <mc:Fallback>
        <oleObject progId="Equation.3" shapeId="3174" r:id="rId60"/>
      </mc:Fallback>
    </mc:AlternateContent>
    <mc:AlternateContent xmlns:mc="http://schemas.openxmlformats.org/markup-compatibility/2006">
      <mc:Choice Requires="x14">
        <oleObject progId="Equation.3" shapeId="3178" r:id="rId62">
          <objectPr defaultSize="0" autoPict="0" r:id="rId63">
            <anchor moveWithCells="1">
              <from>
                <xdr:col>4</xdr:col>
                <xdr:colOff>0</xdr:colOff>
                <xdr:row>1070</xdr:row>
                <xdr:rowOff>38100</xdr:rowOff>
              </from>
              <to>
                <xdr:col>12</xdr:col>
                <xdr:colOff>514350</xdr:colOff>
                <xdr:row>1073</xdr:row>
                <xdr:rowOff>66675</xdr:rowOff>
              </to>
            </anchor>
          </objectPr>
        </oleObject>
      </mc:Choice>
      <mc:Fallback>
        <oleObject progId="Equation.3" shapeId="3178" r:id="rId62"/>
      </mc:Fallback>
    </mc:AlternateContent>
    <mc:AlternateContent xmlns:mc="http://schemas.openxmlformats.org/markup-compatibility/2006">
      <mc:Choice Requires="x14">
        <oleObject progId="Equation.3" shapeId="3188" r:id="rId64">
          <objectPr defaultSize="0" autoPict="0" r:id="rId65">
            <anchor moveWithCells="1">
              <from>
                <xdr:col>19</xdr:col>
                <xdr:colOff>0</xdr:colOff>
                <xdr:row>1053</xdr:row>
                <xdr:rowOff>38100</xdr:rowOff>
              </from>
              <to>
                <xdr:col>32</xdr:col>
                <xdr:colOff>523875</xdr:colOff>
                <xdr:row>1056</xdr:row>
                <xdr:rowOff>38100</xdr:rowOff>
              </to>
            </anchor>
          </objectPr>
        </oleObject>
      </mc:Choice>
      <mc:Fallback>
        <oleObject progId="Equation.3" shapeId="3188" r:id="rId64"/>
      </mc:Fallback>
    </mc:AlternateContent>
    <mc:AlternateContent xmlns:mc="http://schemas.openxmlformats.org/markup-compatibility/2006">
      <mc:Choice Requires="x14">
        <oleObject progId="Equation.3" shapeId="3192" r:id="rId66">
          <objectPr defaultSize="0" autoPict="0" r:id="rId67">
            <anchor moveWithCells="1">
              <from>
                <xdr:col>21</xdr:col>
                <xdr:colOff>28575</xdr:colOff>
                <xdr:row>1022</xdr:row>
                <xdr:rowOff>66675</xdr:rowOff>
              </from>
              <to>
                <xdr:col>32</xdr:col>
                <xdr:colOff>333375</xdr:colOff>
                <xdr:row>1024</xdr:row>
                <xdr:rowOff>171450</xdr:rowOff>
              </to>
            </anchor>
          </objectPr>
        </oleObject>
      </mc:Choice>
      <mc:Fallback>
        <oleObject progId="Equation.3" shapeId="3192" r:id="rId66"/>
      </mc:Fallback>
    </mc:AlternateContent>
    <mc:AlternateContent xmlns:mc="http://schemas.openxmlformats.org/markup-compatibility/2006">
      <mc:Choice Requires="x14">
        <oleObject progId="Equation.3" shapeId="3220" r:id="rId68">
          <objectPr defaultSize="0" autoPict="0" r:id="rId69">
            <anchor moveWithCells="1">
              <from>
                <xdr:col>33</xdr:col>
                <xdr:colOff>0</xdr:colOff>
                <xdr:row>1017</xdr:row>
                <xdr:rowOff>28575</xdr:rowOff>
              </from>
              <to>
                <xdr:col>36</xdr:col>
                <xdr:colOff>209550</xdr:colOff>
                <xdr:row>1020</xdr:row>
                <xdr:rowOff>28575</xdr:rowOff>
              </to>
            </anchor>
          </objectPr>
        </oleObject>
      </mc:Choice>
      <mc:Fallback>
        <oleObject progId="Equation.3" shapeId="3220" r:id="rId68"/>
      </mc:Fallback>
    </mc:AlternateContent>
    <mc:AlternateContent xmlns:mc="http://schemas.openxmlformats.org/markup-compatibility/2006">
      <mc:Choice Requires="x14">
        <oleObject progId="Equation.3" shapeId="3222" r:id="rId70">
          <objectPr defaultSize="0" autoPict="0" r:id="rId71">
            <anchor moveWithCells="1">
              <from>
                <xdr:col>33</xdr:col>
                <xdr:colOff>0</xdr:colOff>
                <xdr:row>1014</xdr:row>
                <xdr:rowOff>0</xdr:rowOff>
              </from>
              <to>
                <xdr:col>36</xdr:col>
                <xdr:colOff>876300</xdr:colOff>
                <xdr:row>1017</xdr:row>
                <xdr:rowOff>0</xdr:rowOff>
              </to>
            </anchor>
          </objectPr>
        </oleObject>
      </mc:Choice>
      <mc:Fallback>
        <oleObject progId="Equation.3" shapeId="3222" r:id="rId70"/>
      </mc:Fallback>
    </mc:AlternateContent>
    <mc:AlternateContent xmlns:mc="http://schemas.openxmlformats.org/markup-compatibility/2006">
      <mc:Choice Requires="x14">
        <oleObject progId="Equation.3" shapeId="3223" r:id="rId72">
          <objectPr defaultSize="0" autoPict="0" r:id="rId73">
            <anchor moveWithCells="1">
              <from>
                <xdr:col>33</xdr:col>
                <xdr:colOff>0</xdr:colOff>
                <xdr:row>1020</xdr:row>
                <xdr:rowOff>57150</xdr:rowOff>
              </from>
              <to>
                <xdr:col>35</xdr:col>
                <xdr:colOff>171450</xdr:colOff>
                <xdr:row>1023</xdr:row>
                <xdr:rowOff>57150</xdr:rowOff>
              </to>
            </anchor>
          </objectPr>
        </oleObject>
      </mc:Choice>
      <mc:Fallback>
        <oleObject progId="Equation.3" shapeId="3223" r:id="rId72"/>
      </mc:Fallback>
    </mc:AlternateContent>
    <mc:AlternateContent xmlns:mc="http://schemas.openxmlformats.org/markup-compatibility/2006">
      <mc:Choice Requires="x14">
        <oleObject progId="Equation.3" shapeId="3225" r:id="rId74">
          <objectPr defaultSize="0" autoPict="0" r:id="rId75">
            <anchor moveWithCells="1">
              <from>
                <xdr:col>33</xdr:col>
                <xdr:colOff>0</xdr:colOff>
                <xdr:row>1023</xdr:row>
                <xdr:rowOff>85725</xdr:rowOff>
              </from>
              <to>
                <xdr:col>36</xdr:col>
                <xdr:colOff>66675</xdr:colOff>
                <xdr:row>1026</xdr:row>
                <xdr:rowOff>85725</xdr:rowOff>
              </to>
            </anchor>
          </objectPr>
        </oleObject>
      </mc:Choice>
      <mc:Fallback>
        <oleObject progId="Equation.3" shapeId="3225" r:id="rId74"/>
      </mc:Fallback>
    </mc:AlternateContent>
    <mc:AlternateContent xmlns:mc="http://schemas.openxmlformats.org/markup-compatibility/2006">
      <mc:Choice Requires="x14">
        <oleObject progId="Equation.3" shapeId="3281" r:id="rId76">
          <objectPr defaultSize="0" autoPict="0" r:id="rId77">
            <anchor moveWithCells="1">
              <from>
                <xdr:col>19</xdr:col>
                <xdr:colOff>0</xdr:colOff>
                <xdr:row>1048</xdr:row>
                <xdr:rowOff>38100</xdr:rowOff>
              </from>
              <to>
                <xdr:col>34</xdr:col>
                <xdr:colOff>438150</xdr:colOff>
                <xdr:row>1051</xdr:row>
                <xdr:rowOff>114300</xdr:rowOff>
              </to>
            </anchor>
          </objectPr>
        </oleObject>
      </mc:Choice>
      <mc:Fallback>
        <oleObject progId="Equation.3" shapeId="3281" r:id="rId76"/>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pageSetUpPr fitToPage="1"/>
  </sheetPr>
  <dimension ref="A1:M79"/>
  <sheetViews>
    <sheetView showGridLines="0" workbookViewId="0">
      <selection activeCell="B80" sqref="B80"/>
    </sheetView>
  </sheetViews>
  <sheetFormatPr baseColWidth="10" defaultRowHeight="12.75" x14ac:dyDescent="0.2"/>
  <cols>
    <col min="1" max="1" width="2.140625" customWidth="1"/>
    <col min="2" max="2" width="16.28515625" customWidth="1"/>
    <col min="3" max="4" width="11.42578125" customWidth="1"/>
  </cols>
  <sheetData>
    <row r="1" spans="1:13" x14ac:dyDescent="0.2">
      <c r="A1" s="72"/>
      <c r="B1" s="73"/>
      <c r="C1" s="74"/>
      <c r="D1" s="73"/>
      <c r="E1" s="94"/>
      <c r="F1" s="94"/>
      <c r="G1" s="94"/>
      <c r="H1" s="94"/>
      <c r="I1" s="94"/>
      <c r="J1" s="94"/>
      <c r="K1" s="94"/>
      <c r="L1" s="94"/>
      <c r="M1" s="95"/>
    </row>
    <row r="2" spans="1:13" ht="12.75" customHeight="1" x14ac:dyDescent="0.2">
      <c r="A2" s="77"/>
      <c r="B2" s="2"/>
      <c r="C2" s="809" t="s">
        <v>282</v>
      </c>
      <c r="D2" s="809"/>
      <c r="E2" s="81"/>
      <c r="F2" s="81"/>
      <c r="G2" s="81"/>
      <c r="H2" s="81"/>
      <c r="I2" s="81"/>
      <c r="J2" s="81"/>
      <c r="K2" s="81"/>
      <c r="L2" s="81"/>
      <c r="M2" s="97"/>
    </row>
    <row r="3" spans="1:13" ht="12.75" customHeight="1" x14ac:dyDescent="0.2">
      <c r="A3" s="77"/>
      <c r="B3" s="2"/>
      <c r="C3" s="809"/>
      <c r="D3" s="809"/>
      <c r="E3" s="81"/>
      <c r="F3" s="81"/>
      <c r="G3" s="81"/>
      <c r="H3" s="81"/>
      <c r="I3" s="81"/>
      <c r="J3" s="81"/>
      <c r="K3" s="81"/>
      <c r="L3" s="81"/>
      <c r="M3" s="97"/>
    </row>
    <row r="4" spans="1:13" x14ac:dyDescent="0.2">
      <c r="A4" s="77"/>
      <c r="B4" s="2"/>
      <c r="C4" s="813" t="str">
        <f>IF(Lang="Français","Abaques de performance",IF(Lang="English","Performance charts",""))</f>
        <v>Abaques de performance</v>
      </c>
      <c r="D4" s="813"/>
      <c r="E4" s="81"/>
      <c r="F4" s="81"/>
      <c r="G4" s="81"/>
      <c r="H4" s="81"/>
      <c r="I4" s="81"/>
      <c r="J4" s="81"/>
      <c r="K4" s="81"/>
      <c r="L4" s="81"/>
      <c r="M4" s="97"/>
    </row>
    <row r="5" spans="1:13" x14ac:dyDescent="0.2">
      <c r="A5" s="77"/>
      <c r="B5" s="2"/>
      <c r="C5" s="813" t="str">
        <f>IF(Lang="Français","Calcul analytique simple",IF(Lang="English","Analytical computation",""))</f>
        <v>Calcul analytique simple</v>
      </c>
      <c r="D5" s="813"/>
      <c r="E5" s="81"/>
      <c r="F5" s="81"/>
      <c r="G5" s="81"/>
      <c r="H5" s="81"/>
      <c r="I5" s="81"/>
      <c r="J5" s="81"/>
      <c r="K5" s="81"/>
      <c r="L5" s="81"/>
      <c r="M5" s="97"/>
    </row>
    <row r="6" spans="1:13" x14ac:dyDescent="0.2">
      <c r="A6" s="77"/>
      <c r="B6" s="111"/>
      <c r="C6" s="3"/>
      <c r="D6" s="3"/>
      <c r="E6" s="81"/>
      <c r="F6" s="81"/>
      <c r="G6" s="81"/>
      <c r="H6" s="81"/>
      <c r="I6" s="81"/>
      <c r="J6" s="81"/>
      <c r="K6" s="81"/>
      <c r="L6" s="81"/>
      <c r="M6" s="97"/>
    </row>
    <row r="7" spans="1:13" x14ac:dyDescent="0.2">
      <c r="A7" s="80"/>
      <c r="B7" s="8"/>
      <c r="C7" s="810" t="str">
        <f>IF(Lang="Français","Fusée",IF(Lang="English","Rocket",""))</f>
        <v>Fusée</v>
      </c>
      <c r="D7" s="810"/>
      <c r="E7" s="81"/>
      <c r="F7" s="81"/>
      <c r="G7" s="81"/>
      <c r="H7" s="81"/>
      <c r="I7" s="81"/>
      <c r="J7" s="81"/>
      <c r="K7" s="81"/>
      <c r="L7" s="81"/>
      <c r="M7" s="97"/>
    </row>
    <row r="8" spans="1:13" ht="15.75" x14ac:dyDescent="0.25">
      <c r="A8" s="80"/>
      <c r="B8" s="173" t="str">
        <f>IF(Lang="Français","Nom",IF(Lang="English","Name",""))</f>
        <v>Nom</v>
      </c>
      <c r="C8" s="811" t="str">
        <f>Nom</f>
        <v>Karlvagnen</v>
      </c>
      <c r="D8" s="811"/>
      <c r="E8" s="81"/>
      <c r="F8" s="81"/>
      <c r="G8" s="81"/>
      <c r="H8" s="81"/>
      <c r="I8" s="81"/>
      <c r="J8" s="81"/>
      <c r="K8" s="81"/>
      <c r="L8" s="81"/>
      <c r="M8" s="97"/>
    </row>
    <row r="9" spans="1:13" ht="15.75" x14ac:dyDescent="0.25">
      <c r="A9" s="80"/>
      <c r="B9" s="173" t="s">
        <v>4</v>
      </c>
      <c r="C9" s="811" t="str">
        <f>Club</f>
        <v>AcelSpace</v>
      </c>
      <c r="D9" s="811"/>
      <c r="E9" s="81"/>
      <c r="F9" s="81"/>
      <c r="G9" s="81"/>
      <c r="H9" s="81"/>
      <c r="I9" s="81"/>
      <c r="J9" s="81"/>
      <c r="K9" s="81"/>
      <c r="L9" s="81"/>
      <c r="M9" s="97"/>
    </row>
    <row r="10" spans="1:13" x14ac:dyDescent="0.2">
      <c r="A10" s="80"/>
      <c r="B10" s="173" t="str">
        <f>IF(Lang="Français","Masse sans propu",IF(Lang="English","Mass without M",""))</f>
        <v>Masse sans propu</v>
      </c>
      <c r="C10" s="877">
        <f>MasseSans</f>
        <v>7.73</v>
      </c>
      <c r="D10" s="877"/>
      <c r="E10" s="81"/>
      <c r="F10" s="81"/>
      <c r="G10" s="81"/>
      <c r="H10" s="81"/>
      <c r="I10" s="81"/>
      <c r="J10" s="81"/>
      <c r="K10" s="81"/>
      <c r="L10" s="81"/>
      <c r="M10" s="97"/>
    </row>
    <row r="11" spans="1:13" x14ac:dyDescent="0.2">
      <c r="A11" s="80"/>
      <c r="B11" s="173" t="str">
        <f>IF(Lang="Français","Masse totale",IF(Lang="English","Total mass",""))</f>
        <v>Masse totale</v>
      </c>
      <c r="C11" s="880" t="str">
        <f ca="1">MassePlein &amp; " kg ±" &amp; MasseSans &amp; " kg"</f>
        <v>9,415 kg ±7,73 kg</v>
      </c>
      <c r="D11" s="880"/>
      <c r="E11" s="81"/>
      <c r="F11" s="81"/>
      <c r="G11" s="81"/>
      <c r="H11" s="81"/>
      <c r="I11" s="81"/>
      <c r="J11" s="81"/>
      <c r="K11" s="81"/>
      <c r="L11" s="81"/>
      <c r="M11" s="97"/>
    </row>
    <row r="12" spans="1:13" x14ac:dyDescent="0.2">
      <c r="A12" s="80"/>
      <c r="B12" s="266" t="str">
        <f>IF(Lang="Français","Propulseur",IF(Lang="English","Motor",""))</f>
        <v>Propulseur</v>
      </c>
      <c r="C12" s="838" t="str">
        <f>Propu</f>
        <v>Barasinga (Pro54-5G C)</v>
      </c>
      <c r="D12" s="839"/>
      <c r="E12" s="81"/>
      <c r="F12" s="81"/>
      <c r="G12" s="81"/>
      <c r="H12" s="81"/>
      <c r="I12" s="81"/>
      <c r="J12" s="81"/>
      <c r="K12" s="81"/>
      <c r="L12" s="81"/>
      <c r="M12" s="97"/>
    </row>
    <row r="13" spans="1:13" x14ac:dyDescent="0.2">
      <c r="A13" s="80"/>
      <c r="B13" s="3"/>
      <c r="C13" s="3"/>
      <c r="D13" s="3"/>
      <c r="E13" s="81"/>
      <c r="F13" s="81"/>
      <c r="G13" s="81"/>
      <c r="H13" s="81"/>
      <c r="I13" s="81"/>
      <c r="J13" s="81"/>
      <c r="K13" s="81"/>
      <c r="L13" s="81"/>
      <c r="M13" s="97"/>
    </row>
    <row r="14" spans="1:13" x14ac:dyDescent="0.2">
      <c r="A14" s="96"/>
      <c r="B14" s="81"/>
      <c r="C14" s="810" t="str">
        <f>IF(Lang="Français","Traînée Aérdynamique",IF(Lang="English","Drag",""))</f>
        <v>Traînée Aérdynamique</v>
      </c>
      <c r="D14" s="810"/>
      <c r="E14" s="81"/>
      <c r="F14" s="81"/>
      <c r="G14" s="81"/>
      <c r="H14" s="81"/>
      <c r="I14" s="81"/>
      <c r="J14" s="81"/>
      <c r="K14" s="81"/>
      <c r="L14" s="81"/>
      <c r="M14" s="97"/>
    </row>
    <row r="15" spans="1:13" x14ac:dyDescent="0.2">
      <c r="A15" s="96"/>
      <c r="B15" s="172" t="str">
        <f>IF(Lang="Français","Diamètre Ø",IF(Lang="English","Diameter Ø",""))</f>
        <v>Diamètre Ø</v>
      </c>
      <c r="C15" s="878">
        <f>D_ref</f>
        <v>100</v>
      </c>
      <c r="D15" s="878"/>
      <c r="E15" s="81"/>
      <c r="F15" s="81"/>
      <c r="G15" s="81"/>
      <c r="H15" s="81"/>
      <c r="I15" s="81"/>
      <c r="J15" s="81"/>
      <c r="K15" s="81"/>
      <c r="L15" s="81"/>
      <c r="M15" s="97"/>
    </row>
    <row r="16" spans="1:13" x14ac:dyDescent="0.2">
      <c r="A16" s="96"/>
      <c r="B16" s="173" t="s">
        <v>5</v>
      </c>
      <c r="C16" s="879">
        <f>Cx</f>
        <v>0.6</v>
      </c>
      <c r="D16" s="879"/>
      <c r="E16" s="81"/>
      <c r="F16" s="81"/>
      <c r="G16" s="81"/>
      <c r="H16" s="81"/>
      <c r="I16" s="81"/>
      <c r="J16" s="81"/>
      <c r="K16" s="81"/>
      <c r="L16" s="81"/>
      <c r="M16" s="97"/>
    </row>
    <row r="17" spans="1:13" x14ac:dyDescent="0.2">
      <c r="A17" s="96"/>
      <c r="B17" s="81"/>
      <c r="C17" s="81"/>
      <c r="D17" s="81"/>
      <c r="E17" s="81"/>
      <c r="F17" s="81"/>
      <c r="G17" s="81"/>
      <c r="H17" s="81"/>
      <c r="I17" s="81"/>
      <c r="J17" s="81"/>
      <c r="K17" s="81"/>
      <c r="L17" s="81"/>
      <c r="M17" s="97"/>
    </row>
    <row r="18" spans="1:13" x14ac:dyDescent="0.2">
      <c r="A18" s="96"/>
      <c r="B18" s="81"/>
      <c r="C18" s="81"/>
      <c r="D18" s="81"/>
      <c r="E18" s="81"/>
      <c r="F18" s="81"/>
      <c r="G18" s="81"/>
      <c r="H18" s="81"/>
      <c r="I18" s="81"/>
      <c r="J18" s="81"/>
      <c r="K18" s="81"/>
      <c r="L18" s="81"/>
      <c r="M18" s="97"/>
    </row>
    <row r="19" spans="1:13" x14ac:dyDescent="0.2">
      <c r="A19" s="96"/>
      <c r="B19" s="81"/>
      <c r="C19" s="81"/>
      <c r="D19" s="81"/>
      <c r="E19" s="81"/>
      <c r="F19" s="81"/>
      <c r="G19" s="81"/>
      <c r="H19" s="81"/>
      <c r="I19" s="81"/>
      <c r="J19" s="81"/>
      <c r="K19" s="81"/>
      <c r="L19" s="81"/>
      <c r="M19" s="97"/>
    </row>
    <row r="20" spans="1:13" x14ac:dyDescent="0.2">
      <c r="A20" s="96"/>
      <c r="B20" s="81"/>
      <c r="C20" s="81"/>
      <c r="D20" s="81"/>
      <c r="E20" s="81"/>
      <c r="F20" s="81"/>
      <c r="G20" s="81"/>
      <c r="H20" s="81"/>
      <c r="I20" s="81"/>
      <c r="J20" s="81"/>
      <c r="K20" s="81"/>
      <c r="L20" s="81"/>
      <c r="M20" s="97"/>
    </row>
    <row r="21" spans="1:13" x14ac:dyDescent="0.2">
      <c r="A21" s="96"/>
      <c r="B21" s="81"/>
      <c r="C21" s="81"/>
      <c r="D21" s="81"/>
      <c r="E21" s="81"/>
      <c r="F21" s="81"/>
      <c r="G21" s="81"/>
      <c r="H21" s="81"/>
      <c r="I21" s="81"/>
      <c r="J21" s="81"/>
      <c r="K21" s="81"/>
      <c r="L21" s="81"/>
      <c r="M21" s="97"/>
    </row>
    <row r="22" spans="1:13" x14ac:dyDescent="0.2">
      <c r="A22" s="96"/>
      <c r="B22" s="81"/>
      <c r="C22" s="81"/>
      <c r="D22" s="81"/>
      <c r="E22" s="81"/>
      <c r="F22" s="81"/>
      <c r="G22" s="81"/>
      <c r="H22" s="81"/>
      <c r="I22" s="81"/>
      <c r="J22" s="81"/>
      <c r="K22" s="81"/>
      <c r="L22" s="81"/>
      <c r="M22" s="97"/>
    </row>
    <row r="23" spans="1:13" x14ac:dyDescent="0.2">
      <c r="A23" s="96"/>
      <c r="B23" s="81"/>
      <c r="C23" s="81"/>
      <c r="D23" s="81"/>
      <c r="E23" s="81"/>
      <c r="F23" s="81"/>
      <c r="G23" s="81"/>
      <c r="H23" s="81"/>
      <c r="I23" s="81"/>
      <c r="J23" s="81"/>
      <c r="K23" s="81"/>
      <c r="L23" s="81"/>
      <c r="M23" s="97"/>
    </row>
    <row r="24" spans="1:13" x14ac:dyDescent="0.2">
      <c r="A24" s="96"/>
      <c r="B24" s="81"/>
      <c r="C24" s="81"/>
      <c r="D24" s="81"/>
      <c r="E24" s="81"/>
      <c r="F24" s="81"/>
      <c r="G24" s="81"/>
      <c r="H24" s="81"/>
      <c r="I24" s="81"/>
      <c r="J24" s="81"/>
      <c r="K24" s="81"/>
      <c r="L24" s="81"/>
      <c r="M24" s="97"/>
    </row>
    <row r="25" spans="1:13" x14ac:dyDescent="0.2">
      <c r="A25" s="96"/>
      <c r="B25" s="81"/>
      <c r="C25" s="81"/>
      <c r="D25" s="81"/>
      <c r="E25" s="81"/>
      <c r="F25" s="81"/>
      <c r="G25" s="81"/>
      <c r="H25" s="81"/>
      <c r="I25" s="81"/>
      <c r="J25" s="81"/>
      <c r="K25" s="81"/>
      <c r="L25" s="81"/>
      <c r="M25" s="97"/>
    </row>
    <row r="26" spans="1:13" x14ac:dyDescent="0.2">
      <c r="A26" s="96"/>
      <c r="B26" s="81"/>
      <c r="C26" s="81"/>
      <c r="D26" s="81"/>
      <c r="E26" s="81"/>
      <c r="F26" s="81"/>
      <c r="G26" s="81"/>
      <c r="H26" s="81"/>
      <c r="I26" s="81"/>
      <c r="J26" s="81"/>
      <c r="K26" s="81"/>
      <c r="L26" s="81"/>
      <c r="M26" s="97"/>
    </row>
    <row r="27" spans="1:13" x14ac:dyDescent="0.2">
      <c r="A27" s="96"/>
      <c r="B27" s="81"/>
      <c r="C27" s="81"/>
      <c r="D27" s="81"/>
      <c r="E27" s="81"/>
      <c r="F27" s="81"/>
      <c r="G27" s="81"/>
      <c r="H27" s="81"/>
      <c r="I27" s="81"/>
      <c r="J27" s="81"/>
      <c r="K27" s="81"/>
      <c r="L27" s="81"/>
      <c r="M27" s="97"/>
    </row>
    <row r="28" spans="1:13" x14ac:dyDescent="0.2">
      <c r="A28" s="96"/>
      <c r="B28" s="81"/>
      <c r="C28" s="81"/>
      <c r="D28" s="81"/>
      <c r="E28" s="81"/>
      <c r="F28" s="81"/>
      <c r="G28" s="81"/>
      <c r="H28" s="81"/>
      <c r="I28" s="81"/>
      <c r="J28" s="81"/>
      <c r="K28" s="81"/>
      <c r="L28" s="81"/>
      <c r="M28" s="97"/>
    </row>
    <row r="29" spans="1:13" x14ac:dyDescent="0.2">
      <c r="A29" s="96"/>
      <c r="B29" s="81"/>
      <c r="C29" s="81"/>
      <c r="D29" s="81"/>
      <c r="E29" s="81"/>
      <c r="F29" s="81"/>
      <c r="G29" s="81"/>
      <c r="H29" s="81"/>
      <c r="I29" s="81"/>
      <c r="J29" s="81"/>
      <c r="K29" s="81"/>
      <c r="L29" s="81"/>
      <c r="M29" s="97"/>
    </row>
    <row r="30" spans="1:13" x14ac:dyDescent="0.2">
      <c r="A30" s="96"/>
      <c r="B30" s="81"/>
      <c r="C30" s="81"/>
      <c r="D30" s="81"/>
      <c r="E30" s="81"/>
      <c r="F30" s="81"/>
      <c r="G30" s="81"/>
      <c r="H30" s="81"/>
      <c r="I30" s="81"/>
      <c r="J30" s="81"/>
      <c r="K30" s="81"/>
      <c r="L30" s="81"/>
      <c r="M30" s="97"/>
    </row>
    <row r="31" spans="1:13" x14ac:dyDescent="0.2">
      <c r="A31" s="96"/>
      <c r="B31" s="81"/>
      <c r="C31" s="81"/>
      <c r="D31" s="81"/>
      <c r="E31" s="81"/>
      <c r="F31" s="81"/>
      <c r="G31" s="81"/>
      <c r="H31" s="81"/>
      <c r="I31" s="81"/>
      <c r="J31" s="81"/>
      <c r="K31" s="81"/>
      <c r="L31" s="81"/>
      <c r="M31" s="97"/>
    </row>
    <row r="32" spans="1:13" x14ac:dyDescent="0.2">
      <c r="A32" s="96"/>
      <c r="B32" s="81"/>
      <c r="C32" s="81"/>
      <c r="D32" s="81"/>
      <c r="E32" s="81"/>
      <c r="F32" s="81"/>
      <c r="G32" s="81"/>
      <c r="H32" s="81"/>
      <c r="I32" s="81"/>
      <c r="J32" s="81"/>
      <c r="K32" s="81"/>
      <c r="L32" s="81"/>
      <c r="M32" s="97"/>
    </row>
    <row r="33" spans="1:13" x14ac:dyDescent="0.2">
      <c r="A33" s="96"/>
      <c r="B33" s="81"/>
      <c r="C33" s="81"/>
      <c r="D33" s="81"/>
      <c r="E33" s="81"/>
      <c r="F33" s="81"/>
      <c r="G33" s="81"/>
      <c r="H33" s="81"/>
      <c r="I33" s="81"/>
      <c r="J33" s="81"/>
      <c r="K33" s="81"/>
      <c r="L33" s="81"/>
      <c r="M33" s="97"/>
    </row>
    <row r="34" spans="1:13" x14ac:dyDescent="0.2">
      <c r="A34" s="96"/>
      <c r="B34" s="81"/>
      <c r="C34" s="81"/>
      <c r="D34" s="81"/>
      <c r="E34" s="81"/>
      <c r="F34" s="81"/>
      <c r="G34" s="81"/>
      <c r="H34" s="81"/>
      <c r="I34" s="81"/>
      <c r="J34" s="81"/>
      <c r="K34" s="81"/>
      <c r="L34" s="81"/>
      <c r="M34" s="97"/>
    </row>
    <row r="35" spans="1:13" ht="13.5" thickBot="1" x14ac:dyDescent="0.25">
      <c r="A35" s="99"/>
      <c r="B35" s="102"/>
      <c r="C35" s="102"/>
      <c r="D35" s="102"/>
      <c r="E35" s="102"/>
      <c r="F35" s="102"/>
      <c r="G35" s="102"/>
      <c r="H35" s="102"/>
      <c r="I35" s="102"/>
      <c r="J35" s="102"/>
      <c r="K35" s="102"/>
      <c r="L35" s="102"/>
      <c r="M35" s="101"/>
    </row>
    <row r="39" spans="1:13" x14ac:dyDescent="0.2">
      <c r="B39" s="480" t="s">
        <v>62</v>
      </c>
      <c r="C39" s="203" t="s">
        <v>286</v>
      </c>
      <c r="D39" s="167" t="s">
        <v>283</v>
      </c>
      <c r="E39" s="167" t="s">
        <v>287</v>
      </c>
      <c r="F39" s="167" t="s">
        <v>288</v>
      </c>
      <c r="G39" s="167" t="s">
        <v>13</v>
      </c>
      <c r="H39" s="167" t="s">
        <v>284</v>
      </c>
      <c r="I39" s="167" t="s">
        <v>285</v>
      </c>
      <c r="J39" s="167" t="s">
        <v>300</v>
      </c>
      <c r="K39" s="167" t="s">
        <v>301</v>
      </c>
      <c r="L39" s="167" t="s">
        <v>303</v>
      </c>
      <c r="M39" s="167" t="s">
        <v>291</v>
      </c>
    </row>
    <row r="40" spans="1:13" x14ac:dyDescent="0.2">
      <c r="B40" s="481" t="s">
        <v>292</v>
      </c>
      <c r="C40" s="203" t="s">
        <v>293</v>
      </c>
      <c r="D40" s="167" t="s">
        <v>294</v>
      </c>
      <c r="E40" s="167" t="s">
        <v>295</v>
      </c>
      <c r="F40" s="167" t="s">
        <v>296</v>
      </c>
      <c r="G40" s="167" t="s">
        <v>297</v>
      </c>
      <c r="H40" s="167" t="s">
        <v>298</v>
      </c>
      <c r="I40" s="167" t="s">
        <v>299</v>
      </c>
      <c r="J40" s="167" t="s">
        <v>289</v>
      </c>
      <c r="K40" s="167" t="s">
        <v>290</v>
      </c>
      <c r="L40" s="167"/>
      <c r="M40" s="167"/>
    </row>
    <row r="41" spans="1:13" x14ac:dyDescent="0.2">
      <c r="B41" s="489">
        <f t="shared" ref="B41:B49" ca="1" si="0">MAX(D_ref*0.5, Diam_propu)</f>
        <v>54</v>
      </c>
      <c r="C41" s="464">
        <f t="shared" ref="C41:C67" ca="1" si="1">1/2*Rho_moyen*PI()*D_var^2/4*Cx/10^6</f>
        <v>8.4165623384160752E-4</v>
      </c>
      <c r="D41" s="461">
        <f ca="1">MpropuPlein+0*MasseSans</f>
        <v>1.6850000000000001</v>
      </c>
      <c r="E41" s="461">
        <f t="shared" ref="E41:E67" ca="1" si="2">m_var - 0.5*m_poudre</f>
        <v>1.1685000000000001</v>
      </c>
      <c r="F41" s="461">
        <f t="shared" ref="F41:F67" ca="1" si="3">m_var - m_poudre</f>
        <v>0.65200000000000014</v>
      </c>
      <c r="G41" s="468">
        <f t="shared" ref="G41:G67" ca="1" si="4">MAX(0, (I_total/Temps_fin_propu)/m_prop-g)</f>
        <v>480.87217115245477</v>
      </c>
      <c r="H41" s="467">
        <f t="shared" ref="H41:H67" ca="1" si="5">Q_var/m_prop</f>
        <v>7.2028774825982661E-4</v>
      </c>
      <c r="I41" s="464">
        <f t="shared" ref="I41:I67" ca="1" si="6">Q_var/m_bal</f>
        <v>1.290883794235594E-3</v>
      </c>
      <c r="J41" s="464">
        <f t="shared" ref="J41:J67" ca="1" si="7">1/(2*b_prop)*LN(  ((EXP(2*SQRT(a_prop*b_prop)*Temps_fin_propu)+1)^2)  /  (((1+1)^2)*EXP(2*SQRT(a_prop*b_prop)*Temps_fin_propu)))</f>
        <v>1991.1236899685493</v>
      </c>
      <c r="K41" s="471">
        <f t="shared" ref="K41:K67" ca="1" si="8">SQRT(a_prop/b_prop)  *  (EXP(2*SQRT(a_prop*b_prop)*Temps_fin_propu)-1)/(EXP(2*SQRT(a_prop*b_prop)*Temps_fin_propu)+1)</f>
        <v>793.5341125462329</v>
      </c>
      <c r="L41" s="474">
        <f t="shared" ref="L41:L67" ca="1" si="9">alt_prop + 1/(2*b_bal) * LN(1+b_bal/g*V_prop^2)</f>
        <v>3706.6765556662222</v>
      </c>
      <c r="M41" s="477">
        <f t="shared" ref="M41:M67" ca="1" si="10">Temps_fin_propu + ATAN(SQRT(b_bal/g)*V_prop)/SQRT(b_bal*g)</f>
        <v>16.576277929342474</v>
      </c>
    </row>
    <row r="42" spans="1:13" x14ac:dyDescent="0.2">
      <c r="B42" s="490">
        <f t="shared" ca="1" si="0"/>
        <v>54</v>
      </c>
      <c r="C42" s="465">
        <f t="shared" ca="1" si="1"/>
        <v>8.4165623384160752E-4</v>
      </c>
      <c r="D42" s="462">
        <f ca="1">MpropuPlein+0.25*MasseSans</f>
        <v>3.6175000000000002</v>
      </c>
      <c r="E42" s="462">
        <f t="shared" ca="1" si="2"/>
        <v>3.101</v>
      </c>
      <c r="F42" s="462">
        <f t="shared" ca="1" si="3"/>
        <v>2.5845000000000002</v>
      </c>
      <c r="G42" s="469">
        <f t="shared" ca="1" si="4"/>
        <v>175.08587777866606</v>
      </c>
      <c r="H42" s="465">
        <f t="shared" ca="1" si="5"/>
        <v>2.7141445786572319E-4</v>
      </c>
      <c r="I42" s="465">
        <f t="shared" ca="1" si="6"/>
        <v>3.2565534294509864E-4</v>
      </c>
      <c r="J42" s="465">
        <f t="shared" ca="1" si="7"/>
        <v>1028.9822440611892</v>
      </c>
      <c r="K42" s="472">
        <f t="shared" ca="1" si="8"/>
        <v>525.4301626954491</v>
      </c>
      <c r="L42" s="475">
        <f t="shared" ca="1" si="9"/>
        <v>4589.3766168444445</v>
      </c>
      <c r="M42" s="478">
        <f t="shared" ca="1" si="10"/>
        <v>25.736557200465661</v>
      </c>
    </row>
    <row r="43" spans="1:13" x14ac:dyDescent="0.2">
      <c r="B43" s="490">
        <f t="shared" ca="1" si="0"/>
        <v>54</v>
      </c>
      <c r="C43" s="465">
        <f t="shared" ca="1" si="1"/>
        <v>8.4165623384160752E-4</v>
      </c>
      <c r="D43" s="462">
        <f ca="1">MpropuPlein+0.5*MasseSans</f>
        <v>5.5500000000000007</v>
      </c>
      <c r="E43" s="462">
        <f t="shared" ca="1" si="2"/>
        <v>5.033500000000001</v>
      </c>
      <c r="F43" s="462">
        <f t="shared" ca="1" si="3"/>
        <v>4.5170000000000012</v>
      </c>
      <c r="G43" s="469">
        <f t="shared" ca="1" si="4"/>
        <v>104.09923154696401</v>
      </c>
      <c r="H43" s="465">
        <f t="shared" ca="1" si="5"/>
        <v>1.6721093351377916E-4</v>
      </c>
      <c r="I43" s="465">
        <f t="shared" ca="1" si="6"/>
        <v>1.8633080226734719E-4</v>
      </c>
      <c r="J43" s="465">
        <f t="shared" ca="1" si="7"/>
        <v>647.14418328625754</v>
      </c>
      <c r="K43" s="472">
        <f t="shared" ca="1" si="8"/>
        <v>348.06910948881563</v>
      </c>
      <c r="L43" s="475">
        <f t="shared" ca="1" si="9"/>
        <v>3851.8574605718813</v>
      </c>
      <c r="M43" s="478">
        <f t="shared" ca="1" si="10"/>
        <v>26.698260250532879</v>
      </c>
    </row>
    <row r="44" spans="1:13" x14ac:dyDescent="0.2">
      <c r="B44" s="490">
        <f t="shared" ca="1" si="0"/>
        <v>54</v>
      </c>
      <c r="C44" s="465">
        <f t="shared" ca="1" si="1"/>
        <v>8.4165623384160752E-4</v>
      </c>
      <c r="D44" s="462">
        <f ca="1">MpropuPlein+0.75*MasseSans</f>
        <v>7.4824999999999999</v>
      </c>
      <c r="E44" s="462">
        <f t="shared" ca="1" si="2"/>
        <v>6.9660000000000002</v>
      </c>
      <c r="F44" s="462">
        <f t="shared" ca="1" si="3"/>
        <v>6.4495000000000005</v>
      </c>
      <c r="G44" s="469">
        <f t="shared" ca="1" si="4"/>
        <v>72.498658769974654</v>
      </c>
      <c r="H44" s="465">
        <f t="shared" ca="1" si="5"/>
        <v>1.2082346164823535E-4</v>
      </c>
      <c r="I44" s="465">
        <f t="shared" ca="1" si="6"/>
        <v>1.3049945481690168E-4</v>
      </c>
      <c r="J44" s="465">
        <f t="shared" ca="1" si="7"/>
        <v>458.65048464655297</v>
      </c>
      <c r="K44" s="472">
        <f t="shared" ca="1" si="8"/>
        <v>250.89884713626304</v>
      </c>
      <c r="L44" s="475">
        <f t="shared" ca="1" si="9"/>
        <v>2789.5253358110513</v>
      </c>
      <c r="M44" s="478">
        <f t="shared" ca="1" si="10"/>
        <v>24.302626147780835</v>
      </c>
    </row>
    <row r="45" spans="1:13" x14ac:dyDescent="0.2">
      <c r="B45" s="490">
        <f t="shared" ca="1" si="0"/>
        <v>54</v>
      </c>
      <c r="C45" s="465">
        <f t="shared" ca="1" si="1"/>
        <v>8.4165623384160752E-4</v>
      </c>
      <c r="D45" s="462">
        <f ca="1">MpropuPlein+1*MasseSans</f>
        <v>9.4150000000000009</v>
      </c>
      <c r="E45" s="462">
        <f t="shared" ca="1" si="2"/>
        <v>8.8985000000000003</v>
      </c>
      <c r="F45" s="462">
        <f t="shared" ca="1" si="3"/>
        <v>8.3820000000000014</v>
      </c>
      <c r="G45" s="469">
        <f t="shared" ca="1" si="4"/>
        <v>54.623569364684315</v>
      </c>
      <c r="H45" s="465">
        <f t="shared" ca="1" si="5"/>
        <v>9.4584057295230369E-5</v>
      </c>
      <c r="I45" s="465">
        <f t="shared" ca="1" si="6"/>
        <v>1.0041233999541964E-4</v>
      </c>
      <c r="J45" s="465">
        <f t="shared" ca="1" si="7"/>
        <v>348.15862169245651</v>
      </c>
      <c r="K45" s="472">
        <f t="shared" ca="1" si="8"/>
        <v>191.85898527245055</v>
      </c>
      <c r="L45" s="475">
        <f t="shared" ca="1" si="9"/>
        <v>1940.3134776786428</v>
      </c>
      <c r="M45" s="478">
        <f t="shared" ca="1" si="10"/>
        <v>21.130608417521142</v>
      </c>
    </row>
    <row r="46" spans="1:13" x14ac:dyDescent="0.2">
      <c r="B46" s="490">
        <f t="shared" ca="1" si="0"/>
        <v>54</v>
      </c>
      <c r="C46" s="465">
        <f t="shared" ca="1" si="1"/>
        <v>8.4165623384160752E-4</v>
      </c>
      <c r="D46" s="462">
        <f ca="1">MpropuPlein+1.25*MasseSans</f>
        <v>11.347500000000002</v>
      </c>
      <c r="E46" s="462">
        <f t="shared" ca="1" si="2"/>
        <v>10.831000000000001</v>
      </c>
      <c r="F46" s="462">
        <f t="shared" ca="1" si="3"/>
        <v>10.314500000000002</v>
      </c>
      <c r="G46" s="469">
        <f t="shared" ca="1" si="4"/>
        <v>43.127135720768479</v>
      </c>
      <c r="H46" s="465">
        <f t="shared" ca="1" si="5"/>
        <v>7.770808178761033E-5</v>
      </c>
      <c r="I46" s="465">
        <f t="shared" ca="1" si="6"/>
        <v>8.1599324624713493E-5</v>
      </c>
      <c r="J46" s="465">
        <f t="shared" ca="1" si="7"/>
        <v>275.93554688040427</v>
      </c>
      <c r="K46" s="472">
        <f t="shared" ca="1" si="8"/>
        <v>152.63516766603738</v>
      </c>
      <c r="L46" s="475">
        <f t="shared" ca="1" si="9"/>
        <v>1361.3085286926996</v>
      </c>
      <c r="M46" s="478">
        <f t="shared" ca="1" si="10"/>
        <v>18.246873263929302</v>
      </c>
    </row>
    <row r="47" spans="1:13" x14ac:dyDescent="0.2">
      <c r="B47" s="490">
        <f t="shared" ca="1" si="0"/>
        <v>54</v>
      </c>
      <c r="C47" s="465">
        <f t="shared" ca="1" si="1"/>
        <v>8.4165623384160752E-4</v>
      </c>
      <c r="D47" s="462">
        <f ca="1">MpropuPlein+1.5*MasseSans</f>
        <v>13.280000000000001</v>
      </c>
      <c r="E47" s="462">
        <f t="shared" ca="1" si="2"/>
        <v>12.763500000000001</v>
      </c>
      <c r="F47" s="462">
        <f t="shared" ca="1" si="3"/>
        <v>12.247000000000002</v>
      </c>
      <c r="G47" s="469">
        <f t="shared" ca="1" si="4"/>
        <v>35.11201331857589</v>
      </c>
      <c r="H47" s="465">
        <f t="shared" ca="1" si="5"/>
        <v>6.5942432235797975E-5</v>
      </c>
      <c r="I47" s="465">
        <f t="shared" ca="1" si="6"/>
        <v>6.8723461569495176E-5</v>
      </c>
      <c r="J47" s="465">
        <f t="shared" ca="1" si="7"/>
        <v>225.14713172405206</v>
      </c>
      <c r="K47" s="472">
        <f t="shared" ca="1" si="8"/>
        <v>124.81308568976426</v>
      </c>
      <c r="L47" s="475">
        <f t="shared" ca="1" si="9"/>
        <v>978.73742105421877</v>
      </c>
      <c r="M47" s="478">
        <f t="shared" ca="1" si="10"/>
        <v>15.878339568825421</v>
      </c>
    </row>
    <row r="48" spans="1:13" x14ac:dyDescent="0.2">
      <c r="B48" s="490">
        <f t="shared" ca="1" si="0"/>
        <v>54</v>
      </c>
      <c r="C48" s="465">
        <f t="shared" ca="1" si="1"/>
        <v>8.4165623384160752E-4</v>
      </c>
      <c r="D48" s="462">
        <f ca="1">MpropuPlein+1.75*MasseSans</f>
        <v>15.2125</v>
      </c>
      <c r="E48" s="462">
        <f t="shared" ca="1" si="2"/>
        <v>14.696</v>
      </c>
      <c r="F48" s="462">
        <f t="shared" ca="1" si="3"/>
        <v>14.179500000000001</v>
      </c>
      <c r="G48" s="469">
        <f t="shared" ca="1" si="4"/>
        <v>29.204841929208179</v>
      </c>
      <c r="H48" s="465">
        <f t="shared" ca="1" si="5"/>
        <v>5.7271110087207919E-5</v>
      </c>
      <c r="I48" s="465">
        <f t="shared" ca="1" si="6"/>
        <v>5.9357257579012482E-5</v>
      </c>
      <c r="J48" s="465">
        <f t="shared" ca="1" si="7"/>
        <v>187.52517499732116</v>
      </c>
      <c r="K48" s="472">
        <f t="shared" ca="1" si="8"/>
        <v>104.09845392703114</v>
      </c>
      <c r="L48" s="475">
        <f t="shared" ca="1" si="9"/>
        <v>722.49088308379805</v>
      </c>
      <c r="M48" s="478">
        <f t="shared" ca="1" si="10"/>
        <v>13.978255786104395</v>
      </c>
    </row>
    <row r="49" spans="2:13" x14ac:dyDescent="0.2">
      <c r="B49" s="491">
        <f t="shared" ca="1" si="0"/>
        <v>54</v>
      </c>
      <c r="C49" s="466">
        <f t="shared" ca="1" si="1"/>
        <v>8.4165623384160752E-4</v>
      </c>
      <c r="D49" s="463">
        <f ca="1">MpropuPlein+2*MasseSans</f>
        <v>17.145</v>
      </c>
      <c r="E49" s="463">
        <f t="shared" ca="1" si="2"/>
        <v>16.628499999999999</v>
      </c>
      <c r="F49" s="463">
        <f t="shared" ca="1" si="3"/>
        <v>16.111999999999998</v>
      </c>
      <c r="G49" s="470">
        <f t="shared" ca="1" si="4"/>
        <v>24.670687794548122</v>
      </c>
      <c r="H49" s="466">
        <f t="shared" ca="1" si="5"/>
        <v>5.0615283028632021E-5</v>
      </c>
      <c r="I49" s="466">
        <f t="shared" ca="1" si="6"/>
        <v>5.2237849667428478E-5</v>
      </c>
      <c r="J49" s="466">
        <f t="shared" ca="1" si="7"/>
        <v>158.55454372166261</v>
      </c>
      <c r="K49" s="473">
        <f t="shared" ca="1" si="8"/>
        <v>88.095684713799457</v>
      </c>
      <c r="L49" s="476">
        <f t="shared" ca="1" si="9"/>
        <v>546.15760167035467</v>
      </c>
      <c r="M49" s="479">
        <f t="shared" ca="1" si="10"/>
        <v>12.449466004237792</v>
      </c>
    </row>
    <row r="50" spans="2:13" x14ac:dyDescent="0.2">
      <c r="B50" s="489">
        <f t="shared" ref="B50:B58" si="11">D_ref</f>
        <v>100</v>
      </c>
      <c r="C50" s="464">
        <f t="shared" si="1"/>
        <v>2.8863382504856227E-3</v>
      </c>
      <c r="D50" s="461">
        <f ca="1">MpropuPlein+0*MasseSans</f>
        <v>1.6850000000000001</v>
      </c>
      <c r="E50" s="461">
        <f t="shared" ca="1" si="2"/>
        <v>1.1685000000000001</v>
      </c>
      <c r="F50" s="461">
        <f t="shared" ca="1" si="3"/>
        <v>0.65200000000000014</v>
      </c>
      <c r="G50" s="468">
        <f t="shared" ca="1" si="4"/>
        <v>480.87217115245477</v>
      </c>
      <c r="H50" s="464">
        <f t="shared" ca="1" si="5"/>
        <v>2.4701225934836307E-3</v>
      </c>
      <c r="I50" s="464">
        <f t="shared" ca="1" si="6"/>
        <v>4.426899157186537E-3</v>
      </c>
      <c r="J50" s="464">
        <f t="shared" ca="1" si="7"/>
        <v>1303.5304243802202</v>
      </c>
      <c r="K50" s="471">
        <f t="shared" ca="1" si="8"/>
        <v>440.8679750600275</v>
      </c>
      <c r="L50" s="474">
        <f t="shared" ca="1" si="9"/>
        <v>1810.1344051594069</v>
      </c>
      <c r="M50" s="477">
        <f t="shared" ca="1" si="10"/>
        <v>10.617197358594709</v>
      </c>
    </row>
    <row r="51" spans="2:13" x14ac:dyDescent="0.2">
      <c r="B51" s="490">
        <f t="shared" si="11"/>
        <v>100</v>
      </c>
      <c r="C51" s="465">
        <f t="shared" si="1"/>
        <v>2.8863382504856227E-3</v>
      </c>
      <c r="D51" s="462">
        <f ca="1">MpropuPlein+0.25*MasseSans</f>
        <v>3.6175000000000002</v>
      </c>
      <c r="E51" s="462">
        <f t="shared" ca="1" si="2"/>
        <v>3.101</v>
      </c>
      <c r="F51" s="462">
        <f t="shared" ca="1" si="3"/>
        <v>2.5845000000000002</v>
      </c>
      <c r="G51" s="469">
        <f t="shared" ca="1" si="4"/>
        <v>175.08587777866606</v>
      </c>
      <c r="H51" s="465">
        <f t="shared" ca="1" si="5"/>
        <v>9.307766044777887E-4</v>
      </c>
      <c r="I51" s="465">
        <f t="shared" ca="1" si="6"/>
        <v>1.1167878701820943E-3</v>
      </c>
      <c r="J51" s="465">
        <f t="shared" ca="1" si="7"/>
        <v>869.96403595156505</v>
      </c>
      <c r="K51" s="472">
        <f t="shared" ca="1" si="8"/>
        <v>388.40946489416342</v>
      </c>
      <c r="L51" s="475">
        <f t="shared" ca="1" si="9"/>
        <v>2168.3365694395015</v>
      </c>
      <c r="M51" s="478">
        <f t="shared" ca="1" si="10"/>
        <v>16.335091648912972</v>
      </c>
    </row>
    <row r="52" spans="2:13" x14ac:dyDescent="0.2">
      <c r="B52" s="490">
        <f t="shared" si="11"/>
        <v>100</v>
      </c>
      <c r="C52" s="465">
        <f t="shared" si="1"/>
        <v>2.8863382504856227E-3</v>
      </c>
      <c r="D52" s="462">
        <f ca="1">MpropuPlein+0.5*MasseSans</f>
        <v>5.5500000000000007</v>
      </c>
      <c r="E52" s="462">
        <f t="shared" ca="1" si="2"/>
        <v>5.033500000000001</v>
      </c>
      <c r="F52" s="462">
        <f t="shared" ca="1" si="3"/>
        <v>4.5170000000000012</v>
      </c>
      <c r="G52" s="469">
        <f t="shared" ca="1" si="4"/>
        <v>104.09923154696401</v>
      </c>
      <c r="H52" s="465">
        <f t="shared" ca="1" si="5"/>
        <v>5.7342569792105333E-4</v>
      </c>
      <c r="I52" s="465">
        <f t="shared" ca="1" si="6"/>
        <v>6.3899452080708923E-4</v>
      </c>
      <c r="J52" s="465">
        <f t="shared" ca="1" si="7"/>
        <v>599.14861165561479</v>
      </c>
      <c r="K52" s="472">
        <f t="shared" ca="1" si="8"/>
        <v>300.37005628556784</v>
      </c>
      <c r="L52" s="475">
        <f t="shared" ca="1" si="9"/>
        <v>2107.8895510174425</v>
      </c>
      <c r="M52" s="478">
        <f t="shared" ca="1" si="10"/>
        <v>18.488263220234025</v>
      </c>
    </row>
    <row r="53" spans="2:13" x14ac:dyDescent="0.2">
      <c r="B53" s="490">
        <f t="shared" si="11"/>
        <v>100</v>
      </c>
      <c r="C53" s="465">
        <f t="shared" si="1"/>
        <v>2.8863382504856227E-3</v>
      </c>
      <c r="D53" s="462">
        <f ca="1">MpropuPlein+0.75*MasseSans</f>
        <v>7.4824999999999999</v>
      </c>
      <c r="E53" s="462">
        <f t="shared" ca="1" si="2"/>
        <v>6.9660000000000002</v>
      </c>
      <c r="F53" s="462">
        <f t="shared" ca="1" si="3"/>
        <v>6.4495000000000005</v>
      </c>
      <c r="G53" s="469">
        <f t="shared" ca="1" si="4"/>
        <v>72.498658769974654</v>
      </c>
      <c r="H53" s="465">
        <f t="shared" ca="1" si="5"/>
        <v>4.1434657629710347E-4</v>
      </c>
      <c r="I53" s="465">
        <f t="shared" ca="1" si="6"/>
        <v>4.4752899457099348E-4</v>
      </c>
      <c r="J53" s="465">
        <f t="shared" ca="1" si="7"/>
        <v>439.82670664397858</v>
      </c>
      <c r="K53" s="472">
        <f t="shared" ca="1" si="8"/>
        <v>231.17898983141211</v>
      </c>
      <c r="L53" s="475">
        <f t="shared" ca="1" si="9"/>
        <v>1819.5302888067586</v>
      </c>
      <c r="M53" s="478">
        <f t="shared" ca="1" si="10"/>
        <v>18.700001422613056</v>
      </c>
    </row>
    <row r="54" spans="2:13" x14ac:dyDescent="0.2">
      <c r="B54" s="490">
        <f t="shared" si="11"/>
        <v>100</v>
      </c>
      <c r="C54" s="465">
        <f t="shared" si="1"/>
        <v>2.8863382504856227E-3</v>
      </c>
      <c r="D54" s="462">
        <f ca="1">MpropuPlein+1*MasseSans</f>
        <v>9.4150000000000009</v>
      </c>
      <c r="E54" s="462">
        <f t="shared" ca="1" si="2"/>
        <v>8.8985000000000003</v>
      </c>
      <c r="F54" s="462">
        <f t="shared" ca="1" si="3"/>
        <v>8.3820000000000014</v>
      </c>
      <c r="G54" s="469">
        <f t="shared" ca="1" si="4"/>
        <v>54.623569364684315</v>
      </c>
      <c r="H54" s="465">
        <f t="shared" ca="1" si="5"/>
        <v>3.2436233640339637E-4</v>
      </c>
      <c r="I54" s="465">
        <f t="shared" ca="1" si="6"/>
        <v>3.4434958846165856E-4</v>
      </c>
      <c r="J54" s="465">
        <f t="shared" ca="1" si="7"/>
        <v>339.3637283010608</v>
      </c>
      <c r="K54" s="472">
        <f t="shared" ca="1" si="8"/>
        <v>182.4203225443969</v>
      </c>
      <c r="L54" s="475">
        <f t="shared" ca="1" si="9"/>
        <v>1463.0001168805479</v>
      </c>
      <c r="M54" s="478">
        <f t="shared" ca="1" si="10"/>
        <v>17.770756343041676</v>
      </c>
    </row>
    <row r="55" spans="2:13" x14ac:dyDescent="0.2">
      <c r="B55" s="490">
        <f t="shared" si="11"/>
        <v>100</v>
      </c>
      <c r="C55" s="465">
        <f t="shared" si="1"/>
        <v>2.8863382504856227E-3</v>
      </c>
      <c r="D55" s="462">
        <f ca="1">MpropuPlein+1.25*MasseSans</f>
        <v>11.347500000000002</v>
      </c>
      <c r="E55" s="462">
        <f t="shared" ca="1" si="2"/>
        <v>10.831000000000001</v>
      </c>
      <c r="F55" s="462">
        <f t="shared" ca="1" si="3"/>
        <v>10.314500000000002</v>
      </c>
      <c r="G55" s="469">
        <f t="shared" ca="1" si="4"/>
        <v>43.127135720768479</v>
      </c>
      <c r="H55" s="465">
        <f t="shared" ca="1" si="5"/>
        <v>2.6648862067081731E-4</v>
      </c>
      <c r="I55" s="465">
        <f t="shared" ca="1" si="6"/>
        <v>2.7983307484469652E-4</v>
      </c>
      <c r="J55" s="465">
        <f t="shared" ca="1" si="7"/>
        <v>271.31196037420511</v>
      </c>
      <c r="K55" s="472">
        <f t="shared" ca="1" si="8"/>
        <v>147.60934403440621</v>
      </c>
      <c r="L55" s="475">
        <f t="shared" ca="1" si="9"/>
        <v>1134.980956177792</v>
      </c>
      <c r="M55" s="478">
        <f t="shared" ca="1" si="10"/>
        <v>16.331992884643896</v>
      </c>
    </row>
    <row r="56" spans="2:13" x14ac:dyDescent="0.2">
      <c r="B56" s="490">
        <f t="shared" si="11"/>
        <v>100</v>
      </c>
      <c r="C56" s="465">
        <f t="shared" si="1"/>
        <v>2.8863382504856227E-3</v>
      </c>
      <c r="D56" s="462">
        <f ca="1">MpropuPlein+1.5*MasseSans</f>
        <v>13.280000000000001</v>
      </c>
      <c r="E56" s="462">
        <f t="shared" ca="1" si="2"/>
        <v>12.763500000000001</v>
      </c>
      <c r="F56" s="462">
        <f t="shared" ca="1" si="3"/>
        <v>12.247000000000002</v>
      </c>
      <c r="G56" s="469">
        <f t="shared" ca="1" si="4"/>
        <v>35.11201331857589</v>
      </c>
      <c r="H56" s="465">
        <f t="shared" ca="1" si="5"/>
        <v>2.261400282434773E-4</v>
      </c>
      <c r="I56" s="465">
        <f t="shared" ca="1" si="6"/>
        <v>2.3567716587618375E-4</v>
      </c>
      <c r="J56" s="465">
        <f t="shared" ca="1" si="7"/>
        <v>222.50661948487038</v>
      </c>
      <c r="K56" s="472">
        <f t="shared" ca="1" si="8"/>
        <v>121.92130875274152</v>
      </c>
      <c r="L56" s="475">
        <f t="shared" ca="1" si="9"/>
        <v>870.34389122679318</v>
      </c>
      <c r="M56" s="478">
        <f t="shared" ca="1" si="10"/>
        <v>14.792379210859584</v>
      </c>
    </row>
    <row r="57" spans="2:13" x14ac:dyDescent="0.2">
      <c r="B57" s="490">
        <f t="shared" si="11"/>
        <v>100</v>
      </c>
      <c r="C57" s="465">
        <f t="shared" si="1"/>
        <v>2.8863382504856227E-3</v>
      </c>
      <c r="D57" s="462">
        <f ca="1">MpropuPlein+1.75*MasseSans</f>
        <v>15.2125</v>
      </c>
      <c r="E57" s="462">
        <f t="shared" ca="1" si="2"/>
        <v>14.696</v>
      </c>
      <c r="F57" s="462">
        <f t="shared" ca="1" si="3"/>
        <v>14.179500000000001</v>
      </c>
      <c r="G57" s="469">
        <f t="shared" ca="1" si="4"/>
        <v>29.204841929208179</v>
      </c>
      <c r="H57" s="465">
        <f t="shared" ca="1" si="5"/>
        <v>1.9640298383816158E-4</v>
      </c>
      <c r="I57" s="465">
        <f t="shared" ca="1" si="6"/>
        <v>2.0355712475655859E-4</v>
      </c>
      <c r="J57" s="465">
        <f t="shared" ca="1" si="7"/>
        <v>185.92341793994905</v>
      </c>
      <c r="K57" s="472">
        <f t="shared" ca="1" si="8"/>
        <v>102.33599130067779</v>
      </c>
      <c r="L57" s="475">
        <f t="shared" ca="1" si="9"/>
        <v>668.93574353600479</v>
      </c>
      <c r="M57" s="478">
        <f t="shared" ca="1" si="10"/>
        <v>13.351594706016535</v>
      </c>
    </row>
    <row r="58" spans="2:13" x14ac:dyDescent="0.2">
      <c r="B58" s="491">
        <f t="shared" si="11"/>
        <v>100</v>
      </c>
      <c r="C58" s="466">
        <f t="shared" si="1"/>
        <v>2.8863382504856227E-3</v>
      </c>
      <c r="D58" s="463">
        <f ca="1">MpropuPlein+2*MasseSans</f>
        <v>17.145</v>
      </c>
      <c r="E58" s="463">
        <f t="shared" ca="1" si="2"/>
        <v>16.628499999999999</v>
      </c>
      <c r="F58" s="463">
        <f t="shared" ca="1" si="3"/>
        <v>16.111999999999998</v>
      </c>
      <c r="G58" s="470">
        <f t="shared" ca="1" si="4"/>
        <v>24.670687794548122</v>
      </c>
      <c r="H58" s="466">
        <f t="shared" ca="1" si="5"/>
        <v>1.7357778816403302E-4</v>
      </c>
      <c r="I58" s="466">
        <f t="shared" ca="1" si="6"/>
        <v>1.7914214563590015E-4</v>
      </c>
      <c r="J58" s="466">
        <f t="shared" ca="1" si="7"/>
        <v>157.53795726511274</v>
      </c>
      <c r="K58" s="473">
        <f t="shared" ca="1" si="8"/>
        <v>86.973587039544029</v>
      </c>
      <c r="L58" s="476">
        <f t="shared" ca="1" si="9"/>
        <v>518.67826965542929</v>
      </c>
      <c r="M58" s="479">
        <f t="shared" ca="1" si="10"/>
        <v>12.078401270466379</v>
      </c>
    </row>
    <row r="59" spans="2:13" x14ac:dyDescent="0.2">
      <c r="B59" s="489">
        <f t="shared" ref="B59:B67" si="12">D_ref*1.5</f>
        <v>150</v>
      </c>
      <c r="C59" s="464">
        <f t="shared" si="1"/>
        <v>6.4942610635926514E-3</v>
      </c>
      <c r="D59" s="461">
        <f ca="1">MpropuPlein+0*MasseSans</f>
        <v>1.6850000000000001</v>
      </c>
      <c r="E59" s="461">
        <f t="shared" ca="1" si="2"/>
        <v>1.1685000000000001</v>
      </c>
      <c r="F59" s="461">
        <f t="shared" ca="1" si="3"/>
        <v>0.65200000000000014</v>
      </c>
      <c r="G59" s="468">
        <f t="shared" ca="1" si="4"/>
        <v>480.87217115245477</v>
      </c>
      <c r="H59" s="464">
        <f t="shared" ca="1" si="5"/>
        <v>5.5577758353381693E-3</v>
      </c>
      <c r="I59" s="464">
        <f t="shared" ca="1" si="6"/>
        <v>9.9605231036697089E-3</v>
      </c>
      <c r="J59" s="464">
        <f t="shared" ca="1" si="7"/>
        <v>931.27223961432128</v>
      </c>
      <c r="K59" s="471">
        <f t="shared" ca="1" si="8"/>
        <v>294.14222484926927</v>
      </c>
      <c r="L59" s="474">
        <f t="shared" ca="1" si="9"/>
        <v>1156.507295434059</v>
      </c>
      <c r="M59" s="477">
        <f t="shared" ca="1" si="10"/>
        <v>8.2750626059727068</v>
      </c>
    </row>
    <row r="60" spans="2:13" x14ac:dyDescent="0.2">
      <c r="B60" s="490">
        <f t="shared" si="12"/>
        <v>150</v>
      </c>
      <c r="C60" s="465">
        <f t="shared" si="1"/>
        <v>6.4942610635926514E-3</v>
      </c>
      <c r="D60" s="462">
        <f ca="1">MpropuPlein+0.25*MasseSans</f>
        <v>3.6175000000000002</v>
      </c>
      <c r="E60" s="462">
        <f t="shared" ca="1" si="2"/>
        <v>3.101</v>
      </c>
      <c r="F60" s="462">
        <f t="shared" ca="1" si="3"/>
        <v>2.5845000000000002</v>
      </c>
      <c r="G60" s="469">
        <f t="shared" ca="1" si="4"/>
        <v>175.08587777866606</v>
      </c>
      <c r="H60" s="465">
        <f t="shared" ca="1" si="5"/>
        <v>2.0942473600750245E-3</v>
      </c>
      <c r="I60" s="465">
        <f t="shared" ca="1" si="6"/>
        <v>2.5127727079097121E-3</v>
      </c>
      <c r="J60" s="465">
        <f t="shared" ca="1" si="7"/>
        <v>713.18125459115595</v>
      </c>
      <c r="K60" s="472">
        <f t="shared" ca="1" si="8"/>
        <v>281.75712807794514</v>
      </c>
      <c r="L60" s="475">
        <f t="shared" ca="1" si="9"/>
        <v>1322.1353837723036</v>
      </c>
      <c r="M60" s="478">
        <f t="shared" ca="1" si="10"/>
        <v>12.204855607681422</v>
      </c>
    </row>
    <row r="61" spans="2:13" x14ac:dyDescent="0.2">
      <c r="B61" s="490">
        <f t="shared" si="12"/>
        <v>150</v>
      </c>
      <c r="C61" s="465">
        <f t="shared" si="1"/>
        <v>6.4942610635926514E-3</v>
      </c>
      <c r="D61" s="462">
        <f ca="1">MpropuPlein+0.5*MasseSans</f>
        <v>5.5500000000000007</v>
      </c>
      <c r="E61" s="462">
        <f t="shared" ca="1" si="2"/>
        <v>5.033500000000001</v>
      </c>
      <c r="F61" s="462">
        <f t="shared" ca="1" si="3"/>
        <v>4.5170000000000012</v>
      </c>
      <c r="G61" s="469">
        <f t="shared" ca="1" si="4"/>
        <v>104.09923154696401</v>
      </c>
      <c r="H61" s="465">
        <f t="shared" ca="1" si="5"/>
        <v>1.2902078203223702E-3</v>
      </c>
      <c r="I61" s="465">
        <f t="shared" ca="1" si="6"/>
        <v>1.4377376718159509E-3</v>
      </c>
      <c r="J61" s="465">
        <f t="shared" ca="1" si="7"/>
        <v>536.37471474664483</v>
      </c>
      <c r="K61" s="472">
        <f t="shared" ca="1" si="8"/>
        <v>245.90269773134759</v>
      </c>
      <c r="L61" s="475">
        <f t="shared" ca="1" si="9"/>
        <v>1332.3127997871693</v>
      </c>
      <c r="M61" s="478">
        <f t="shared" ca="1" si="10"/>
        <v>14.087733298055859</v>
      </c>
    </row>
    <row r="62" spans="2:13" x14ac:dyDescent="0.2">
      <c r="B62" s="490">
        <f t="shared" si="12"/>
        <v>150</v>
      </c>
      <c r="C62" s="465">
        <f t="shared" si="1"/>
        <v>6.4942610635926514E-3</v>
      </c>
      <c r="D62" s="462">
        <f ca="1">MpropuPlein+0.75*MasseSans</f>
        <v>7.4824999999999999</v>
      </c>
      <c r="E62" s="462">
        <f t="shared" ca="1" si="2"/>
        <v>6.9660000000000002</v>
      </c>
      <c r="F62" s="462">
        <f t="shared" ca="1" si="3"/>
        <v>6.4495000000000005</v>
      </c>
      <c r="G62" s="469">
        <f t="shared" ca="1" si="4"/>
        <v>72.498658769974654</v>
      </c>
      <c r="H62" s="465">
        <f t="shared" ca="1" si="5"/>
        <v>9.3227979666848286E-4</v>
      </c>
      <c r="I62" s="465">
        <f t="shared" ca="1" si="6"/>
        <v>1.0069402377847355E-3</v>
      </c>
      <c r="J62" s="465">
        <f t="shared" ca="1" si="7"/>
        <v>411.85772881719146</v>
      </c>
      <c r="K62" s="472">
        <f t="shared" ca="1" si="8"/>
        <v>204.16721390756734</v>
      </c>
      <c r="L62" s="475">
        <f t="shared" ca="1" si="9"/>
        <v>1237.959513394351</v>
      </c>
      <c r="M62" s="478">
        <f t="shared" ca="1" si="10"/>
        <v>14.863739286110606</v>
      </c>
    </row>
    <row r="63" spans="2:13" x14ac:dyDescent="0.2">
      <c r="B63" s="490">
        <f t="shared" si="12"/>
        <v>150</v>
      </c>
      <c r="C63" s="465">
        <f t="shared" si="1"/>
        <v>6.4942610635926514E-3</v>
      </c>
      <c r="D63" s="462">
        <f ca="1">MpropuPlein+1*MasseSans</f>
        <v>9.4150000000000009</v>
      </c>
      <c r="E63" s="462">
        <f t="shared" ca="1" si="2"/>
        <v>8.8985000000000003</v>
      </c>
      <c r="F63" s="462">
        <f t="shared" ca="1" si="3"/>
        <v>8.3820000000000014</v>
      </c>
      <c r="G63" s="469">
        <f t="shared" ca="1" si="4"/>
        <v>54.623569364684315</v>
      </c>
      <c r="H63" s="465">
        <f t="shared" ca="1" si="5"/>
        <v>7.2981525690764184E-4</v>
      </c>
      <c r="I63" s="465">
        <f t="shared" ca="1" si="6"/>
        <v>7.7478657403873188E-4</v>
      </c>
      <c r="J63" s="465">
        <f t="shared" ca="1" si="7"/>
        <v>325.4322626384743</v>
      </c>
      <c r="K63" s="472">
        <f t="shared" ca="1" si="8"/>
        <v>168.22842085540515</v>
      </c>
      <c r="L63" s="475">
        <f t="shared" ca="1" si="9"/>
        <v>1083.1141287517462</v>
      </c>
      <c r="M63" s="478">
        <f t="shared" ca="1" si="10"/>
        <v>14.845422639650662</v>
      </c>
    </row>
    <row r="64" spans="2:13" x14ac:dyDescent="0.2">
      <c r="B64" s="490">
        <f t="shared" si="12"/>
        <v>150</v>
      </c>
      <c r="C64" s="465">
        <f t="shared" si="1"/>
        <v>6.4942610635926514E-3</v>
      </c>
      <c r="D64" s="462">
        <f ca="1">MpropuPlein+1.25*MasseSans</f>
        <v>11.347500000000002</v>
      </c>
      <c r="E64" s="462">
        <f t="shared" ca="1" si="2"/>
        <v>10.831000000000001</v>
      </c>
      <c r="F64" s="462">
        <f t="shared" ca="1" si="3"/>
        <v>10.314500000000002</v>
      </c>
      <c r="G64" s="469">
        <f t="shared" ca="1" si="4"/>
        <v>43.127135720768479</v>
      </c>
      <c r="H64" s="465">
        <f t="shared" ca="1" si="5"/>
        <v>5.9959939650933896E-4</v>
      </c>
      <c r="I64" s="465">
        <f t="shared" ca="1" si="6"/>
        <v>6.2962441840056719E-4</v>
      </c>
      <c r="J64" s="465">
        <f t="shared" ca="1" si="7"/>
        <v>263.72316056950552</v>
      </c>
      <c r="K64" s="472">
        <f t="shared" ca="1" si="8"/>
        <v>139.64697105901661</v>
      </c>
      <c r="L64" s="475">
        <f t="shared" ca="1" si="9"/>
        <v>908.27720215666113</v>
      </c>
      <c r="M64" s="478">
        <f t="shared" ca="1" si="10"/>
        <v>14.295900584357728</v>
      </c>
    </row>
    <row r="65" spans="2:13" x14ac:dyDescent="0.2">
      <c r="B65" s="490">
        <f t="shared" si="12"/>
        <v>150</v>
      </c>
      <c r="C65" s="465">
        <f t="shared" si="1"/>
        <v>6.4942610635926514E-3</v>
      </c>
      <c r="D65" s="462">
        <f ca="1">MpropuPlein+1.5*MasseSans</f>
        <v>13.280000000000001</v>
      </c>
      <c r="E65" s="462">
        <f t="shared" ca="1" si="2"/>
        <v>12.763500000000001</v>
      </c>
      <c r="F65" s="462">
        <f t="shared" ca="1" si="3"/>
        <v>12.247000000000002</v>
      </c>
      <c r="G65" s="469">
        <f t="shared" ca="1" si="4"/>
        <v>35.11201331857589</v>
      </c>
      <c r="H65" s="465">
        <f t="shared" ca="1" si="5"/>
        <v>5.0881506354782393E-4</v>
      </c>
      <c r="I65" s="465">
        <f t="shared" ca="1" si="6"/>
        <v>5.3027362322141344E-4</v>
      </c>
      <c r="J65" s="465">
        <f t="shared" ca="1" si="7"/>
        <v>218.07906184199732</v>
      </c>
      <c r="K65" s="472">
        <f t="shared" ca="1" si="8"/>
        <v>117.19260267055883</v>
      </c>
      <c r="L65" s="475">
        <f t="shared" ca="1" si="9"/>
        <v>741.63617084723955</v>
      </c>
      <c r="M65" s="478">
        <f t="shared" ca="1" si="10"/>
        <v>13.4507082694426</v>
      </c>
    </row>
    <row r="66" spans="2:13" x14ac:dyDescent="0.2">
      <c r="B66" s="490">
        <f t="shared" si="12"/>
        <v>150</v>
      </c>
      <c r="C66" s="465">
        <f t="shared" si="1"/>
        <v>6.4942610635926514E-3</v>
      </c>
      <c r="D66" s="462">
        <f ca="1">MpropuPlein+1.75*MasseSans</f>
        <v>15.2125</v>
      </c>
      <c r="E66" s="462">
        <f t="shared" ca="1" si="2"/>
        <v>14.696</v>
      </c>
      <c r="F66" s="462">
        <f t="shared" ca="1" si="3"/>
        <v>14.179500000000001</v>
      </c>
      <c r="G66" s="469">
        <f t="shared" ca="1" si="4"/>
        <v>29.204841929208179</v>
      </c>
      <c r="H66" s="465">
        <f t="shared" ca="1" si="5"/>
        <v>4.4190671363586361E-4</v>
      </c>
      <c r="I66" s="465">
        <f t="shared" ca="1" si="6"/>
        <v>4.5800353070225684E-4</v>
      </c>
      <c r="J66" s="465">
        <f t="shared" ca="1" si="7"/>
        <v>183.20058985966256</v>
      </c>
      <c r="K66" s="472">
        <f t="shared" ca="1" si="8"/>
        <v>99.394716324971341</v>
      </c>
      <c r="L66" s="475">
        <f t="shared" ca="1" si="9"/>
        <v>597.26398323291392</v>
      </c>
      <c r="M66" s="478">
        <f t="shared" ca="1" si="10"/>
        <v>12.49038692281947</v>
      </c>
    </row>
    <row r="67" spans="2:13" x14ac:dyDescent="0.2">
      <c r="B67" s="491">
        <f t="shared" si="12"/>
        <v>150</v>
      </c>
      <c r="C67" s="466">
        <f t="shared" si="1"/>
        <v>6.4942610635926514E-3</v>
      </c>
      <c r="D67" s="463">
        <f ca="1">MpropuPlein+2*MasseSans</f>
        <v>17.145</v>
      </c>
      <c r="E67" s="463">
        <f t="shared" ca="1" si="2"/>
        <v>16.628499999999999</v>
      </c>
      <c r="F67" s="463">
        <f t="shared" ca="1" si="3"/>
        <v>16.111999999999998</v>
      </c>
      <c r="G67" s="470">
        <f t="shared" ca="1" si="4"/>
        <v>24.670687794548122</v>
      </c>
      <c r="H67" s="466">
        <f t="shared" ca="1" si="5"/>
        <v>3.9055002336907429E-4</v>
      </c>
      <c r="I67" s="466">
        <f t="shared" ca="1" si="6"/>
        <v>4.030698276807753E-4</v>
      </c>
      <c r="J67" s="466">
        <f t="shared" ca="1" si="7"/>
        <v>155.79385132068376</v>
      </c>
      <c r="K67" s="473">
        <f t="shared" ca="1" si="8"/>
        <v>85.075079703239751</v>
      </c>
      <c r="L67" s="476">
        <f t="shared" ca="1" si="9"/>
        <v>478.75165394263968</v>
      </c>
      <c r="M67" s="479">
        <f t="shared" ca="1" si="10"/>
        <v>11.529495266328132</v>
      </c>
    </row>
    <row r="71" spans="2:13" x14ac:dyDescent="0.2">
      <c r="B71" s="35" t="str">
        <f>IF(Lang="Français","Textes pour les graphiques :","Texts for graphics :")</f>
        <v>Textes pour les graphiques :</v>
      </c>
    </row>
    <row r="73" spans="2:13" x14ac:dyDescent="0.2">
      <c r="B73" t="str">
        <f>IF(Lang="Français","Masse totale",IF(Lang="English","Total Mass",""))</f>
        <v>Masse totale</v>
      </c>
    </row>
    <row r="74" spans="2:13" x14ac:dyDescent="0.2">
      <c r="B74" t="str">
        <f>IF(Lang="Français","Vitesse max",IF(Lang="English","Max Velocity",""))</f>
        <v>Vitesse max</v>
      </c>
    </row>
    <row r="75" spans="2:13" x14ac:dyDescent="0.2">
      <c r="B75" t="str">
        <f>Abaco!$B$74 &amp; " / " &amp; Abaco!$B$73</f>
        <v>Vitesse max / Masse totale</v>
      </c>
    </row>
    <row r="76" spans="2:13" x14ac:dyDescent="0.2">
      <c r="B76" t="str">
        <f>IF(Lang="Français","Altitude max",IF(Lang="English","Max Altitude",""))</f>
        <v>Altitude max</v>
      </c>
    </row>
    <row r="77" spans="2:13" x14ac:dyDescent="0.2">
      <c r="B77" t="str">
        <f>Abaco!$B$76 &amp; " / " &amp; Abaco!$B$73</f>
        <v>Altitude max / Masse totale</v>
      </c>
    </row>
    <row r="78" spans="2:13" x14ac:dyDescent="0.2">
      <c r="B78" t="str">
        <f>IF(Lang="Français","Temps de culmination",IF(Lang="English","Apogee time",""))</f>
        <v>Temps de culmination</v>
      </c>
    </row>
    <row r="79" spans="2:13" x14ac:dyDescent="0.2">
      <c r="B79" t="str">
        <f>Abaco!$B$78 &amp; " / " &amp; Abaco!$B$73</f>
        <v>Temps de culmination / Masse totale</v>
      </c>
    </row>
  </sheetData>
  <sheetProtection password="C6AC" sheet="1"/>
  <mergeCells count="12">
    <mergeCell ref="C9:D9"/>
    <mergeCell ref="C2:D3"/>
    <mergeCell ref="C4:D4"/>
    <mergeCell ref="C5:D5"/>
    <mergeCell ref="C7:D7"/>
    <mergeCell ref="C8:D8"/>
    <mergeCell ref="C10:D10"/>
    <mergeCell ref="C12:D12"/>
    <mergeCell ref="C14:D14"/>
    <mergeCell ref="C15:D15"/>
    <mergeCell ref="C16:D16"/>
    <mergeCell ref="C11:D11"/>
  </mergeCells>
  <dataValidations count="3">
    <dataValidation type="decimal" errorStyle="warning" showErrorMessage="1" errorTitle="Cx" error="Le Cx est souvent compris entre 0 et 1._x000a_Cx may be between 0 &amp; 1." sqref="C16:D16">
      <formula1>0</formula1>
      <formula2>1</formula2>
    </dataValidation>
    <dataValidation operator="greaterThanOrEqual" sqref="C10:D11"/>
    <dataValidation sqref="C12:D12"/>
  </dataValidations>
  <hyperlinks>
    <hyperlink ref="B12" location="Stabilito!C17" display="Stabilito!C17"/>
  </hyperlinks>
  <pageMargins left="0.70866141732283472" right="0.70866141732283472" top="0.74803149606299213" bottom="0.74803149606299213" header="0.31496062992125984" footer="0.31496062992125984"/>
  <pageSetup paperSize="9" scale="92" orientation="landscape" r:id="rId1"/>
  <drawing r:id="rId2"/>
  <legacyDrawing r:id="rId3"/>
  <oleObjects>
    <mc:AlternateContent xmlns:mc="http://schemas.openxmlformats.org/markup-compatibility/2006">
      <mc:Choice Requires="x14">
        <oleObject progId="Equation.3" shapeId="2604101" r:id="rId4">
          <objectPr defaultSize="0" autoPict="0" r:id="rId5">
            <anchor moveWithCells="1">
              <from>
                <xdr:col>8</xdr:col>
                <xdr:colOff>485775</xdr:colOff>
                <xdr:row>68</xdr:row>
                <xdr:rowOff>28575</xdr:rowOff>
              </from>
              <to>
                <xdr:col>12</xdr:col>
                <xdr:colOff>1123950</xdr:colOff>
                <xdr:row>85</xdr:row>
                <xdr:rowOff>19050</xdr:rowOff>
              </to>
            </anchor>
          </objectPr>
        </oleObject>
      </mc:Choice>
      <mc:Fallback>
        <oleObject progId="Equation.3" shapeId="2604101" r:id="rId4"/>
      </mc:Fallback>
    </mc:AlternateContent>
  </oleObjects>
  <mc:AlternateContent xmlns:mc="http://schemas.openxmlformats.org/markup-compatibility/2006">
    <mc:Choice Requires="x14">
      <controls>
        <mc:AlternateContent xmlns:mc="http://schemas.openxmlformats.org/markup-compatibility/2006">
          <mc:Choice Requires="x14">
            <control shapeId="2604063" r:id="rId6" name="Spinner 31">
              <controlPr defaultSize="0" print="0" autoPict="0">
                <anchor moveWithCells="1" sizeWithCells="1">
                  <from>
                    <xdr:col>3</xdr:col>
                    <xdr:colOff>962025</xdr:colOff>
                    <xdr:row>9</xdr:row>
                    <xdr:rowOff>19050</xdr:rowOff>
                  </from>
                  <to>
                    <xdr:col>4</xdr:col>
                    <xdr:colOff>0</xdr:colOff>
                    <xdr:row>10</xdr:row>
                    <xdr:rowOff>0</xdr:rowOff>
                  </to>
                </anchor>
              </controlPr>
            </control>
          </mc:Choice>
        </mc:AlternateContent>
        <mc:AlternateContent xmlns:mc="http://schemas.openxmlformats.org/markup-compatibility/2006">
          <mc:Choice Requires="x14">
            <control shapeId="2604202" r:id="rId7" name="Spinner 170">
              <controlPr defaultSize="0" print="0" autoPict="0">
                <anchor moveWithCells="1" sizeWithCells="1">
                  <from>
                    <xdr:col>3</xdr:col>
                    <xdr:colOff>962025</xdr:colOff>
                    <xdr:row>10</xdr:row>
                    <xdr:rowOff>19050</xdr:rowOff>
                  </from>
                  <to>
                    <xdr:col>4</xdr:col>
                    <xdr:colOff>0</xdr:colOff>
                    <xdr:row>11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pageSetUpPr fitToPage="1"/>
  </sheetPr>
  <dimension ref="C2:H59"/>
  <sheetViews>
    <sheetView showGridLines="0" topLeftCell="A16" workbookViewId="0">
      <selection activeCell="F48" sqref="F48"/>
    </sheetView>
  </sheetViews>
  <sheetFormatPr baseColWidth="10" defaultRowHeight="12.75" x14ac:dyDescent="0.2"/>
  <cols>
    <col min="1" max="1" width="2.140625" customWidth="1"/>
    <col min="2" max="2" width="16.28515625" customWidth="1"/>
    <col min="3" max="4" width="13.5703125" customWidth="1"/>
  </cols>
  <sheetData>
    <row r="2" spans="3:8" x14ac:dyDescent="0.2">
      <c r="C2" s="809" t="s">
        <v>179</v>
      </c>
      <c r="D2" s="809"/>
    </row>
    <row r="3" spans="3:8" x14ac:dyDescent="0.2">
      <c r="C3" s="809"/>
      <c r="D3" s="809"/>
    </row>
    <row r="5" spans="3:8" x14ac:dyDescent="0.2">
      <c r="C5" s="18" t="str">
        <f>IF(Lang="Français","Stabilité de fusée à ailerons","Stability of finned rocket")</f>
        <v>Stabilité de fusée à ailerons</v>
      </c>
    </row>
    <row r="6" spans="3:8" x14ac:dyDescent="0.2">
      <c r="C6" s="19" t="str">
        <f>IF(Lang="Français","Calculs de Stabilité basés sur les équations de Barrowman","Stability calculs are based on Barrowman equations")</f>
        <v>Calculs de Stabilité basés sur les équations de Barrowman</v>
      </c>
    </row>
    <row r="7" spans="3:8" x14ac:dyDescent="0.2">
      <c r="C7" s="18" t="str">
        <f>IF(Lang="Français","Trajectographie de fusée","Rocket Trajectography")</f>
        <v>Trajectographie de fusée</v>
      </c>
    </row>
    <row r="8" spans="3:8" x14ac:dyDescent="0.2">
      <c r="C8" s="19" t="str">
        <f>IF(Lang="Français","Trajectoire dans un plan par calcul pas à pas","Trajectory in a plane, step by step computation")</f>
        <v>Trajectoire dans un plan par calcul pas à pas</v>
      </c>
    </row>
    <row r="9" spans="3:8" x14ac:dyDescent="0.2">
      <c r="C9" s="19"/>
    </row>
    <row r="10" spans="3:8" x14ac:dyDescent="0.2">
      <c r="C10" s="20" t="str">
        <f>IF(Lang="Français","Documentation et équations :","Documentation and equations are aviable in french:")</f>
        <v>Documentation et équations :</v>
      </c>
    </row>
    <row r="11" spans="3:8" x14ac:dyDescent="0.2">
      <c r="C11" t="str">
        <f>IF(Lang="Français","voir le dossier technique Planète-Sciences ''Le Vol de la Fusée, Stabilité &amp; Trajectographie''","dossier technique Planète-Sciences ''Le Vol de la Fusée, Stabilité &amp; Trajectographie''")</f>
        <v>voir le dossier technique Planète-Sciences ''Le Vol de la Fusée, Stabilité &amp; Trajectographie''</v>
      </c>
    </row>
    <row r="12" spans="3:8" x14ac:dyDescent="0.2">
      <c r="C12" t="str">
        <f>IF(Lang="Français","Néanmoins, les équations d'intégration du mouvement utilisées sont légèrement différentes !","")</f>
        <v>Néanmoins, les équations d'intégration du mouvement utilisées sont légèrement différentes !</v>
      </c>
    </row>
    <row r="13" spans="3:8" x14ac:dyDescent="0.2">
      <c r="C13" t="str">
        <f>IF(Lang="Français","Logiciels et dossier technique téléchargeables sur :","Softwares and french documentation can be downloaded at:")</f>
        <v>Logiciels et dossier technique téléchargeables sur :</v>
      </c>
      <c r="H13" s="25" t="s">
        <v>40</v>
      </c>
    </row>
    <row r="15" spans="3:8" x14ac:dyDescent="0.2">
      <c r="C15" s="20" t="str">
        <f>IF(Lang="Français","Pour les experts :","For experts:")</f>
        <v>Pour les experts :</v>
      </c>
    </row>
    <row r="16" spans="3:8" x14ac:dyDescent="0.2">
      <c r="C16" s="24" t="str">
        <f>IF(Lang="Français","Pour les curieux et les experts, vous pouvez déprotéger les feuilles de calcul (mot de passe : anstj),","Curious people can unlock excel sheets with this password : anstj")</f>
        <v>Pour les curieux et les experts, vous pouvez déprotéger les feuilles de calcul (mot de passe : anstj),</v>
      </c>
    </row>
    <row r="17" spans="3:8" x14ac:dyDescent="0.2">
      <c r="C17" s="23" t="str">
        <f>IF(Lang="Français","et faire vos modifications personnelles (ajout de moteur...).","and do your personal modification (adding a motor...)")</f>
        <v>et faire vos modifications personnelles (ajout de moteur...).</v>
      </c>
    </row>
    <row r="18" spans="3:8" x14ac:dyDescent="0.2">
      <c r="C18" s="24" t="s">
        <v>421</v>
      </c>
    </row>
    <row r="19" spans="3:8" x14ac:dyDescent="0.2">
      <c r="C19" s="23" t="str">
        <f>IF(Lang="Français","Merci néanmoins de diffuser uniquement la version officielle protégée (fichier initial).","Please avoid distributing unlocked version.")</f>
        <v>Merci néanmoins de diffuser uniquement la version officielle protégée (fichier initial).</v>
      </c>
    </row>
    <row r="20" spans="3:8" x14ac:dyDescent="0.2">
      <c r="C20" s="23" t="str">
        <f>IF(Lang="Français","Aucune Macro. Mise en forme conditionnelle, Noms de zone.","No macro. Conditionnal formating, named zones.")</f>
        <v>Aucune Macro. Mise en forme conditionnelle, Noms de zone.</v>
      </c>
    </row>
    <row r="21" spans="3:8" x14ac:dyDescent="0.2">
      <c r="C21" s="69" t="str">
        <f>IF(Lang="Français","Pour changer les choix des menus déroulants et les restrictions des cellules jaunes, cf. Données&gt; Validations…", "To change choices menu &amp; yellow cells restrictions, go to data validation.")</f>
        <v>Pour changer les choix des menus déroulants et les restrictions des cellules jaunes, cf. Données&gt; Validations…</v>
      </c>
    </row>
    <row r="22" spans="3:8" x14ac:dyDescent="0.2">
      <c r="C22" s="69" t="str">
        <f>IF(Lang="Français","Les unités sont réglés dans le Format de la cellule.","Units are set in cell number Format")</f>
        <v>Les unités sont réglés dans le Format de la cellule.</v>
      </c>
      <c r="H22" s="21" t="s">
        <v>38</v>
      </c>
    </row>
    <row r="23" spans="3:8" x14ac:dyDescent="0.2">
      <c r="C23" s="23" t="str">
        <f>IF(Lang="Français","Vous pouvez proposer vos améliorations en envoyant votre fichier à : ","Send all remarks and improvements proposals to:")</f>
        <v xml:space="preserve">Vous pouvez proposer vos améliorations en envoyant votre fichier à : </v>
      </c>
      <c r="H23" s="21"/>
    </row>
    <row r="25" spans="3:8" x14ac:dyDescent="0.2">
      <c r="C25" s="20" t="str">
        <f>IF(Lang="Français","Licence :","License:")</f>
        <v>Licence :</v>
      </c>
      <c r="D25" s="22"/>
    </row>
    <row r="26" spans="3:8" x14ac:dyDescent="0.2">
      <c r="C26" t="str">
        <f>IF(Lang="Français","Ce logiciel est placé sous la licence Creative Commons BY-SA","This software is placed under Creative Commons licence BY-SA")</f>
        <v>Ce logiciel est placé sous la licence Creative Commons BY-SA</v>
      </c>
      <c r="H26" s="90" t="s">
        <v>123</v>
      </c>
    </row>
    <row r="28" spans="3:8" x14ac:dyDescent="0.2">
      <c r="C28" s="20" t="str">
        <f>IF(Lang="Français","Compatibilité :","Compatibility:")</f>
        <v>Compatibilité :</v>
      </c>
    </row>
    <row r="29" spans="3:8" x14ac:dyDescent="0.2">
      <c r="C29" t="s">
        <v>153</v>
      </c>
    </row>
    <row r="30" spans="3:8" x14ac:dyDescent="0.2">
      <c r="C30" t="s">
        <v>302</v>
      </c>
    </row>
    <row r="31" spans="3:8" x14ac:dyDescent="0.2">
      <c r="C31" s="70" t="s">
        <v>111</v>
      </c>
    </row>
    <row r="33" spans="3:6" x14ac:dyDescent="0.2">
      <c r="C33" s="20" t="str">
        <f>IF(Lang="Français","Historique :","History:")</f>
        <v>Historique :</v>
      </c>
    </row>
    <row r="34" spans="3:6" x14ac:dyDescent="0.2">
      <c r="C34" t="s">
        <v>103</v>
      </c>
      <c r="D34" t="s">
        <v>43</v>
      </c>
      <c r="E34" s="68" t="s">
        <v>102</v>
      </c>
      <c r="F34" t="str">
        <f>IF(Lang="Français","Essais personnels, héritage d'une feuille de calcul de Vincent Girard, ESO","Personnel tests")</f>
        <v>Essais personnels, héritage d'une feuille de calcul de Vincent Girard, ESO</v>
      </c>
    </row>
    <row r="35" spans="3:6" x14ac:dyDescent="0.2">
      <c r="C35" t="s">
        <v>104</v>
      </c>
      <c r="D35" t="s">
        <v>43</v>
      </c>
      <c r="E35" s="22">
        <v>39483</v>
      </c>
      <c r="F35" t="str">
        <f>IF(Lang="Français","Equations de Barrowman généralisées (D_ref), masquage inter-ailerons, bilingue fr-en","Generalized Barrowman equations (D_ref), fin-fin interaction, english translation")</f>
        <v>Equations de Barrowman généralisées (D_ref), masquage inter-ailerons, bilingue fr-en</v>
      </c>
    </row>
    <row r="36" spans="3:6" x14ac:dyDescent="0.2">
      <c r="C36" t="s">
        <v>105</v>
      </c>
      <c r="D36" t="s">
        <v>43</v>
      </c>
      <c r="E36" s="22">
        <v>39507</v>
      </c>
      <c r="F36" t="str">
        <f>IF(Lang="Français","Schéma de la fusée, estimation analytique de la trajecto, diagramme des critères","Rocket schematic, analytical trajecto, criterions diagram")</f>
        <v>Schéma de la fusée, estimation analytique de la trajecto, diagramme des critères</v>
      </c>
    </row>
    <row r="37" spans="3:6" x14ac:dyDescent="0.2">
      <c r="C37" t="s">
        <v>106</v>
      </c>
      <c r="D37" t="s">
        <v>43</v>
      </c>
      <c r="E37" s="22">
        <v>39694</v>
      </c>
      <c r="F37" t="str">
        <f>IF(Lang="Français","Mise en forme","Formatting")</f>
        <v>Mise en forme</v>
      </c>
    </row>
    <row r="38" spans="3:6" x14ac:dyDescent="0.2">
      <c r="C38" t="s">
        <v>107</v>
      </c>
      <c r="D38" t="s">
        <v>43</v>
      </c>
      <c r="E38" s="22">
        <v>39643</v>
      </c>
      <c r="F38" t="str">
        <f>IF(Lang="Français","Essais personnels, héritage d'une feuille de calcul de Félicien Roux, ESO","Personal tests")</f>
        <v>Essais personnels, héritage d'une feuille de calcul de Félicien Roux, ESO</v>
      </c>
    </row>
    <row r="39" spans="3:6" x14ac:dyDescent="0.2">
      <c r="C39" t="s">
        <v>108</v>
      </c>
      <c r="D39" t="s">
        <v>43</v>
      </c>
      <c r="E39" s="22">
        <v>39755</v>
      </c>
      <c r="F39" t="str">
        <f>IF(Lang="Français","Réécriture équations, traduction, érgonomie","Equations, traduction, ergonomy")</f>
        <v>Réécriture équations, traduction, érgonomie</v>
      </c>
    </row>
    <row r="40" spans="3:6" x14ac:dyDescent="0.2">
      <c r="C40" t="s">
        <v>109</v>
      </c>
      <c r="D40" t="s">
        <v>43</v>
      </c>
      <c r="E40" s="22">
        <v>39756</v>
      </c>
      <c r="F40" t="str">
        <f>IF(Lang="Français","Conditions Initiales pour vol 2e étage, 1ère publication","Initial Conditions, 1st publication")</f>
        <v>Conditions Initiales pour vol 2e étage, 1ère publication</v>
      </c>
    </row>
    <row r="41" spans="3:6" x14ac:dyDescent="0.2">
      <c r="C41" t="s">
        <v>110</v>
      </c>
      <c r="D41" t="s">
        <v>43</v>
      </c>
      <c r="E41" s="22">
        <v>40658</v>
      </c>
      <c r="F41" t="s">
        <v>53</v>
      </c>
    </row>
    <row r="42" spans="3:6" x14ac:dyDescent="0.2">
      <c r="C42" t="s">
        <v>180</v>
      </c>
      <c r="D42" t="s">
        <v>43</v>
      </c>
      <c r="E42" s="22">
        <v>40868</v>
      </c>
      <c r="F42" t="str">
        <f>IF(Lang="Français","Fusion Stabilito+Trajecto, mise en forme, Ctrl, RC, H2O, Abaco","Merge Stabilito+Trajecto, formatting, Ctrl, RC, H2O, Abaco")</f>
        <v>Fusion Stabilito+Trajecto, mise en forme, Ctrl, RC, H2O, Abaco</v>
      </c>
    </row>
    <row r="43" spans="3:6" x14ac:dyDescent="0.2">
      <c r="C43" t="s">
        <v>329</v>
      </c>
      <c r="D43" t="s">
        <v>43</v>
      </c>
      <c r="E43" s="22">
        <v>41194</v>
      </c>
      <c r="F43" t="s">
        <v>333</v>
      </c>
    </row>
    <row r="44" spans="3:6" x14ac:dyDescent="0.2">
      <c r="C44" t="s">
        <v>330</v>
      </c>
      <c r="D44" t="s">
        <v>43</v>
      </c>
      <c r="E44" s="22">
        <v>41329</v>
      </c>
      <c r="F44" t="s">
        <v>334</v>
      </c>
    </row>
    <row r="45" spans="3:6" x14ac:dyDescent="0.2">
      <c r="C45" t="s">
        <v>418</v>
      </c>
      <c r="D45" t="s">
        <v>397</v>
      </c>
      <c r="E45" s="22">
        <v>41947</v>
      </c>
      <c r="F45" t="s">
        <v>417</v>
      </c>
    </row>
    <row r="46" spans="3:6" x14ac:dyDescent="0.2">
      <c r="C46" t="s">
        <v>422</v>
      </c>
      <c r="D46" t="s">
        <v>397</v>
      </c>
      <c r="E46" s="22">
        <v>41965</v>
      </c>
      <c r="F46" t="s">
        <v>420</v>
      </c>
    </row>
    <row r="47" spans="3:6" x14ac:dyDescent="0.2">
      <c r="C47" t="s">
        <v>544</v>
      </c>
      <c r="D47" t="s">
        <v>397</v>
      </c>
      <c r="E47" s="22">
        <v>43048</v>
      </c>
      <c r="F47" t="s">
        <v>545</v>
      </c>
    </row>
    <row r="48" spans="3:6" x14ac:dyDescent="0.2">
      <c r="C48" t="s">
        <v>549</v>
      </c>
      <c r="D48" t="s">
        <v>397</v>
      </c>
      <c r="E48" s="22">
        <v>44160</v>
      </c>
      <c r="F48" t="s">
        <v>550</v>
      </c>
    </row>
    <row r="49" spans="3:6" x14ac:dyDescent="0.2">
      <c r="E49" s="22"/>
    </row>
    <row r="51" spans="3:6" x14ac:dyDescent="0.2">
      <c r="C51" s="20" t="str">
        <f>IF(Lang="Français","Paramètres de référence :","Reference parameters:")</f>
        <v>Paramètres de référence :</v>
      </c>
    </row>
    <row r="52" spans="3:6" x14ac:dyDescent="0.2">
      <c r="C52" s="84" t="str">
        <f>IF(Lang="Français","Gravité g :","Gravity g")</f>
        <v>Gravité g :</v>
      </c>
      <c r="E52" s="84">
        <v>9.81</v>
      </c>
      <c r="F52" s="84" t="s">
        <v>7</v>
      </c>
    </row>
    <row r="53" spans="3:6" x14ac:dyDescent="0.2">
      <c r="C53" s="84" t="str">
        <f>IF(Lang="Français","Masse volumique de l'air ρ :","Air density ρ")</f>
        <v>Masse volumique de l'air ρ :</v>
      </c>
      <c r="E53" s="85">
        <v>1.2250000000000001</v>
      </c>
      <c r="F53" s="84" t="s">
        <v>8</v>
      </c>
    </row>
    <row r="54" spans="3:6" x14ac:dyDescent="0.2">
      <c r="C54" s="69"/>
    </row>
    <row r="55" spans="3:6" x14ac:dyDescent="0.2">
      <c r="C55" s="69"/>
    </row>
    <row r="56" spans="3:6" x14ac:dyDescent="0.2">
      <c r="C56" s="69"/>
    </row>
    <row r="57" spans="3:6" x14ac:dyDescent="0.2">
      <c r="C57" s="69"/>
    </row>
    <row r="58" spans="3:6" x14ac:dyDescent="0.2">
      <c r="C58" s="69"/>
    </row>
    <row r="59" spans="3:6" x14ac:dyDescent="0.2">
      <c r="C59" s="69"/>
    </row>
  </sheetData>
  <sheetProtection password="C6AC" sheet="1" objects="1" scenarios="1"/>
  <mergeCells count="1">
    <mergeCell ref="C2:D3"/>
  </mergeCells>
  <phoneticPr fontId="8" type="noConversion"/>
  <hyperlinks>
    <hyperlink ref="H13" r:id="rId1"/>
    <hyperlink ref="H22" r:id="rId2"/>
    <hyperlink ref="H26" r:id="rId3"/>
  </hyperlinks>
  <pageMargins left="0.39370078740157483" right="0.39370078740157483" top="0.39370078740157483" bottom="0.39370078740157483" header="0" footer="0"/>
  <pageSetup scale="73" firstPageNumber="0" orientation="portrait" horizontalDpi="300" verticalDpi="300" r:id="rId4"/>
  <headerFooter alignWithMargins="0"/>
  <drawing r:id="rId5"/>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B1:U140"/>
  <sheetViews>
    <sheetView showGridLines="0" topLeftCell="A103" zoomScaleNormal="100" workbookViewId="0">
      <selection activeCell="K110" sqref="K110"/>
    </sheetView>
  </sheetViews>
  <sheetFormatPr baseColWidth="10" defaultColWidth="11.5703125" defaultRowHeight="12.75" x14ac:dyDescent="0.2"/>
  <cols>
    <col min="1" max="2" width="2.140625" customWidth="1"/>
    <col min="3" max="3" width="12.5703125" customWidth="1"/>
    <col min="4" max="4" width="21" customWidth="1"/>
    <col min="6" max="6" width="14.42578125" bestFit="1" customWidth="1"/>
    <col min="7" max="7" width="26.5703125" customWidth="1"/>
    <col min="8" max="9" width="6.7109375" customWidth="1"/>
    <col min="10" max="10" width="10" customWidth="1"/>
    <col min="11" max="11" width="13" customWidth="1"/>
    <col min="12" max="12" width="21.28515625" customWidth="1"/>
    <col min="14" max="14" width="2.140625" customWidth="1"/>
    <col min="18" max="19" width="16.28515625" customWidth="1"/>
  </cols>
  <sheetData>
    <row r="1" spans="2:21" ht="13.5" thickBot="1" x14ac:dyDescent="0.25">
      <c r="O1" s="8"/>
      <c r="P1" s="499"/>
      <c r="Q1" s="500"/>
      <c r="R1" s="499"/>
      <c r="S1" s="499"/>
      <c r="T1" s="499"/>
      <c r="U1" s="499"/>
    </row>
    <row r="2" spans="2:21" ht="13.5" thickBot="1" x14ac:dyDescent="0.25">
      <c r="B2" s="93"/>
      <c r="C2" s="94"/>
      <c r="D2" s="94"/>
      <c r="E2" s="94"/>
      <c r="F2" s="94"/>
      <c r="G2" s="94"/>
      <c r="H2" s="94"/>
      <c r="I2" s="94"/>
      <c r="J2" s="94"/>
      <c r="K2" s="94"/>
      <c r="L2" s="94"/>
      <c r="M2" s="94"/>
      <c r="N2" s="95"/>
      <c r="O2" s="8"/>
      <c r="P2" s="499"/>
      <c r="Q2" s="500"/>
      <c r="R2" s="499"/>
      <c r="S2" s="499"/>
      <c r="T2" s="499"/>
      <c r="U2" s="499"/>
    </row>
    <row r="3" spans="2:21" ht="15.75" customHeight="1" thickBot="1" x14ac:dyDescent="0.25">
      <c r="B3" s="96"/>
      <c r="C3" s="81"/>
      <c r="D3" s="2" t="s">
        <v>431</v>
      </c>
      <c r="E3" s="81"/>
      <c r="F3" s="81"/>
      <c r="G3" s="81"/>
      <c r="H3" s="81"/>
      <c r="I3" s="81"/>
      <c r="J3" s="81"/>
      <c r="K3" s="81"/>
      <c r="L3" s="81"/>
      <c r="M3" s="81"/>
      <c r="N3" s="97"/>
      <c r="O3" s="8"/>
      <c r="P3" s="501" t="s">
        <v>342</v>
      </c>
      <c r="Q3" s="511">
        <f>Long_ogive</f>
        <v>40</v>
      </c>
      <c r="R3" s="499"/>
      <c r="S3" s="499"/>
      <c r="T3" s="499"/>
      <c r="U3" s="499"/>
    </row>
    <row r="4" spans="2:21" ht="15.75" customHeight="1" x14ac:dyDescent="0.2">
      <c r="B4" s="96"/>
      <c r="C4" s="81"/>
      <c r="D4" s="2"/>
      <c r="E4" s="81"/>
      <c r="F4" s="81"/>
      <c r="G4" s="81"/>
      <c r="H4" s="81"/>
      <c r="I4" s="81"/>
      <c r="J4" s="81"/>
      <c r="K4" s="81"/>
      <c r="L4" s="81"/>
      <c r="M4" s="81"/>
      <c r="N4" s="97"/>
      <c r="O4" s="8"/>
      <c r="P4" s="501"/>
      <c r="Q4" s="505"/>
      <c r="R4" s="499"/>
      <c r="S4" s="499"/>
      <c r="T4" s="499"/>
      <c r="U4" s="499"/>
    </row>
    <row r="5" spans="2:21" ht="15.75" customHeight="1" x14ac:dyDescent="0.2">
      <c r="B5" s="96"/>
      <c r="C5" s="81"/>
      <c r="D5" s="643" t="s">
        <v>464</v>
      </c>
      <c r="E5" s="81" t="str">
        <f>Propu</f>
        <v>Barasinga (Pro54-5G C)</v>
      </c>
      <c r="F5" s="81"/>
      <c r="G5" s="81" t="s">
        <v>461</v>
      </c>
      <c r="H5" s="81">
        <f>MasseSans</f>
        <v>7.73</v>
      </c>
      <c r="I5" s="81"/>
      <c r="J5" s="81"/>
      <c r="K5" s="81"/>
      <c r="L5" s="81"/>
      <c r="M5" s="81"/>
      <c r="N5" s="97"/>
      <c r="O5" s="8"/>
      <c r="P5" s="501"/>
      <c r="Q5" s="505"/>
      <c r="R5" s="499"/>
      <c r="S5" s="499"/>
      <c r="T5" s="499"/>
      <c r="U5" s="499"/>
    </row>
    <row r="6" spans="2:21" x14ac:dyDescent="0.2">
      <c r="B6" s="96"/>
      <c r="D6" s="81" t="s">
        <v>457</v>
      </c>
      <c r="E6" s="2" t="str">
        <f>Trajecto!H32</f>
        <v>Brun/Orange…</v>
      </c>
      <c r="G6" s="81" t="s">
        <v>462</v>
      </c>
      <c r="H6" s="81">
        <f>D_ref</f>
        <v>100</v>
      </c>
      <c r="I6" s="81"/>
      <c r="J6" s="81"/>
      <c r="K6" s="81"/>
      <c r="L6" s="81"/>
      <c r="M6" s="81"/>
      <c r="N6" s="97"/>
      <c r="O6" s="8"/>
      <c r="P6" s="501"/>
      <c r="Q6" s="505"/>
      <c r="R6" s="499"/>
      <c r="S6" s="499"/>
      <c r="T6" s="499"/>
      <c r="U6" s="499"/>
    </row>
    <row r="7" spans="2:21" x14ac:dyDescent="0.2">
      <c r="B7" s="96"/>
      <c r="D7" s="81" t="s">
        <v>459</v>
      </c>
      <c r="E7" s="2" t="str">
        <f>Trajecto!H33</f>
        <v>Rouge…</v>
      </c>
      <c r="G7" t="s">
        <v>5</v>
      </c>
      <c r="H7">
        <f>Cx</f>
        <v>0.6</v>
      </c>
      <c r="I7" s="81"/>
      <c r="J7" s="81"/>
      <c r="K7" s="81"/>
      <c r="L7" s="81"/>
      <c r="M7" s="81"/>
      <c r="N7" s="97"/>
      <c r="O7" s="8"/>
      <c r="P7" s="501"/>
      <c r="Q7" s="505"/>
      <c r="R7" s="499"/>
      <c r="S7" s="499"/>
      <c r="T7" s="499"/>
      <c r="U7" s="499"/>
    </row>
    <row r="8" spans="2:21" x14ac:dyDescent="0.2">
      <c r="B8" s="96"/>
      <c r="D8" s="81" t="s">
        <v>460</v>
      </c>
      <c r="E8" s="2">
        <f>S_para</f>
        <v>1.25</v>
      </c>
      <c r="G8" s="81" t="s">
        <v>463</v>
      </c>
      <c r="H8" s="81">
        <f>L_rampe</f>
        <v>4</v>
      </c>
      <c r="I8" s="81"/>
      <c r="J8" s="81"/>
      <c r="K8" s="81"/>
      <c r="L8" s="81"/>
      <c r="M8" s="81"/>
      <c r="N8" s="97"/>
      <c r="O8" s="8"/>
      <c r="P8" s="501"/>
      <c r="Q8" s="505"/>
      <c r="R8" s="499"/>
      <c r="S8" s="499"/>
      <c r="T8" s="499"/>
      <c r="U8" s="499"/>
    </row>
    <row r="9" spans="2:21" x14ac:dyDescent="0.2">
      <c r="B9" s="96"/>
      <c r="D9" s="24" t="s">
        <v>458</v>
      </c>
      <c r="E9" s="2"/>
      <c r="G9" s="24" t="s">
        <v>147</v>
      </c>
      <c r="H9" s="642" t="str">
        <f>Forme_ogive</f>
        <v>Parabolique (arrondie)</v>
      </c>
      <c r="I9" s="81"/>
      <c r="J9" s="81"/>
      <c r="K9" s="81"/>
      <c r="L9" s="81"/>
      <c r="M9" s="81"/>
      <c r="N9" s="97"/>
      <c r="O9" s="8"/>
      <c r="P9" s="501"/>
      <c r="Q9" s="505"/>
      <c r="R9" s="499"/>
      <c r="S9" s="499"/>
      <c r="T9" s="499"/>
      <c r="U9" s="499"/>
    </row>
    <row r="10" spans="2:21" x14ac:dyDescent="0.2">
      <c r="B10" s="96"/>
      <c r="C10" s="81"/>
      <c r="D10" s="81"/>
      <c r="E10" s="81"/>
      <c r="F10" s="4"/>
      <c r="G10" s="492"/>
      <c r="H10" s="81"/>
      <c r="I10" s="81"/>
      <c r="J10" s="81"/>
      <c r="K10" s="81"/>
      <c r="L10" s="81"/>
      <c r="M10" s="81"/>
      <c r="N10" s="97"/>
      <c r="O10" s="617"/>
      <c r="P10" s="499"/>
      <c r="Q10" s="505"/>
      <c r="R10" s="499"/>
      <c r="S10" s="499"/>
      <c r="T10" s="499"/>
      <c r="U10" s="499"/>
    </row>
    <row r="11" spans="2:21" ht="13.5" thickBot="1" x14ac:dyDescent="0.25">
      <c r="B11" s="96"/>
      <c r="C11" s="607"/>
      <c r="D11" s="323" t="s">
        <v>456</v>
      </c>
      <c r="E11" s="287">
        <f>MasseSans</f>
        <v>7.73</v>
      </c>
      <c r="F11" s="609" t="s">
        <v>124</v>
      </c>
      <c r="G11" s="609" t="s">
        <v>126</v>
      </c>
      <c r="H11" s="895">
        <f ca="1">Vsortie_de_rampe</f>
        <v>25.047800240115347</v>
      </c>
      <c r="I11" s="896"/>
      <c r="J11" s="98"/>
      <c r="K11" s="81"/>
      <c r="L11" s="81"/>
      <c r="M11" s="81"/>
      <c r="N11" s="97"/>
      <c r="O11" s="81"/>
      <c r="P11" s="499"/>
      <c r="Q11" s="505"/>
      <c r="R11" s="499"/>
      <c r="S11" s="499"/>
      <c r="T11" s="499"/>
      <c r="U11" s="510">
        <f>IF(RIGHT(Nb_diam,1)=",", "", X_j)</f>
        <v>40</v>
      </c>
    </row>
    <row r="12" spans="2:21" ht="13.5" thickBot="1" x14ac:dyDescent="0.25">
      <c r="B12" s="96"/>
      <c r="C12" s="607"/>
      <c r="D12" s="324"/>
      <c r="E12" s="288"/>
      <c r="F12" s="492" t="s">
        <v>124</v>
      </c>
      <c r="G12" s="492" t="s">
        <v>127</v>
      </c>
      <c r="H12" s="897">
        <f>Finesse</f>
        <v>21.95</v>
      </c>
      <c r="I12" s="898"/>
      <c r="J12" s="98"/>
      <c r="K12" s="81"/>
      <c r="L12" s="81"/>
      <c r="M12" s="81"/>
      <c r="N12" s="97"/>
      <c r="O12" s="8"/>
      <c r="P12" s="501" t="s">
        <v>343</v>
      </c>
      <c r="Q12" s="511">
        <f>D_og</f>
        <v>90</v>
      </c>
      <c r="R12" s="499"/>
      <c r="S12" s="499"/>
      <c r="T12" s="499"/>
      <c r="U12" s="505"/>
    </row>
    <row r="13" spans="2:21" x14ac:dyDescent="0.2">
      <c r="B13" s="96"/>
      <c r="C13" s="607"/>
      <c r="D13" s="324" t="s">
        <v>5</v>
      </c>
      <c r="E13" s="288">
        <f>Cx</f>
        <v>0.6</v>
      </c>
      <c r="F13" s="492" t="s">
        <v>124</v>
      </c>
      <c r="G13" s="492" t="s">
        <v>435</v>
      </c>
      <c r="H13" s="897">
        <f>Cn</f>
        <v>18.283976369656074</v>
      </c>
      <c r="I13" s="898"/>
      <c r="J13" s="98"/>
      <c r="K13" s="81"/>
      <c r="L13" s="81"/>
      <c r="M13" s="81"/>
      <c r="N13" s="97"/>
      <c r="O13" s="8"/>
      <c r="P13" s="499"/>
      <c r="Q13" s="505"/>
      <c r="R13" s="499"/>
      <c r="S13" s="499"/>
      <c r="T13" s="499"/>
      <c r="U13" s="510">
        <f>IF(RIGHT(Nb_diam,1)=",", "", X_r)</f>
        <v>500</v>
      </c>
    </row>
    <row r="14" spans="2:21" x14ac:dyDescent="0.2">
      <c r="B14" s="96"/>
      <c r="C14" s="554"/>
      <c r="D14" s="324" t="s">
        <v>144</v>
      </c>
      <c r="E14" s="288">
        <f>L_rampe</f>
        <v>4</v>
      </c>
      <c r="F14" s="492" t="s">
        <v>124</v>
      </c>
      <c r="G14" s="492" t="s">
        <v>128</v>
      </c>
      <c r="H14" s="304">
        <f ca="1">MS_min</f>
        <v>2.2973047813562699</v>
      </c>
      <c r="I14" s="611">
        <f ca="1">MS_max</f>
        <v>3.3981335823664631</v>
      </c>
      <c r="J14" s="98"/>
      <c r="K14" s="98"/>
      <c r="L14" s="81"/>
      <c r="M14" s="81"/>
      <c r="N14" s="97"/>
      <c r="O14" s="81"/>
      <c r="P14" s="499"/>
      <c r="Q14" s="505"/>
      <c r="R14" s="499"/>
      <c r="S14" s="499"/>
      <c r="T14" s="499"/>
      <c r="U14" s="505"/>
    </row>
    <row r="15" spans="2:21" x14ac:dyDescent="0.2">
      <c r="B15" s="96"/>
      <c r="C15" s="554"/>
      <c r="D15" s="324" t="s">
        <v>145</v>
      </c>
      <c r="E15" s="288">
        <f>ep_ail</f>
        <v>2</v>
      </c>
      <c r="F15" s="492" t="s">
        <v>124</v>
      </c>
      <c r="G15" s="492" t="s">
        <v>125</v>
      </c>
      <c r="H15" s="304">
        <f ca="1">MS_Cn_min</f>
        <v>42.00386633621595</v>
      </c>
      <c r="I15" s="611">
        <f ca="1">MS_Cn_max</f>
        <v>66.822200857066804</v>
      </c>
      <c r="J15" s="98"/>
      <c r="K15" s="98"/>
      <c r="L15" s="81"/>
      <c r="M15" s="81"/>
      <c r="N15" s="97"/>
      <c r="O15" s="81"/>
      <c r="P15" s="499"/>
      <c r="Q15" s="505"/>
      <c r="R15" s="499"/>
      <c r="S15" s="499"/>
      <c r="T15" s="499"/>
    </row>
    <row r="16" spans="2:21" x14ac:dyDescent="0.2">
      <c r="B16" s="96"/>
      <c r="C16" s="554"/>
      <c r="D16" s="324" t="s">
        <v>146</v>
      </c>
      <c r="E16" s="288">
        <f>Q_ail</f>
        <v>4</v>
      </c>
      <c r="F16" s="492" t="s">
        <v>129</v>
      </c>
      <c r="G16" s="492" t="s">
        <v>130</v>
      </c>
      <c r="H16" s="304">
        <f ca="1">V_para</f>
        <v>10.363352699955428</v>
      </c>
      <c r="I16" s="610">
        <f>V_satellite</f>
        <v>12.655562623057198</v>
      </c>
      <c r="J16" s="98"/>
      <c r="K16" s="81"/>
      <c r="L16" s="81"/>
      <c r="M16" s="81"/>
      <c r="N16" s="97"/>
      <c r="O16" s="81"/>
      <c r="P16" s="499"/>
      <c r="Q16" s="505"/>
      <c r="R16" s="499"/>
      <c r="S16" s="499"/>
      <c r="T16" s="499"/>
      <c r="U16" s="510">
        <f>IF(RIGHT(Nb_diam,1)=",", "", l_j)</f>
        <v>188</v>
      </c>
    </row>
    <row r="17" spans="2:21" x14ac:dyDescent="0.2">
      <c r="B17" s="96"/>
      <c r="C17" s="554"/>
      <c r="D17" s="324" t="s">
        <v>147</v>
      </c>
      <c r="E17" s="320" t="str">
        <f>Forme_ogive</f>
        <v>Parabolique (arrondie)</v>
      </c>
      <c r="F17" s="492" t="s">
        <v>131</v>
      </c>
      <c r="G17" s="492" t="s">
        <v>132</v>
      </c>
      <c r="H17" s="897">
        <f>T_para</f>
        <v>8</v>
      </c>
      <c r="I17" s="898"/>
      <c r="J17" s="302"/>
      <c r="K17" s="81"/>
      <c r="L17" s="81"/>
      <c r="M17" s="81"/>
      <c r="N17" s="97"/>
      <c r="O17" s="81"/>
      <c r="P17" s="502" t="s">
        <v>344</v>
      </c>
      <c r="Q17" s="510">
        <f>IF(RIGHT(Nb_diam,1)=",", "", D2j)</f>
        <v>100</v>
      </c>
      <c r="R17" s="499"/>
      <c r="S17" s="499"/>
      <c r="T17" s="499"/>
      <c r="U17" s="505"/>
    </row>
    <row r="18" spans="2:21" x14ac:dyDescent="0.2">
      <c r="B18" s="96"/>
      <c r="C18" s="554"/>
      <c r="D18" s="324" t="s">
        <v>149</v>
      </c>
      <c r="E18" s="288">
        <f ca="1">XpropuRef-Long_propu</f>
        <v>1716</v>
      </c>
      <c r="F18" s="607" t="s">
        <v>131</v>
      </c>
      <c r="G18" s="607" t="s">
        <v>429</v>
      </c>
      <c r="H18" s="899">
        <f ca="1">T_para-Combustion-Depotage</f>
        <v>8</v>
      </c>
      <c r="I18" s="900"/>
      <c r="J18" s="81"/>
      <c r="K18" s="81"/>
      <c r="L18" s="81"/>
      <c r="M18" s="81"/>
      <c r="N18" s="97"/>
      <c r="O18" s="81"/>
      <c r="P18" s="499"/>
      <c r="Q18" s="505"/>
      <c r="R18" s="499"/>
      <c r="S18" s="499"/>
    </row>
    <row r="19" spans="2:21" x14ac:dyDescent="0.2">
      <c r="B19" s="96"/>
      <c r="C19" s="641"/>
      <c r="D19" s="317"/>
      <c r="E19" s="319"/>
      <c r="F19" s="614" t="s">
        <v>133</v>
      </c>
      <c r="G19" s="612" t="s">
        <v>428</v>
      </c>
      <c r="H19" s="901">
        <f ca="1">Portee_balistique</f>
        <v>953.1802660510491</v>
      </c>
      <c r="I19" s="902"/>
      <c r="J19" s="81"/>
      <c r="K19" s="81"/>
      <c r="L19" s="81"/>
      <c r="M19" s="81"/>
      <c r="N19" s="97"/>
      <c r="O19" s="81"/>
      <c r="P19" s="499"/>
      <c r="Q19" s="505"/>
      <c r="R19" s="499"/>
      <c r="S19" s="499"/>
      <c r="T19" s="499"/>
    </row>
    <row r="20" spans="2:21" x14ac:dyDescent="0.2">
      <c r="B20" s="96"/>
      <c r="C20" s="554"/>
      <c r="D20" s="8"/>
      <c r="E20" s="8"/>
      <c r="H20" s="613"/>
      <c r="I20" s="613"/>
      <c r="J20" s="81"/>
      <c r="K20" s="81"/>
      <c r="L20" s="81"/>
      <c r="M20" s="81"/>
      <c r="N20" s="97"/>
      <c r="O20" s="81"/>
      <c r="P20" s="499"/>
      <c r="Q20" s="505"/>
      <c r="R20" s="499"/>
      <c r="S20" s="499"/>
      <c r="T20" s="499"/>
      <c r="U20" s="510">
        <f>IF(RIGHT(Nb_diam,1)=",", "", l_r)</f>
        <v>50</v>
      </c>
    </row>
    <row r="21" spans="2:21" x14ac:dyDescent="0.2">
      <c r="B21" s="96"/>
      <c r="C21" s="554"/>
      <c r="D21" s="8"/>
      <c r="E21" s="311"/>
      <c r="F21" s="4"/>
      <c r="G21" s="492"/>
      <c r="H21" s="613"/>
      <c r="I21" s="613"/>
      <c r="J21" s="81"/>
      <c r="K21" s="81"/>
      <c r="L21" s="81"/>
      <c r="M21" s="81"/>
      <c r="N21" s="97"/>
      <c r="O21" s="619"/>
      <c r="P21" s="505"/>
      <c r="Q21" s="500"/>
      <c r="R21" s="499"/>
      <c r="S21" s="499"/>
      <c r="T21" s="620"/>
      <c r="U21" s="505"/>
    </row>
    <row r="22" spans="2:21" x14ac:dyDescent="0.2">
      <c r="B22" s="96"/>
      <c r="C22" s="632" t="s">
        <v>455</v>
      </c>
      <c r="D22" s="629" t="s">
        <v>439</v>
      </c>
      <c r="E22" s="630"/>
      <c r="F22" s="631" t="s">
        <v>444</v>
      </c>
      <c r="G22" s="632" t="s">
        <v>449</v>
      </c>
      <c r="I22" s="633"/>
      <c r="J22" s="640" t="s">
        <v>157</v>
      </c>
      <c r="K22" s="629" t="s">
        <v>158</v>
      </c>
      <c r="N22" s="97"/>
      <c r="O22" s="619"/>
      <c r="P22" s="505"/>
      <c r="Q22" s="500"/>
      <c r="R22" s="499"/>
      <c r="S22" s="499"/>
      <c r="T22" s="620"/>
      <c r="U22" s="505"/>
    </row>
    <row r="23" spans="2:21" x14ac:dyDescent="0.2">
      <c r="B23" s="96"/>
      <c r="C23" s="632" t="s">
        <v>454</v>
      </c>
      <c r="D23" s="630">
        <f>XcgSans</f>
        <v>1180</v>
      </c>
      <c r="E23" s="630" t="s">
        <v>39</v>
      </c>
      <c r="F23" s="635">
        <f>m_ail</f>
        <v>290</v>
      </c>
      <c r="G23" s="636">
        <f>m_can</f>
        <v>150</v>
      </c>
      <c r="I23" s="633" t="s">
        <v>450</v>
      </c>
      <c r="J23" s="637">
        <f>l_j</f>
        <v>188</v>
      </c>
      <c r="K23" s="634">
        <f>l_r</f>
        <v>50</v>
      </c>
      <c r="N23" s="97"/>
      <c r="O23" s="619"/>
      <c r="P23" s="505"/>
      <c r="Q23" s="500"/>
      <c r="R23" s="499"/>
      <c r="S23" s="499"/>
      <c r="T23" s="620"/>
      <c r="U23" s="505"/>
    </row>
    <row r="24" spans="2:21" x14ac:dyDescent="0.2">
      <c r="B24" s="96"/>
      <c r="C24" s="632" t="s">
        <v>442</v>
      </c>
      <c r="D24" s="634">
        <f>Long_tot</f>
        <v>2195</v>
      </c>
      <c r="E24" s="630" t="s">
        <v>445</v>
      </c>
      <c r="F24" s="635">
        <f>n_ail</f>
        <v>150</v>
      </c>
      <c r="G24" s="636">
        <f>n_can</f>
        <v>150</v>
      </c>
      <c r="I24" s="633" t="s">
        <v>451</v>
      </c>
      <c r="J24" s="637">
        <f>D1j</f>
        <v>90</v>
      </c>
      <c r="K24" s="634">
        <f>D1r</f>
        <v>100</v>
      </c>
      <c r="N24" s="97"/>
      <c r="O24" s="619"/>
      <c r="P24" s="505"/>
      <c r="Q24" s="500"/>
      <c r="R24" s="499"/>
      <c r="S24" s="499"/>
      <c r="T24" s="620"/>
      <c r="U24" s="505"/>
    </row>
    <row r="25" spans="2:21" x14ac:dyDescent="0.2">
      <c r="B25" s="96"/>
      <c r="C25" s="632" t="s">
        <v>443</v>
      </c>
      <c r="D25" s="634">
        <f>XpropuRef</f>
        <v>2204</v>
      </c>
      <c r="E25" s="630" t="s">
        <v>446</v>
      </c>
      <c r="F25" s="635">
        <f>p_ail</f>
        <v>73</v>
      </c>
      <c r="G25" s="636">
        <f>p_can</f>
        <v>0</v>
      </c>
      <c r="I25" s="633" t="s">
        <v>452</v>
      </c>
      <c r="J25" s="637">
        <f>D2j</f>
        <v>100</v>
      </c>
      <c r="K25" s="634">
        <f>D2r</f>
        <v>100</v>
      </c>
      <c r="N25" s="97"/>
      <c r="O25" s="619"/>
      <c r="P25" s="505"/>
      <c r="Q25" s="500"/>
      <c r="R25" s="499"/>
      <c r="S25" s="499"/>
      <c r="T25" s="620"/>
      <c r="U25" s="505"/>
    </row>
    <row r="26" spans="2:21" x14ac:dyDescent="0.2">
      <c r="B26" s="96"/>
      <c r="C26" s="632" t="s">
        <v>440</v>
      </c>
      <c r="D26" s="634">
        <f>D_ref</f>
        <v>100</v>
      </c>
      <c r="E26" s="630" t="s">
        <v>447</v>
      </c>
      <c r="F26" s="635">
        <f>E_ail</f>
        <v>125</v>
      </c>
      <c r="G26" s="636">
        <f>E_can</f>
        <v>48</v>
      </c>
      <c r="I26" s="633" t="s">
        <v>453</v>
      </c>
      <c r="J26" s="637">
        <f>X_j</f>
        <v>40</v>
      </c>
      <c r="K26" s="634">
        <f>X_r</f>
        <v>500</v>
      </c>
      <c r="N26" s="97"/>
      <c r="O26" s="619"/>
      <c r="P26" s="505"/>
      <c r="Q26" s="500"/>
      <c r="R26" s="499"/>
      <c r="S26" s="499"/>
      <c r="T26" s="620"/>
      <c r="U26" s="505"/>
    </row>
    <row r="27" spans="2:21" x14ac:dyDescent="0.2">
      <c r="B27" s="96"/>
      <c r="C27" s="632" t="s">
        <v>441</v>
      </c>
      <c r="D27" s="634">
        <f>Long_ogive</f>
        <v>40</v>
      </c>
      <c r="E27" s="630" t="s">
        <v>448</v>
      </c>
      <c r="F27" s="635">
        <f>X_ail</f>
        <v>2185</v>
      </c>
      <c r="G27" s="636">
        <f>X_can</f>
        <v>600</v>
      </c>
      <c r="H27" s="613"/>
      <c r="I27" s="638"/>
      <c r="J27" s="639"/>
      <c r="N27" s="97"/>
      <c r="O27" s="619"/>
      <c r="P27" s="505"/>
      <c r="Q27" s="500"/>
      <c r="R27" s="499"/>
      <c r="S27" s="499"/>
      <c r="T27" s="620"/>
      <c r="U27" s="505"/>
    </row>
    <row r="28" spans="2:21" ht="13.5" thickBot="1" x14ac:dyDescent="0.25">
      <c r="B28" s="96"/>
      <c r="C28" s="81"/>
      <c r="D28" s="81"/>
      <c r="E28" s="124"/>
      <c r="F28" s="81"/>
      <c r="G28" s="81"/>
      <c r="H28" s="81"/>
      <c r="I28" s="81"/>
      <c r="J28" s="81"/>
      <c r="K28" s="81"/>
      <c r="L28" s="81"/>
      <c r="M28" s="81"/>
      <c r="N28" s="97"/>
      <c r="O28" s="2"/>
      <c r="P28" s="8"/>
      <c r="Q28" s="2"/>
      <c r="R28" s="499"/>
      <c r="S28" s="499"/>
      <c r="T28" s="499"/>
      <c r="U28" s="505"/>
    </row>
    <row r="29" spans="2:21" ht="13.5" thickBot="1" x14ac:dyDescent="0.25">
      <c r="B29" s="96"/>
      <c r="C29" s="892" t="s">
        <v>142</v>
      </c>
      <c r="D29" s="892" t="s">
        <v>134</v>
      </c>
      <c r="E29" s="892" t="s">
        <v>135</v>
      </c>
      <c r="F29" s="892"/>
      <c r="G29" s="892"/>
      <c r="H29" s="893" t="s">
        <v>136</v>
      </c>
      <c r="I29" s="893"/>
      <c r="J29" s="893"/>
      <c r="K29" s="893"/>
      <c r="L29" s="892" t="s">
        <v>137</v>
      </c>
      <c r="M29" s="892" t="s">
        <v>138</v>
      </c>
      <c r="N29" s="97"/>
      <c r="O29" s="619" t="s">
        <v>432</v>
      </c>
      <c r="P29" s="511">
        <f>n_ail</f>
        <v>150</v>
      </c>
      <c r="Q29" s="2"/>
      <c r="R29" s="499"/>
      <c r="S29" s="499"/>
      <c r="T29" s="499"/>
      <c r="U29" s="608" t="s">
        <v>436</v>
      </c>
    </row>
    <row r="30" spans="2:21" ht="13.5" thickBot="1" x14ac:dyDescent="0.25">
      <c r="B30" s="96"/>
      <c r="C30" s="892"/>
      <c r="D30" s="892"/>
      <c r="E30" s="892"/>
      <c r="F30" s="892"/>
      <c r="G30" s="892"/>
      <c r="H30" s="893" t="s">
        <v>139</v>
      </c>
      <c r="I30" s="893"/>
      <c r="J30" s="91" t="s">
        <v>140</v>
      </c>
      <c r="K30" s="92" t="s">
        <v>141</v>
      </c>
      <c r="L30" s="892"/>
      <c r="M30" s="892"/>
      <c r="N30" s="97"/>
      <c r="P30" s="512"/>
      <c r="R30" s="499"/>
      <c r="S30" s="499"/>
      <c r="T30" s="618" t="s">
        <v>434</v>
      </c>
      <c r="U30" s="624">
        <f>[0]!p_can</f>
        <v>0</v>
      </c>
    </row>
    <row r="31" spans="2:21" ht="13.5" thickBot="1" x14ac:dyDescent="0.25">
      <c r="B31" s="96"/>
      <c r="C31" s="107">
        <f>Beta_rampe</f>
        <v>80</v>
      </c>
      <c r="D31" s="108">
        <f ca="1">Portee_balistique</f>
        <v>953.1802660510491</v>
      </c>
      <c r="E31" s="891">
        <f ca="1">T_para+Dt_para</f>
        <v>102.3476948586928</v>
      </c>
      <c r="F31" s="891"/>
      <c r="G31" s="891"/>
      <c r="H31" s="894">
        <f ca="1">Altitude_culmi</f>
        <v>1390.4230491725832</v>
      </c>
      <c r="I31" s="894"/>
      <c r="J31" s="109">
        <f ca="1">Temps_culmi</f>
        <v>16.899999999999928</v>
      </c>
      <c r="K31" s="110">
        <f ca="1">Vit_culmi</f>
        <v>28.216112506228573</v>
      </c>
      <c r="L31" s="108">
        <f ca="1">Acc_max</f>
        <v>85.232370028523292</v>
      </c>
      <c r="M31" s="110">
        <f ca="1">Vit_max</f>
        <v>179.2876292360306</v>
      </c>
      <c r="N31" s="97"/>
      <c r="O31" s="619" t="s">
        <v>438</v>
      </c>
      <c r="P31" s="511">
        <f>ep_ail</f>
        <v>2</v>
      </c>
      <c r="Q31" s="2"/>
      <c r="R31" s="499"/>
      <c r="S31" s="499"/>
      <c r="T31" s="622" t="s">
        <v>346</v>
      </c>
      <c r="U31" s="624">
        <f>[0]!m_can</f>
        <v>150</v>
      </c>
    </row>
    <row r="32" spans="2:21" ht="13.5" thickBot="1" x14ac:dyDescent="0.25">
      <c r="B32" s="96"/>
      <c r="C32" s="615"/>
      <c r="D32" s="307"/>
      <c r="E32" s="304"/>
      <c r="F32" s="304"/>
      <c r="G32" s="304"/>
      <c r="H32" s="616"/>
      <c r="I32" s="616"/>
      <c r="J32" s="304"/>
      <c r="K32" s="306"/>
      <c r="L32" s="307"/>
      <c r="M32" s="306"/>
      <c r="N32" s="97"/>
      <c r="O32" s="619" t="s">
        <v>437</v>
      </c>
      <c r="P32" s="621">
        <f>Q_ail</f>
        <v>4</v>
      </c>
      <c r="Q32" s="2"/>
      <c r="R32" s="499"/>
      <c r="S32" s="499"/>
      <c r="T32" s="622" t="s">
        <v>432</v>
      </c>
      <c r="U32" s="624">
        <f>[0]!n_can</f>
        <v>150</v>
      </c>
    </row>
    <row r="33" spans="2:21" ht="13.5" thickBot="1" x14ac:dyDescent="0.25">
      <c r="B33" s="96"/>
      <c r="C33" s="81"/>
      <c r="D33" s="103"/>
      <c r="E33" s="104"/>
      <c r="F33" s="104"/>
      <c r="G33" s="104"/>
      <c r="H33" s="105"/>
      <c r="I33" s="105"/>
      <c r="J33" s="104"/>
      <c r="K33" s="106"/>
      <c r="L33" s="103"/>
      <c r="M33" s="106"/>
      <c r="N33" s="97"/>
      <c r="O33" s="2"/>
      <c r="Q33" s="2"/>
      <c r="R33" s="499"/>
      <c r="S33" s="499"/>
      <c r="T33" s="618" t="s">
        <v>433</v>
      </c>
      <c r="U33" s="624">
        <f>[0]!E_can</f>
        <v>48</v>
      </c>
    </row>
    <row r="34" spans="2:21" ht="13.5" thickBot="1" x14ac:dyDescent="0.25">
      <c r="B34" s="99"/>
      <c r="C34" s="102"/>
      <c r="D34" s="100"/>
      <c r="E34" s="100"/>
      <c r="F34" s="100"/>
      <c r="G34" s="100"/>
      <c r="H34" s="100"/>
      <c r="I34" s="100"/>
      <c r="J34" s="100"/>
      <c r="K34" s="100"/>
      <c r="L34" s="100"/>
      <c r="M34" s="100"/>
      <c r="N34" s="101"/>
      <c r="O34" s="2"/>
      <c r="P34" s="501" t="s">
        <v>433</v>
      </c>
      <c r="Q34" s="511">
        <f>E_ail</f>
        <v>125</v>
      </c>
      <c r="T34" s="626" t="s">
        <v>438</v>
      </c>
      <c r="U34" s="624">
        <f>[0]!ep_can</f>
        <v>45</v>
      </c>
    </row>
    <row r="35" spans="2:21" x14ac:dyDescent="0.2">
      <c r="B35" s="81"/>
      <c r="C35" s="81"/>
      <c r="D35" s="23"/>
      <c r="E35" s="23"/>
      <c r="F35" s="23"/>
      <c r="G35" s="23"/>
      <c r="H35" s="23"/>
      <c r="I35" s="23"/>
      <c r="J35" s="23"/>
      <c r="K35" s="23"/>
      <c r="L35" s="23"/>
      <c r="M35" s="23"/>
      <c r="N35" s="81"/>
      <c r="O35" s="2"/>
      <c r="P35" s="8"/>
      <c r="Q35" s="8"/>
      <c r="R35" s="81"/>
      <c r="S35" s="81"/>
      <c r="T35" s="623" t="s">
        <v>437</v>
      </c>
      <c r="U35" s="625">
        <f>[0]!Q_can</f>
        <v>4</v>
      </c>
    </row>
    <row r="36" spans="2:21" ht="13.5" thickBot="1" x14ac:dyDescent="0.25">
      <c r="T36" s="2"/>
      <c r="U36" s="512"/>
    </row>
    <row r="37" spans="2:21" x14ac:dyDescent="0.2">
      <c r="B37" s="93"/>
      <c r="C37" s="94"/>
      <c r="D37" s="94"/>
      <c r="E37" s="94"/>
      <c r="F37" s="94"/>
      <c r="G37" s="94"/>
      <c r="H37" s="94"/>
      <c r="I37" s="94"/>
      <c r="J37" s="94"/>
      <c r="K37" s="94"/>
      <c r="L37" s="94"/>
      <c r="M37" s="94"/>
      <c r="N37" s="95"/>
      <c r="T37" s="2"/>
    </row>
    <row r="38" spans="2:21" x14ac:dyDescent="0.2">
      <c r="B38" s="96"/>
      <c r="C38" s="81"/>
      <c r="D38" s="2" t="s">
        <v>196</v>
      </c>
      <c r="E38" s="81"/>
      <c r="F38" s="81"/>
      <c r="G38" s="81"/>
      <c r="H38" s="81"/>
      <c r="I38" s="81"/>
      <c r="J38" s="81"/>
      <c r="K38" s="81"/>
      <c r="L38" s="81"/>
      <c r="M38" s="81"/>
      <c r="N38" s="97"/>
    </row>
    <row r="39" spans="2:21" x14ac:dyDescent="0.2">
      <c r="B39" s="96"/>
      <c r="C39" s="81"/>
      <c r="D39" s="2"/>
      <c r="E39" s="81"/>
      <c r="F39" s="81"/>
      <c r="G39" s="81"/>
      <c r="H39" s="81"/>
      <c r="I39" s="81"/>
      <c r="J39" s="81"/>
      <c r="K39" s="81"/>
      <c r="L39" s="81"/>
      <c r="M39" s="81"/>
      <c r="N39" s="97"/>
    </row>
    <row r="40" spans="2:21" x14ac:dyDescent="0.2">
      <c r="B40" s="96"/>
      <c r="C40" s="81"/>
      <c r="D40" s="323" t="s">
        <v>150</v>
      </c>
      <c r="E40" s="290">
        <f>D_ref</f>
        <v>100</v>
      </c>
      <c r="F40" s="313"/>
      <c r="G40" s="313"/>
      <c r="H40" s="309" t="s">
        <v>199</v>
      </c>
      <c r="I40" s="309" t="s">
        <v>200</v>
      </c>
      <c r="J40" s="310" t="s">
        <v>201</v>
      </c>
      <c r="K40" s="81"/>
      <c r="L40" s="81"/>
      <c r="M40" s="81"/>
      <c r="N40" s="97"/>
    </row>
    <row r="41" spans="2:21" x14ac:dyDescent="0.2">
      <c r="B41" s="96"/>
      <c r="C41" s="81"/>
      <c r="D41" s="324" t="s">
        <v>148</v>
      </c>
      <c r="E41" s="8">
        <f>Long_ogive</f>
        <v>40</v>
      </c>
      <c r="F41" s="2"/>
      <c r="G41" s="2" t="s">
        <v>202</v>
      </c>
      <c r="H41" s="8">
        <f>MasseSans</f>
        <v>7.73</v>
      </c>
      <c r="I41" s="8">
        <f ca="1">MasseVide</f>
        <v>8.3819999999999997</v>
      </c>
      <c r="J41" s="288">
        <f ca="1">MassePlein</f>
        <v>9.4150000000000009</v>
      </c>
      <c r="K41" s="81"/>
      <c r="L41" s="81"/>
      <c r="M41" s="81"/>
      <c r="N41" s="97"/>
    </row>
    <row r="42" spans="2:21" x14ac:dyDescent="0.2">
      <c r="B42" s="96"/>
      <c r="C42" s="81"/>
      <c r="D42" s="324" t="s">
        <v>151</v>
      </c>
      <c r="E42" s="8">
        <f>X_ail-m_ail</f>
        <v>1895</v>
      </c>
      <c r="F42" s="299"/>
      <c r="G42" s="299" t="s">
        <v>219</v>
      </c>
      <c r="H42" s="311">
        <f>XcgSans</f>
        <v>1180</v>
      </c>
      <c r="I42" s="311">
        <f ca="1">XcgVide</f>
        <v>1240.3617275113338</v>
      </c>
      <c r="J42" s="289">
        <f ca="1">XcgPlein</f>
        <v>1320.6702071163038</v>
      </c>
      <c r="K42" s="81"/>
      <c r="L42" s="81"/>
      <c r="M42" s="81"/>
      <c r="N42" s="97"/>
    </row>
    <row r="43" spans="2:21" x14ac:dyDescent="0.2">
      <c r="B43" s="96"/>
      <c r="C43" s="81"/>
      <c r="D43" s="324" t="str">
        <f>IF(Lang="Français","Emplanture 'm'",IF(Lang="English","Root edge  'm'",""))</f>
        <v>Emplanture 'm'</v>
      </c>
      <c r="E43" s="288">
        <f>m_ail</f>
        <v>290</v>
      </c>
      <c r="F43" s="81"/>
      <c r="G43" s="81"/>
      <c r="H43" s="81"/>
      <c r="I43" s="81"/>
      <c r="J43" s="81"/>
      <c r="K43" s="81"/>
      <c r="L43" s="81"/>
      <c r="M43" s="81"/>
      <c r="N43" s="97"/>
    </row>
    <row r="44" spans="2:21" x14ac:dyDescent="0.2">
      <c r="B44" s="96"/>
      <c r="C44" s="81"/>
      <c r="D44" s="324" t="str">
        <f>IF(Lang="Français","Saumon      'n'",IF(Lang="English","Tip edge    'n'",""))</f>
        <v>Saumon      'n'</v>
      </c>
      <c r="E44" s="288">
        <f>n_ail</f>
        <v>150</v>
      </c>
      <c r="F44" s="290" t="s">
        <v>203</v>
      </c>
      <c r="G44" s="290" t="s">
        <v>208</v>
      </c>
      <c r="H44" s="887">
        <f ca="1">Vsortie_de_rampe</f>
        <v>25.047800240115347</v>
      </c>
      <c r="I44" s="888"/>
      <c r="J44" s="81"/>
      <c r="K44" s="81"/>
      <c r="L44" s="81"/>
      <c r="M44" s="81"/>
      <c r="N44" s="97"/>
    </row>
    <row r="45" spans="2:21" x14ac:dyDescent="0.2">
      <c r="B45" s="96"/>
      <c r="C45" s="81"/>
      <c r="D45" s="324" t="str">
        <f>IF(Lang="Français","Flèche        'p'",IF(Lang="English","Offset         'p'",""))</f>
        <v>Flèche        'p'</v>
      </c>
      <c r="E45" s="288">
        <f>p_ail</f>
        <v>73</v>
      </c>
      <c r="F45" s="8" t="s">
        <v>204</v>
      </c>
      <c r="G45" s="8" t="s">
        <v>209</v>
      </c>
      <c r="H45" s="889">
        <f>Finesse</f>
        <v>21.95</v>
      </c>
      <c r="I45" s="890"/>
      <c r="J45" s="81"/>
      <c r="K45" s="81"/>
      <c r="L45" s="81"/>
      <c r="M45" s="81"/>
      <c r="N45" s="97"/>
    </row>
    <row r="46" spans="2:21" x14ac:dyDescent="0.2">
      <c r="B46" s="96"/>
      <c r="C46" s="81"/>
      <c r="D46" s="324" t="str">
        <f>IF(Lang="Français","Envergure   'E'",IF(Lang="English","Span          'E'",""))</f>
        <v>Envergure   'E'</v>
      </c>
      <c r="E46" s="288">
        <f>E_ail</f>
        <v>125</v>
      </c>
      <c r="F46" s="8" t="s">
        <v>205</v>
      </c>
      <c r="G46" s="8" t="s">
        <v>210</v>
      </c>
      <c r="H46" s="889">
        <f>Cn</f>
        <v>18.283976369656074</v>
      </c>
      <c r="I46" s="890"/>
      <c r="J46" s="81"/>
      <c r="K46" s="81"/>
      <c r="L46" s="81"/>
      <c r="M46" s="81"/>
      <c r="N46" s="97"/>
    </row>
    <row r="47" spans="2:21" x14ac:dyDescent="0.2">
      <c r="B47" s="96"/>
      <c r="C47" s="81"/>
      <c r="D47" s="324" t="s">
        <v>145</v>
      </c>
      <c r="E47" s="288">
        <f>ep_ail</f>
        <v>2</v>
      </c>
      <c r="F47" s="8" t="s">
        <v>206</v>
      </c>
      <c r="G47" s="8" t="s">
        <v>211</v>
      </c>
      <c r="H47" s="291">
        <f ca="1">MS_min</f>
        <v>2.2973047813562699</v>
      </c>
      <c r="I47" s="298">
        <f ca="1">MS_max</f>
        <v>3.3981335823664631</v>
      </c>
      <c r="J47" s="81"/>
      <c r="K47" s="81"/>
      <c r="L47" s="81"/>
      <c r="M47" s="81"/>
      <c r="N47" s="97"/>
    </row>
    <row r="48" spans="2:21" x14ac:dyDescent="0.2">
      <c r="B48" s="96"/>
      <c r="C48" s="81"/>
      <c r="D48" s="324" t="s">
        <v>146</v>
      </c>
      <c r="E48" s="288">
        <f>Q_ail</f>
        <v>4</v>
      </c>
      <c r="F48" s="322" t="s">
        <v>207</v>
      </c>
      <c r="G48" s="322" t="s">
        <v>212</v>
      </c>
      <c r="H48" s="300">
        <f ca="1">MS_Cn_min</f>
        <v>42.00386633621595</v>
      </c>
      <c r="I48" s="312">
        <f ca="1">MS_Cn_max</f>
        <v>66.822200857066804</v>
      </c>
      <c r="J48" s="81"/>
      <c r="K48" s="81"/>
      <c r="L48" s="81"/>
      <c r="M48" s="81"/>
      <c r="N48" s="97"/>
    </row>
    <row r="49" spans="2:14" x14ac:dyDescent="0.2">
      <c r="B49" s="96"/>
      <c r="C49" s="81"/>
      <c r="D49" s="324" t="s">
        <v>149</v>
      </c>
      <c r="E49" s="288">
        <f ca="1">XpropuRef-Long_propu</f>
        <v>1716</v>
      </c>
      <c r="F49" s="81"/>
      <c r="G49" s="81"/>
      <c r="H49" s="81"/>
      <c r="I49" s="81"/>
      <c r="J49" s="81"/>
      <c r="K49" s="81"/>
      <c r="L49" s="81"/>
      <c r="M49" s="81"/>
      <c r="N49" s="97"/>
    </row>
    <row r="50" spans="2:14" x14ac:dyDescent="0.2">
      <c r="B50" s="96"/>
      <c r="C50" s="81"/>
      <c r="D50" s="324" t="s">
        <v>147</v>
      </c>
      <c r="E50" s="320" t="str">
        <f>Forme_ogive</f>
        <v>Parabolique (arrondie)</v>
      </c>
      <c r="F50" s="321" t="s">
        <v>184</v>
      </c>
      <c r="G50" s="323" t="s">
        <v>5</v>
      </c>
      <c r="H50" s="290">
        <f>Cx</f>
        <v>0.6</v>
      </c>
      <c r="I50" s="313"/>
      <c r="J50" s="314"/>
      <c r="K50" s="81"/>
      <c r="L50" s="81"/>
      <c r="M50" s="81"/>
      <c r="N50" s="97"/>
    </row>
    <row r="51" spans="2:14" x14ac:dyDescent="0.2">
      <c r="B51" s="96"/>
      <c r="C51" s="81"/>
      <c r="D51" s="324" t="s">
        <v>143</v>
      </c>
      <c r="E51" s="288">
        <f>Long_tot</f>
        <v>2195</v>
      </c>
      <c r="F51" s="81"/>
      <c r="G51" s="324" t="s">
        <v>213</v>
      </c>
      <c r="H51" s="8">
        <f>Sref</f>
        <v>8.8539816339744826E-3</v>
      </c>
      <c r="I51" s="81"/>
      <c r="J51" s="315"/>
      <c r="K51" s="81"/>
      <c r="L51" s="81"/>
      <c r="M51" s="81"/>
      <c r="N51" s="97"/>
    </row>
    <row r="52" spans="2:14" x14ac:dyDescent="0.2">
      <c r="B52" s="96"/>
      <c r="C52" s="81"/>
      <c r="D52" s="324" t="s">
        <v>197</v>
      </c>
      <c r="E52" s="288">
        <f>MAX(D_ref,D_ail,D_og,(RIGHT(Nb_diam,1)=",")*MAX(D1j,D1r,D2j,D2r))</f>
        <v>100</v>
      </c>
      <c r="F52" s="81"/>
      <c r="G52" s="324" t="s">
        <v>214</v>
      </c>
      <c r="H52" s="8">
        <f>Beta_rampe</f>
        <v>80</v>
      </c>
      <c r="I52" s="8">
        <v>80</v>
      </c>
      <c r="J52" s="288">
        <v>90</v>
      </c>
      <c r="K52" s="81"/>
      <c r="L52" s="81"/>
      <c r="M52" s="81"/>
      <c r="N52" s="97"/>
    </row>
    <row r="53" spans="2:14" x14ac:dyDescent="0.2">
      <c r="B53" s="96"/>
      <c r="C53" s="81"/>
      <c r="D53" s="325" t="s">
        <v>198</v>
      </c>
      <c r="E53" s="308">
        <f>E_ail*2+D_ail</f>
        <v>350</v>
      </c>
      <c r="F53" s="81"/>
      <c r="G53" s="327" t="s">
        <v>216</v>
      </c>
      <c r="H53" s="304">
        <f ca="1">Temps_culmi</f>
        <v>16.899999999999928</v>
      </c>
      <c r="I53" s="305"/>
      <c r="J53" s="316"/>
      <c r="K53" s="81"/>
      <c r="L53" s="81"/>
      <c r="M53" s="81"/>
      <c r="N53" s="97"/>
    </row>
    <row r="54" spans="2:14" x14ac:dyDescent="0.2">
      <c r="B54" s="96"/>
      <c r="C54" s="81"/>
      <c r="D54" s="81"/>
      <c r="E54" s="81"/>
      <c r="F54" s="81"/>
      <c r="G54" s="327" t="s">
        <v>217</v>
      </c>
      <c r="H54" s="286">
        <f ca="1">Altitude_culmi</f>
        <v>1390.4230491725832</v>
      </c>
      <c r="I54" s="305"/>
      <c r="J54" s="316"/>
      <c r="K54" s="81"/>
      <c r="L54" s="81"/>
      <c r="M54" s="81"/>
      <c r="N54" s="97"/>
    </row>
    <row r="55" spans="2:14" x14ac:dyDescent="0.2">
      <c r="B55" s="96"/>
      <c r="C55" s="323" t="s">
        <v>234</v>
      </c>
      <c r="D55" s="293" t="s">
        <v>61</v>
      </c>
      <c r="E55" s="287">
        <f>Long_tot</f>
        <v>2195</v>
      </c>
      <c r="F55" s="81"/>
      <c r="G55" s="327" t="s">
        <v>218</v>
      </c>
      <c r="H55" s="306">
        <f ca="1">Vit_culmi</f>
        <v>28.216112506228573</v>
      </c>
      <c r="I55" s="305"/>
      <c r="J55" s="316"/>
      <c r="K55" s="81"/>
      <c r="L55" s="81"/>
      <c r="M55" s="81"/>
      <c r="N55" s="97"/>
    </row>
    <row r="56" spans="2:14" x14ac:dyDescent="0.2">
      <c r="B56" s="96"/>
      <c r="C56" s="324"/>
      <c r="D56" s="2" t="s">
        <v>220</v>
      </c>
      <c r="E56" s="288">
        <f>MAX(D_ref,D_ail,D_og,(RIGHT(Nb_diam,1)=",")*MAX(D1j,D1r,D2j,D2r))</f>
        <v>100</v>
      </c>
      <c r="F56" s="81"/>
      <c r="G56" s="327" t="s">
        <v>134</v>
      </c>
      <c r="H56" s="307">
        <f ca="1">Portee_balistique</f>
        <v>953.1802660510491</v>
      </c>
      <c r="I56" s="305"/>
      <c r="J56" s="316"/>
      <c r="K56" s="81"/>
      <c r="L56" s="81"/>
      <c r="M56" s="81"/>
      <c r="N56" s="97"/>
    </row>
    <row r="57" spans="2:14" x14ac:dyDescent="0.2">
      <c r="B57" s="96"/>
      <c r="C57" s="324"/>
      <c r="D57" s="2" t="s">
        <v>221</v>
      </c>
      <c r="E57" s="288">
        <f>E_ail*2+D_ail</f>
        <v>350</v>
      </c>
      <c r="F57" s="81"/>
      <c r="G57" s="327" t="s">
        <v>215</v>
      </c>
      <c r="H57" s="307">
        <f ca="1">T_balistique</f>
        <v>35.300000000000189</v>
      </c>
      <c r="I57" s="305"/>
      <c r="J57" s="316"/>
      <c r="K57" s="81"/>
      <c r="L57" s="81"/>
      <c r="M57" s="81"/>
      <c r="N57" s="97"/>
    </row>
    <row r="58" spans="2:14" x14ac:dyDescent="0.2">
      <c r="B58" s="96"/>
      <c r="C58" s="324"/>
      <c r="D58" s="2" t="s">
        <v>222</v>
      </c>
      <c r="E58" s="288">
        <f ca="1">MassePlein</f>
        <v>9.4150000000000009</v>
      </c>
      <c r="F58" s="81"/>
      <c r="G58" s="327" t="s">
        <v>138</v>
      </c>
      <c r="H58" s="306">
        <f ca="1">Vit_max</f>
        <v>179.2876292360306</v>
      </c>
      <c r="I58" s="305"/>
      <c r="J58" s="316"/>
      <c r="K58" s="81"/>
      <c r="L58" s="81"/>
      <c r="M58" s="81"/>
      <c r="N58" s="97"/>
    </row>
    <row r="59" spans="2:14" x14ac:dyDescent="0.2">
      <c r="B59" s="96"/>
      <c r="C59" s="325" t="s">
        <v>235</v>
      </c>
      <c r="D59" s="299" t="s">
        <v>146</v>
      </c>
      <c r="E59" s="308">
        <f>Q_ail</f>
        <v>4</v>
      </c>
      <c r="F59" s="81"/>
      <c r="G59" s="327" t="s">
        <v>137</v>
      </c>
      <c r="H59" s="307">
        <f ca="1">Acc_max</f>
        <v>85.232370028523292</v>
      </c>
      <c r="I59" s="305"/>
      <c r="J59" s="316"/>
      <c r="K59" s="81"/>
      <c r="L59" s="81"/>
      <c r="M59" s="81"/>
      <c r="N59" s="97"/>
    </row>
    <row r="60" spans="2:14" x14ac:dyDescent="0.2">
      <c r="B60" s="96"/>
      <c r="C60" s="284"/>
      <c r="D60" s="81"/>
      <c r="E60" s="81"/>
      <c r="F60" s="81"/>
      <c r="G60" s="317" t="s">
        <v>223</v>
      </c>
      <c r="H60" s="318"/>
      <c r="I60" s="318"/>
      <c r="J60" s="319"/>
      <c r="K60" s="81"/>
      <c r="L60" s="81"/>
      <c r="M60" s="81"/>
      <c r="N60" s="97"/>
    </row>
    <row r="61" spans="2:14" x14ac:dyDescent="0.2">
      <c r="B61" s="96"/>
      <c r="C61" s="323"/>
      <c r="D61" s="293"/>
      <c r="E61" s="290" t="s">
        <v>227</v>
      </c>
      <c r="F61" s="287" t="s">
        <v>228</v>
      </c>
      <c r="G61" s="19"/>
      <c r="H61" s="19"/>
      <c r="I61" s="19"/>
      <c r="J61" s="19"/>
      <c r="K61" s="2"/>
      <c r="L61" s="81"/>
      <c r="M61" s="81"/>
      <c r="N61" s="97"/>
    </row>
    <row r="62" spans="2:14" x14ac:dyDescent="0.2">
      <c r="B62" s="96"/>
      <c r="C62" s="324" t="s">
        <v>236</v>
      </c>
      <c r="D62" s="329" t="s">
        <v>226</v>
      </c>
      <c r="E62" s="286">
        <f ca="1">2*Acc_max*MassePlein</f>
        <v>1604.9255276370936</v>
      </c>
      <c r="F62" s="330">
        <f ca="1">E62/9.81</f>
        <v>163.60097121682909</v>
      </c>
      <c r="H62" s="19"/>
      <c r="I62" s="19"/>
      <c r="J62" s="19"/>
      <c r="K62" s="2"/>
      <c r="L62" s="81"/>
      <c r="M62" s="81"/>
      <c r="N62" s="97"/>
    </row>
    <row r="63" spans="2:14" x14ac:dyDescent="0.2">
      <c r="B63" s="96"/>
      <c r="C63" s="324"/>
      <c r="D63" s="2" t="s">
        <v>224</v>
      </c>
      <c r="E63" s="286">
        <f ca="1">2*Acc_max*Masse_ail</f>
        <v>18.751121406275125</v>
      </c>
      <c r="F63" s="292">
        <f ca="1">E63/9.81</f>
        <v>1.9114292972757516</v>
      </c>
      <c r="G63" s="290" t="s">
        <v>230</v>
      </c>
      <c r="H63" s="338">
        <f>S_ail*(ep_ail/1000)*2000</f>
        <v>0.11</v>
      </c>
      <c r="I63" s="19"/>
      <c r="J63" s="19"/>
      <c r="K63" s="2"/>
      <c r="L63" s="81"/>
      <c r="M63" s="81"/>
      <c r="N63" s="97"/>
    </row>
    <row r="64" spans="2:14" x14ac:dyDescent="0.2">
      <c r="B64" s="96"/>
      <c r="C64" s="325"/>
      <c r="D64" s="299" t="s">
        <v>225</v>
      </c>
      <c r="E64" s="311">
        <f ca="1">0.104*S_ail*Vit_max^2</f>
        <v>91.931994431638415</v>
      </c>
      <c r="F64" s="331">
        <f ca="1">E64/9.81</f>
        <v>9.3712532550090124</v>
      </c>
      <c r="G64" s="322" t="s">
        <v>229</v>
      </c>
      <c r="H64" s="339">
        <f>(E_ail*(m_ail+n_ail)/2)/10^6</f>
        <v>2.75E-2</v>
      </c>
      <c r="I64" s="19"/>
      <c r="J64" s="19"/>
      <c r="K64" s="19"/>
      <c r="L64" s="81"/>
      <c r="M64" s="81"/>
      <c r="N64" s="97"/>
    </row>
    <row r="65" spans="2:14" x14ac:dyDescent="0.2">
      <c r="B65" s="96"/>
      <c r="C65" s="332" t="s">
        <v>243</v>
      </c>
      <c r="D65" s="335" t="s">
        <v>241</v>
      </c>
      <c r="E65" s="336">
        <f ca="1">2*Acc_max*H65</f>
        <v>802.46276381854682</v>
      </c>
      <c r="F65" s="336">
        <f ca="1">E65/9.81</f>
        <v>81.800485608414547</v>
      </c>
      <c r="G65" s="337" t="s">
        <v>242</v>
      </c>
      <c r="H65" s="328">
        <f ca="1">E58/2</f>
        <v>4.7075000000000005</v>
      </c>
      <c r="I65" s="19"/>
      <c r="J65" s="19"/>
      <c r="K65" s="19"/>
      <c r="L65" s="81"/>
      <c r="M65" s="81"/>
      <c r="N65" s="97"/>
    </row>
    <row r="66" spans="2:14" x14ac:dyDescent="0.2">
      <c r="B66" s="96"/>
      <c r="C66" s="326"/>
      <c r="D66" s="19"/>
      <c r="E66" s="19"/>
      <c r="F66" s="19"/>
      <c r="G66" s="19"/>
      <c r="H66" s="19"/>
      <c r="I66" s="19"/>
      <c r="J66" s="19"/>
      <c r="K66" s="19"/>
      <c r="L66" s="81"/>
      <c r="M66" s="81"/>
      <c r="N66" s="97"/>
    </row>
    <row r="67" spans="2:14" x14ac:dyDescent="0.2">
      <c r="B67" s="96"/>
      <c r="F67" s="323" t="s">
        <v>233</v>
      </c>
      <c r="G67" s="293" t="s">
        <v>231</v>
      </c>
      <c r="H67" s="294">
        <f>T_para</f>
        <v>8</v>
      </c>
      <c r="I67" s="295">
        <f ca="1">Temps_culmi</f>
        <v>16.899999999999928</v>
      </c>
      <c r="J67" s="19"/>
      <c r="K67" s="19"/>
      <c r="L67" s="81"/>
      <c r="M67" s="81"/>
      <c r="N67" s="97"/>
    </row>
    <row r="68" spans="2:14" x14ac:dyDescent="0.2">
      <c r="B68" s="96"/>
      <c r="C68" s="326"/>
      <c r="D68" s="19"/>
      <c r="E68" s="19"/>
      <c r="F68" s="323" t="s">
        <v>232</v>
      </c>
      <c r="G68" s="293" t="s">
        <v>130</v>
      </c>
      <c r="H68" s="294">
        <f ca="1">V_para</f>
        <v>10.363352699955428</v>
      </c>
      <c r="I68" s="295">
        <f>V_satellite</f>
        <v>12.655562623057198</v>
      </c>
      <c r="J68" s="19"/>
      <c r="K68" s="19"/>
      <c r="L68" s="81"/>
      <c r="M68" s="81"/>
      <c r="N68" s="97"/>
    </row>
    <row r="69" spans="2:14" x14ac:dyDescent="0.2">
      <c r="B69" s="96"/>
      <c r="C69" s="326"/>
      <c r="D69" s="19"/>
      <c r="E69" s="19"/>
      <c r="F69" s="324"/>
      <c r="G69" s="2" t="s">
        <v>238</v>
      </c>
      <c r="H69" s="291">
        <f>S_para</f>
        <v>1.25</v>
      </c>
      <c r="I69" s="297">
        <f>S_satellite</f>
        <v>0.1</v>
      </c>
      <c r="J69" s="19"/>
      <c r="K69" s="19"/>
      <c r="L69" s="81"/>
      <c r="M69" s="81"/>
      <c r="N69" s="97"/>
    </row>
    <row r="70" spans="2:14" x14ac:dyDescent="0.2">
      <c r="B70" s="96"/>
      <c r="C70" s="285"/>
      <c r="D70" s="2"/>
      <c r="E70" s="81"/>
      <c r="F70" s="324"/>
      <c r="G70" s="2" t="s">
        <v>237</v>
      </c>
      <c r="H70" s="291">
        <f ca="1">V_ouverture</f>
        <v>103.3610632558777</v>
      </c>
      <c r="I70" s="297">
        <f ca="1">V_ouv_sat</f>
        <v>177.54749984001452</v>
      </c>
      <c r="L70" s="81"/>
      <c r="M70" s="81"/>
      <c r="N70" s="97"/>
    </row>
    <row r="71" spans="2:14" x14ac:dyDescent="0.2">
      <c r="B71" s="96"/>
      <c r="C71" s="265"/>
      <c r="E71" s="81"/>
      <c r="F71" s="324"/>
      <c r="G71" s="2" t="s">
        <v>202</v>
      </c>
      <c r="H71" s="291">
        <f ca="1">m_vide</f>
        <v>8.3819999999999997</v>
      </c>
      <c r="I71" s="297">
        <f>m_satellite</f>
        <v>1</v>
      </c>
      <c r="J71" s="81"/>
      <c r="K71" s="81"/>
      <c r="L71" s="81"/>
      <c r="M71" s="81"/>
      <c r="N71" s="97"/>
    </row>
    <row r="72" spans="2:14" x14ac:dyDescent="0.2">
      <c r="B72" s="96"/>
      <c r="C72" s="265"/>
      <c r="E72" s="81"/>
      <c r="F72" s="324"/>
      <c r="G72" s="2" t="s">
        <v>239</v>
      </c>
      <c r="H72" s="333">
        <f ca="1">1/2*Rho_moyen*S_para*V_ouverture^2</f>
        <v>8179.5618823733121</v>
      </c>
      <c r="I72" s="334">
        <f ca="1">1/2*Rho_moyen*S_satellite*V_ouv_sat^2</f>
        <v>1930.7907753406976</v>
      </c>
      <c r="J72" s="81"/>
      <c r="K72" s="81"/>
      <c r="L72" s="81"/>
      <c r="M72" s="81"/>
      <c r="N72" s="97"/>
    </row>
    <row r="73" spans="2:14" x14ac:dyDescent="0.2">
      <c r="B73" s="96"/>
      <c r="C73" s="81"/>
      <c r="D73" s="2"/>
      <c r="E73" s="81"/>
      <c r="F73" s="325"/>
      <c r="G73" s="299" t="s">
        <v>240</v>
      </c>
      <c r="H73" s="300">
        <f ca="1">H72/9.81</f>
        <v>833.79835702072489</v>
      </c>
      <c r="I73" s="301">
        <f ca="1">I72/9.81</f>
        <v>196.81863153320054</v>
      </c>
      <c r="J73" s="81"/>
      <c r="K73" s="81"/>
      <c r="L73" s="81"/>
      <c r="M73" s="81"/>
      <c r="N73" s="97"/>
    </row>
    <row r="74" spans="2:14" ht="13.5" thickBot="1" x14ac:dyDescent="0.25">
      <c r="B74" s="99"/>
      <c r="C74" s="102"/>
      <c r="D74" s="102"/>
      <c r="E74" s="102"/>
      <c r="F74" s="102"/>
      <c r="G74" s="102"/>
      <c r="H74" s="102"/>
      <c r="I74" s="102"/>
      <c r="J74" s="102"/>
      <c r="K74" s="102"/>
      <c r="L74" s="102"/>
      <c r="M74" s="102"/>
      <c r="N74" s="101"/>
    </row>
    <row r="76" spans="2:14" ht="13.5" thickBot="1" x14ac:dyDescent="0.25"/>
    <row r="77" spans="2:14" x14ac:dyDescent="0.2">
      <c r="B77" s="93"/>
      <c r="C77" s="94"/>
      <c r="D77" s="94"/>
      <c r="E77" s="94"/>
      <c r="F77" s="94"/>
      <c r="G77" s="94"/>
      <c r="H77" s="94"/>
      <c r="I77" s="94"/>
      <c r="J77" s="94"/>
      <c r="K77" s="94"/>
      <c r="L77" s="94"/>
      <c r="M77" s="94"/>
      <c r="N77" s="95"/>
    </row>
    <row r="78" spans="2:14" x14ac:dyDescent="0.2">
      <c r="B78" s="96"/>
      <c r="C78" s="81"/>
      <c r="D78" s="2" t="s">
        <v>335</v>
      </c>
      <c r="E78" s="81"/>
      <c r="F78" s="81"/>
      <c r="G78" s="81"/>
      <c r="H78" s="81"/>
      <c r="I78" s="81"/>
      <c r="J78" s="81"/>
      <c r="K78" s="81"/>
      <c r="L78" s="81"/>
      <c r="M78" s="81"/>
      <c r="N78" s="97"/>
    </row>
    <row r="79" spans="2:14" ht="12.75" customHeight="1" x14ac:dyDescent="0.25">
      <c r="B79" s="96"/>
      <c r="C79" s="81"/>
      <c r="D79" s="81"/>
      <c r="E79" s="499"/>
      <c r="F79" s="500"/>
      <c r="G79" s="504" t="s">
        <v>341</v>
      </c>
      <c r="H79" s="81"/>
      <c r="I79" s="524"/>
      <c r="J79" s="499"/>
      <c r="K79" s="499"/>
      <c r="L79" s="81"/>
      <c r="M79" s="81"/>
      <c r="N79" s="97"/>
    </row>
    <row r="80" spans="2:14" x14ac:dyDescent="0.2">
      <c r="B80" s="96"/>
      <c r="C80" s="323" t="s">
        <v>336</v>
      </c>
      <c r="D80" s="287" t="str">
        <f>Nom</f>
        <v>Karlvagnen</v>
      </c>
      <c r="E80" s="499"/>
      <c r="F80" s="500"/>
      <c r="G80" s="499"/>
      <c r="H80" s="499"/>
      <c r="I80" s="499"/>
      <c r="J80" s="499"/>
      <c r="K80" s="499"/>
      <c r="L80" s="81"/>
      <c r="M80" s="81"/>
      <c r="N80" s="97"/>
    </row>
    <row r="81" spans="2:14" ht="13.5" thickBot="1" x14ac:dyDescent="0.25">
      <c r="B81" s="96"/>
      <c r="C81" s="324" t="s">
        <v>4</v>
      </c>
      <c r="D81" s="288" t="str">
        <f>Club</f>
        <v>AcelSpace</v>
      </c>
      <c r="E81" s="499"/>
      <c r="F81" s="500"/>
      <c r="G81" s="499"/>
      <c r="H81" s="499"/>
      <c r="I81" s="499"/>
      <c r="J81" s="499"/>
      <c r="K81" s="499"/>
      <c r="L81" s="81"/>
      <c r="M81" s="81"/>
      <c r="N81" s="97"/>
    </row>
    <row r="82" spans="2:14" ht="13.5" thickBot="1" x14ac:dyDescent="0.25">
      <c r="B82" s="96"/>
      <c r="C82" s="497" t="s">
        <v>337</v>
      </c>
      <c r="D82" s="288" t="s">
        <v>14</v>
      </c>
      <c r="E82" s="501" t="s">
        <v>342</v>
      </c>
      <c r="F82" s="511">
        <f>Long_ogive</f>
        <v>40</v>
      </c>
      <c r="G82" s="499"/>
      <c r="H82" s="499"/>
      <c r="I82" s="499"/>
      <c r="J82" s="499"/>
      <c r="K82" s="499"/>
      <c r="L82" s="81"/>
      <c r="M82" s="81"/>
      <c r="N82" s="97"/>
    </row>
    <row r="83" spans="2:14" x14ac:dyDescent="0.2">
      <c r="B83" s="96"/>
      <c r="C83" s="325" t="s">
        <v>338</v>
      </c>
      <c r="D83" s="498">
        <f ca="1">TODAY()</f>
        <v>45126</v>
      </c>
      <c r="E83" s="499"/>
      <c r="F83" s="505"/>
      <c r="G83" s="499"/>
      <c r="H83" s="499"/>
      <c r="I83" s="499"/>
      <c r="J83" s="499"/>
      <c r="K83" s="499"/>
      <c r="L83" s="81"/>
      <c r="M83" s="81"/>
      <c r="N83" s="97"/>
    </row>
    <row r="84" spans="2:14" ht="13.5" thickBot="1" x14ac:dyDescent="0.25">
      <c r="B84" s="96"/>
      <c r="C84" s="81"/>
      <c r="D84" s="81"/>
      <c r="E84" s="499"/>
      <c r="F84" s="505"/>
      <c r="G84" s="499"/>
      <c r="H84" s="499"/>
      <c r="I84" s="499"/>
      <c r="J84" s="510">
        <f>IF(RIGHT(Nb_diam,1)=",", "", X_j)</f>
        <v>40</v>
      </c>
      <c r="K84" s="499"/>
      <c r="L84" s="81"/>
      <c r="M84" s="81"/>
      <c r="N84" s="97"/>
    </row>
    <row r="85" spans="2:14" ht="13.5" thickBot="1" x14ac:dyDescent="0.25">
      <c r="B85" s="96"/>
      <c r="C85" s="323" t="s">
        <v>339</v>
      </c>
      <c r="D85" s="287" t="str">
        <f>Propu</f>
        <v>Barasinga (Pro54-5G C)</v>
      </c>
      <c r="E85" s="501" t="s">
        <v>343</v>
      </c>
      <c r="F85" s="511">
        <f>D_og</f>
        <v>90</v>
      </c>
      <c r="G85" s="499"/>
      <c r="H85" s="499"/>
      <c r="I85" s="499"/>
      <c r="J85" s="505"/>
      <c r="K85" s="499"/>
      <c r="L85" s="81"/>
      <c r="M85" s="81"/>
      <c r="N85" s="97"/>
    </row>
    <row r="86" spans="2:14" x14ac:dyDescent="0.2">
      <c r="B86" s="96"/>
      <c r="C86" s="325" t="s">
        <v>340</v>
      </c>
      <c r="D86" s="308" t="s">
        <v>14</v>
      </c>
      <c r="E86" s="499"/>
      <c r="F86" s="505"/>
      <c r="G86" s="499"/>
      <c r="H86" s="499"/>
      <c r="I86" s="499"/>
      <c r="J86" s="510">
        <f>IF(RIGHT(Nb_diam,1)=",", "", X_r)</f>
        <v>500</v>
      </c>
      <c r="K86" s="499"/>
      <c r="L86" s="81"/>
      <c r="M86" s="81"/>
      <c r="N86" s="97"/>
    </row>
    <row r="87" spans="2:14" x14ac:dyDescent="0.2">
      <c r="B87" s="96"/>
      <c r="C87" s="81"/>
      <c r="D87" s="81"/>
      <c r="E87" s="499"/>
      <c r="F87" s="505"/>
      <c r="G87" s="499"/>
      <c r="H87" s="499"/>
      <c r="I87" s="499"/>
      <c r="J87" s="505"/>
      <c r="K87" s="499"/>
      <c r="L87" s="81"/>
      <c r="M87" s="81"/>
      <c r="N87" s="97"/>
    </row>
    <row r="88" spans="2:14" x14ac:dyDescent="0.2">
      <c r="B88" s="96"/>
      <c r="C88" s="81"/>
      <c r="D88" s="81"/>
      <c r="E88" s="499"/>
      <c r="F88" s="505"/>
      <c r="G88" s="499"/>
      <c r="H88" s="499"/>
      <c r="I88" s="499"/>
      <c r="J88" s="510">
        <f>IF(RIGHT(Nb_diam,1)=",", "", l_j)</f>
        <v>188</v>
      </c>
      <c r="K88" s="499"/>
      <c r="L88" s="81"/>
      <c r="M88" s="81"/>
      <c r="N88" s="97"/>
    </row>
    <row r="89" spans="2:14" ht="13.5" thickBot="1" x14ac:dyDescent="0.25">
      <c r="B89" s="96"/>
      <c r="C89" s="81"/>
      <c r="D89" s="81"/>
      <c r="E89" s="499"/>
      <c r="F89" s="505"/>
      <c r="G89" s="499"/>
      <c r="H89" s="499"/>
      <c r="I89" s="499"/>
      <c r="J89" s="505"/>
      <c r="K89" s="499"/>
      <c r="L89" s="81"/>
      <c r="M89" s="81"/>
      <c r="N89" s="97"/>
    </row>
    <row r="90" spans="2:14" ht="13.5" thickBot="1" x14ac:dyDescent="0.25">
      <c r="B90" s="96"/>
      <c r="C90" s="81"/>
      <c r="D90" s="81"/>
      <c r="E90" s="502" t="s">
        <v>344</v>
      </c>
      <c r="F90" s="510">
        <f>IF(RIGHT(Nb_diam,1)=",", "", D2j)</f>
        <v>100</v>
      </c>
      <c r="G90" s="499"/>
      <c r="H90" s="499"/>
      <c r="I90" s="499"/>
      <c r="J90" s="511">
        <f>X_ail-m_ail</f>
        <v>1895</v>
      </c>
      <c r="K90" s="503"/>
      <c r="L90" s="81"/>
      <c r="M90" s="81"/>
      <c r="N90" s="97"/>
    </row>
    <row r="91" spans="2:14" x14ac:dyDescent="0.2">
      <c r="B91" s="96"/>
      <c r="C91" s="81"/>
      <c r="D91" s="81"/>
      <c r="E91" s="499"/>
      <c r="F91" s="505"/>
      <c r="G91" s="499"/>
      <c r="H91" s="499"/>
      <c r="I91" s="499"/>
      <c r="J91" s="505"/>
      <c r="K91" s="499"/>
      <c r="L91" s="81"/>
      <c r="M91" s="81"/>
      <c r="N91" s="97"/>
    </row>
    <row r="92" spans="2:14" x14ac:dyDescent="0.2">
      <c r="B92" s="96"/>
      <c r="C92" s="81"/>
      <c r="D92" s="81"/>
      <c r="E92" s="499"/>
      <c r="F92" s="505"/>
      <c r="G92" s="499"/>
      <c r="H92" s="499"/>
      <c r="I92" s="499"/>
      <c r="J92" s="510">
        <f>IF(RIGHT(Nb_diam,1)=",", "", l_r)</f>
        <v>50</v>
      </c>
      <c r="K92" s="499"/>
      <c r="L92" s="81"/>
      <c r="M92" s="81"/>
      <c r="N92" s="97"/>
    </row>
    <row r="93" spans="2:14" x14ac:dyDescent="0.2">
      <c r="B93" s="96"/>
      <c r="C93" s="81"/>
      <c r="D93" s="81"/>
      <c r="E93" s="499"/>
      <c r="F93" s="505"/>
      <c r="G93" s="499"/>
      <c r="H93" s="499"/>
      <c r="I93" s="499"/>
      <c r="J93" s="505"/>
      <c r="K93" s="499"/>
      <c r="L93" s="81"/>
      <c r="M93" s="81"/>
      <c r="N93" s="97"/>
    </row>
    <row r="94" spans="2:14" x14ac:dyDescent="0.2">
      <c r="B94" s="96"/>
      <c r="C94" s="81"/>
      <c r="D94" s="81"/>
      <c r="E94" s="502" t="s">
        <v>345</v>
      </c>
      <c r="F94" s="510">
        <f>IF(RIGHT(Nb_diam,1)=",", "", D2r)</f>
        <v>100</v>
      </c>
      <c r="G94" s="499"/>
      <c r="H94" s="499"/>
      <c r="I94" s="499"/>
      <c r="J94" s="505"/>
      <c r="K94" s="499"/>
      <c r="L94" s="81"/>
      <c r="M94" s="81"/>
      <c r="N94" s="97"/>
    </row>
    <row r="95" spans="2:14" x14ac:dyDescent="0.2">
      <c r="B95" s="96"/>
      <c r="C95" s="81"/>
      <c r="D95" s="81"/>
      <c r="E95" s="499"/>
      <c r="F95" s="505"/>
      <c r="G95" s="499"/>
      <c r="H95" s="499"/>
      <c r="I95" s="499"/>
      <c r="J95" s="505"/>
      <c r="K95" s="499"/>
      <c r="L95" s="81"/>
      <c r="M95" s="81"/>
      <c r="N95" s="97"/>
    </row>
    <row r="96" spans="2:14" ht="13.5" thickBot="1" x14ac:dyDescent="0.25">
      <c r="B96" s="96"/>
      <c r="C96" s="81"/>
      <c r="D96" s="81"/>
      <c r="E96" s="499"/>
      <c r="F96" s="505"/>
      <c r="G96" s="499"/>
      <c r="H96" s="499"/>
      <c r="I96" s="499"/>
      <c r="J96" s="505"/>
      <c r="K96" s="499"/>
      <c r="L96" s="81"/>
      <c r="M96" s="81"/>
      <c r="N96" s="97"/>
    </row>
    <row r="97" spans="2:14" ht="13.5" thickBot="1" x14ac:dyDescent="0.25">
      <c r="B97" s="96"/>
      <c r="C97" s="81"/>
      <c r="D97" s="81"/>
      <c r="E97" s="501" t="s">
        <v>346</v>
      </c>
      <c r="F97" s="511">
        <f>m_ail</f>
        <v>290</v>
      </c>
      <c r="G97" s="499"/>
      <c r="H97" s="499"/>
      <c r="I97" s="499"/>
      <c r="J97" s="511">
        <f>p_ail</f>
        <v>73</v>
      </c>
      <c r="K97" s="503"/>
      <c r="L97" s="81"/>
      <c r="M97" s="81"/>
      <c r="N97" s="97"/>
    </row>
    <row r="98" spans="2:14" x14ac:dyDescent="0.2">
      <c r="B98" s="96"/>
      <c r="C98" s="81"/>
      <c r="D98" s="81"/>
      <c r="E98" s="499"/>
      <c r="F98" s="500"/>
      <c r="G98" s="499"/>
      <c r="H98" s="499"/>
      <c r="I98" s="499"/>
      <c r="J98" s="505"/>
      <c r="K98" s="499"/>
      <c r="L98" s="81"/>
      <c r="M98" s="81"/>
      <c r="N98" s="97"/>
    </row>
    <row r="99" spans="2:14" x14ac:dyDescent="0.2">
      <c r="B99" s="96"/>
      <c r="C99" s="81"/>
      <c r="D99" s="81"/>
      <c r="E99" s="499"/>
      <c r="F99" s="500"/>
      <c r="G99" s="499"/>
      <c r="H99" s="499"/>
      <c r="I99" s="499"/>
      <c r="J99" s="505"/>
      <c r="K99" s="499"/>
      <c r="L99" s="81"/>
      <c r="M99" s="81"/>
      <c r="N99" s="97"/>
    </row>
    <row r="100" spans="2:14" ht="13.5" thickBot="1" x14ac:dyDescent="0.25">
      <c r="B100" s="96"/>
      <c r="C100" s="81"/>
      <c r="D100" s="494" t="s">
        <v>348</v>
      </c>
      <c r="E100" s="290">
        <f>Q_ail</f>
        <v>4</v>
      </c>
      <c r="F100" s="495"/>
      <c r="G100" s="499"/>
      <c r="H100" s="499"/>
      <c r="I100" s="499"/>
      <c r="J100" s="505"/>
      <c r="K100" s="499"/>
      <c r="L100" s="81"/>
      <c r="M100" s="81"/>
      <c r="N100" s="97"/>
    </row>
    <row r="101" spans="2:14" ht="13.5" thickBot="1" x14ac:dyDescent="0.25">
      <c r="B101" s="96"/>
      <c r="C101" s="81"/>
      <c r="D101" s="506" t="s">
        <v>352</v>
      </c>
      <c r="E101" s="8">
        <f ca="1">XpropuRef-Long_propu</f>
        <v>1716</v>
      </c>
      <c r="F101" s="296"/>
      <c r="G101" s="499"/>
      <c r="H101" s="499"/>
      <c r="I101" s="499"/>
      <c r="J101" s="511">
        <f>n_ail</f>
        <v>150</v>
      </c>
      <c r="K101" s="503"/>
      <c r="L101" s="81"/>
      <c r="M101" s="81"/>
      <c r="N101" s="97"/>
    </row>
    <row r="102" spans="2:14" x14ac:dyDescent="0.2">
      <c r="B102" s="96"/>
      <c r="C102" s="81"/>
      <c r="D102" s="506" t="s">
        <v>349</v>
      </c>
      <c r="E102" s="8">
        <f>IF(LEFT(Forme_ogive,4)="Ogiv",1,0)</f>
        <v>0</v>
      </c>
      <c r="F102" s="296" t="s">
        <v>350</v>
      </c>
      <c r="G102" s="499"/>
      <c r="H102" s="499"/>
      <c r="I102" s="499"/>
      <c r="J102" s="505"/>
      <c r="K102" s="499"/>
      <c r="L102" s="81"/>
      <c r="M102" s="81"/>
      <c r="N102" s="97"/>
    </row>
    <row r="103" spans="2:14" x14ac:dyDescent="0.2">
      <c r="B103" s="96"/>
      <c r="C103" s="81"/>
      <c r="D103" s="506"/>
      <c r="E103" s="8">
        <f>IF(LEFT(Forme_ogive,3)="Con",1,0)</f>
        <v>0</v>
      </c>
      <c r="F103" s="296" t="s">
        <v>160</v>
      </c>
      <c r="G103" s="499"/>
      <c r="H103" s="499"/>
      <c r="I103" s="499"/>
      <c r="J103" s="505"/>
      <c r="K103" s="499"/>
      <c r="L103" s="81"/>
      <c r="M103" s="81"/>
      <c r="N103" s="97"/>
    </row>
    <row r="104" spans="2:14" ht="13.5" thickBot="1" x14ac:dyDescent="0.25">
      <c r="B104" s="96"/>
      <c r="C104" s="81"/>
      <c r="D104" s="496"/>
      <c r="E104" s="322">
        <f>IF(LEFT(Forme_ogive,5)="Parab",1,0)</f>
        <v>1</v>
      </c>
      <c r="F104" s="339" t="s">
        <v>351</v>
      </c>
      <c r="G104" s="499"/>
      <c r="H104" s="499"/>
      <c r="I104" s="499"/>
      <c r="J104" s="512" t="s">
        <v>347</v>
      </c>
      <c r="K104" s="499"/>
      <c r="L104" s="81"/>
      <c r="M104" s="81"/>
      <c r="N104" s="97"/>
    </row>
    <row r="105" spans="2:14" ht="13.5" thickBot="1" x14ac:dyDescent="0.25">
      <c r="B105" s="96"/>
      <c r="C105" s="81"/>
      <c r="D105" s="2"/>
      <c r="E105" s="2"/>
      <c r="F105" s="2"/>
      <c r="G105" s="501"/>
      <c r="H105" s="511">
        <f>E_ail</f>
        <v>125</v>
      </c>
      <c r="I105" s="501"/>
      <c r="J105" s="511">
        <f>ep_ail</f>
        <v>2</v>
      </c>
      <c r="K105" s="499"/>
      <c r="L105" s="81"/>
      <c r="M105" s="81"/>
      <c r="N105" s="97"/>
    </row>
    <row r="106" spans="2:14" x14ac:dyDescent="0.2">
      <c r="B106" s="96"/>
      <c r="C106" s="81"/>
      <c r="D106" s="494"/>
      <c r="E106" s="290" t="s">
        <v>356</v>
      </c>
      <c r="F106" s="287" t="s">
        <v>355</v>
      </c>
      <c r="G106" s="81"/>
      <c r="H106" s="81"/>
      <c r="I106" s="81"/>
      <c r="J106" s="81"/>
      <c r="K106" s="81"/>
      <c r="L106" s="81"/>
      <c r="M106" s="81"/>
      <c r="N106" s="97"/>
    </row>
    <row r="107" spans="2:14" x14ac:dyDescent="0.2">
      <c r="B107" s="96"/>
      <c r="C107" s="81"/>
      <c r="D107" s="506" t="s">
        <v>353</v>
      </c>
      <c r="E107" s="8">
        <f>MasseSans</f>
        <v>7.73</v>
      </c>
      <c r="F107" s="288">
        <f ca="1">MassePlein</f>
        <v>9.4150000000000009</v>
      </c>
      <c r="G107" s="81"/>
      <c r="H107" s="81"/>
      <c r="I107" s="81"/>
      <c r="J107" s="81"/>
      <c r="K107" s="81"/>
      <c r="L107" s="81"/>
      <c r="M107" s="81"/>
      <c r="N107" s="97"/>
    </row>
    <row r="108" spans="2:14" x14ac:dyDescent="0.2">
      <c r="B108" s="96"/>
      <c r="C108" s="81"/>
      <c r="D108" s="496" t="s">
        <v>354</v>
      </c>
      <c r="E108" s="322">
        <f>XcgSans</f>
        <v>1180</v>
      </c>
      <c r="F108" s="308">
        <f ca="1">XcgPlein</f>
        <v>1320.6702071163038</v>
      </c>
      <c r="G108" s="81"/>
      <c r="H108" s="81"/>
      <c r="I108" s="81"/>
      <c r="J108" s="81"/>
      <c r="K108" s="81"/>
      <c r="L108" s="81"/>
      <c r="M108" s="81"/>
      <c r="N108" s="97"/>
    </row>
    <row r="109" spans="2:14" x14ac:dyDescent="0.2">
      <c r="B109" s="96"/>
      <c r="C109" s="81"/>
      <c r="D109" s="81"/>
      <c r="E109" s="81"/>
      <c r="F109" s="81"/>
      <c r="G109" s="81"/>
      <c r="H109" s="81"/>
      <c r="I109" s="81"/>
      <c r="J109" s="81"/>
      <c r="K109" s="81"/>
      <c r="L109" s="81"/>
      <c r="M109" s="81"/>
      <c r="N109" s="97"/>
    </row>
    <row r="110" spans="2:14" x14ac:dyDescent="0.2">
      <c r="B110" s="96"/>
      <c r="C110" s="81"/>
      <c r="D110" s="507" t="s">
        <v>357</v>
      </c>
      <c r="E110" s="508">
        <f ca="1">MasseVide</f>
        <v>8.3819999999999997</v>
      </c>
      <c r="F110" s="81"/>
      <c r="G110" s="494" t="s">
        <v>358</v>
      </c>
      <c r="H110" s="313"/>
      <c r="I110" s="313"/>
      <c r="J110" s="314"/>
      <c r="K110" s="81"/>
      <c r="L110" s="81"/>
      <c r="M110" s="81"/>
      <c r="N110" s="97"/>
    </row>
    <row r="111" spans="2:14" x14ac:dyDescent="0.2">
      <c r="B111" s="96"/>
      <c r="C111" s="81"/>
      <c r="D111" s="81"/>
      <c r="E111" s="81"/>
      <c r="F111" s="81"/>
      <c r="G111" s="324" t="s">
        <v>214</v>
      </c>
      <c r="H111" s="8">
        <f>Beta_rampe</f>
        <v>80</v>
      </c>
      <c r="I111" s="8">
        <v>80</v>
      </c>
      <c r="J111" s="288">
        <v>45</v>
      </c>
      <c r="K111" s="81"/>
      <c r="L111" s="81"/>
      <c r="M111" s="81"/>
      <c r="N111" s="97"/>
    </row>
    <row r="112" spans="2:14" x14ac:dyDescent="0.2">
      <c r="B112" s="96"/>
      <c r="C112" s="81"/>
      <c r="D112" s="81"/>
      <c r="E112" s="81"/>
      <c r="F112" s="81"/>
      <c r="G112" s="327" t="s">
        <v>216</v>
      </c>
      <c r="H112" s="304">
        <f ca="1">Temps_culmi</f>
        <v>16.899999999999928</v>
      </c>
      <c r="I112" s="735">
        <v>16.899999999999928</v>
      </c>
      <c r="J112" s="736">
        <v>11.299999999999933</v>
      </c>
      <c r="K112" s="81"/>
      <c r="L112" s="81"/>
      <c r="M112" s="81"/>
      <c r="N112" s="97"/>
    </row>
    <row r="113" spans="2:14" ht="12.75" customHeight="1" x14ac:dyDescent="0.25">
      <c r="B113" s="96"/>
      <c r="C113" s="81"/>
      <c r="D113" s="504" t="s">
        <v>359</v>
      </c>
      <c r="E113" s="499"/>
      <c r="F113" s="81"/>
      <c r="G113" s="327" t="s">
        <v>217</v>
      </c>
      <c r="H113" s="286">
        <f ca="1">Altitude_culmi</f>
        <v>1390.4230491725832</v>
      </c>
      <c r="I113" s="286">
        <v>1390.4230491725832</v>
      </c>
      <c r="J113" s="330">
        <v>585.04440852040068</v>
      </c>
      <c r="K113" s="81"/>
      <c r="L113" s="81"/>
      <c r="M113" s="81"/>
      <c r="N113" s="97"/>
    </row>
    <row r="114" spans="2:14" ht="12.75" customHeight="1" x14ac:dyDescent="0.25">
      <c r="B114" s="96"/>
      <c r="C114" s="81"/>
      <c r="D114" s="499"/>
      <c r="E114" s="499"/>
      <c r="F114" s="504"/>
      <c r="G114" s="327" t="s">
        <v>218</v>
      </c>
      <c r="H114" s="306">
        <f ca="1">Vit_culmi</f>
        <v>28.216112506228573</v>
      </c>
      <c r="I114" s="306">
        <v>28.216112506228573</v>
      </c>
      <c r="J114" s="611">
        <v>107.58261003080452</v>
      </c>
      <c r="K114" s="81"/>
      <c r="L114" s="81"/>
      <c r="M114" s="81"/>
      <c r="N114" s="97"/>
    </row>
    <row r="115" spans="2:14" x14ac:dyDescent="0.2">
      <c r="B115" s="96"/>
      <c r="C115" s="518" t="s">
        <v>360</v>
      </c>
      <c r="D115" s="519"/>
      <c r="E115" s="520">
        <v>0.1</v>
      </c>
      <c r="F115" s="81"/>
      <c r="G115" s="327" t="s">
        <v>134</v>
      </c>
      <c r="H115" s="307">
        <f ca="1">Portee_balistique</f>
        <v>953.1802660510491</v>
      </c>
      <c r="I115" s="307">
        <v>953.1802660510491</v>
      </c>
      <c r="J115" s="737">
        <v>2379.9719496596031</v>
      </c>
      <c r="K115" s="81"/>
      <c r="L115" s="81"/>
      <c r="M115" s="81"/>
      <c r="N115" s="97"/>
    </row>
    <row r="116" spans="2:14" ht="12.75" customHeight="1" x14ac:dyDescent="0.2">
      <c r="B116" s="96"/>
      <c r="C116" s="521" t="s">
        <v>361</v>
      </c>
      <c r="D116" s="522"/>
      <c r="E116" s="523">
        <f>E_ail*(m_ail+n_ail)/2</f>
        <v>27500</v>
      </c>
      <c r="F116" s="81"/>
      <c r="G116" s="327" t="s">
        <v>138</v>
      </c>
      <c r="H116" s="306">
        <f ca="1">Vit_max</f>
        <v>179.2876292360306</v>
      </c>
      <c r="I116" s="306">
        <v>179.2876292360306</v>
      </c>
      <c r="J116" s="611">
        <v>189.40508877162571</v>
      </c>
      <c r="K116" s="81"/>
      <c r="L116" s="81"/>
      <c r="M116" s="81"/>
      <c r="N116" s="97"/>
    </row>
    <row r="117" spans="2:14" ht="12.75" customHeight="1" x14ac:dyDescent="0.2">
      <c r="B117" s="96"/>
      <c r="C117" s="81"/>
      <c r="D117" s="499"/>
      <c r="E117" s="499"/>
      <c r="F117" s="499"/>
      <c r="G117" s="327" t="s">
        <v>137</v>
      </c>
      <c r="H117" s="307">
        <f ca="1">Acc_max</f>
        <v>85.232370028523292</v>
      </c>
      <c r="I117" s="307">
        <v>85.232370028523292</v>
      </c>
      <c r="J117" s="737">
        <v>87.956434262298529</v>
      </c>
      <c r="K117" s="81"/>
      <c r="L117" s="81"/>
      <c r="M117" s="81"/>
      <c r="N117" s="97"/>
    </row>
    <row r="118" spans="2:14" x14ac:dyDescent="0.2">
      <c r="B118" s="96"/>
      <c r="C118" s="525" t="s">
        <v>362</v>
      </c>
      <c r="D118" s="526"/>
      <c r="E118" s="538"/>
      <c r="F118" s="539">
        <f>J90/100</f>
        <v>18.95</v>
      </c>
      <c r="G118" s="324" t="s">
        <v>5</v>
      </c>
      <c r="H118" s="8">
        <f>Cx</f>
        <v>0.6</v>
      </c>
      <c r="I118" s="8">
        <v>0.6</v>
      </c>
      <c r="J118" s="288">
        <v>0.6</v>
      </c>
      <c r="K118" s="81"/>
      <c r="L118" s="81"/>
      <c r="M118" s="81"/>
      <c r="N118" s="97"/>
    </row>
    <row r="119" spans="2:14" x14ac:dyDescent="0.2">
      <c r="B119" s="96"/>
      <c r="C119" s="527" t="s">
        <v>363</v>
      </c>
      <c r="D119" s="528"/>
      <c r="E119" s="540">
        <f ca="1">2*Acc_max*MasseSans</f>
        <v>1317.6924406409701</v>
      </c>
      <c r="F119" s="541">
        <f ca="1">E119/g</f>
        <v>134.32134970855964</v>
      </c>
      <c r="G119" s="317" t="s">
        <v>223</v>
      </c>
      <c r="H119" s="318"/>
      <c r="I119" s="318"/>
      <c r="J119" s="319"/>
      <c r="K119" s="81"/>
      <c r="L119" s="81"/>
      <c r="M119" s="81"/>
      <c r="N119" s="97"/>
    </row>
    <row r="120" spans="2:14" x14ac:dyDescent="0.2">
      <c r="B120" s="96"/>
      <c r="C120" s="527" t="s">
        <v>364</v>
      </c>
      <c r="D120" s="528"/>
      <c r="E120" s="540">
        <f ca="1">2*Acc_max*E115</f>
        <v>17.04647400570466</v>
      </c>
      <c r="F120" s="541">
        <f ca="1">E120/g</f>
        <v>1.7376629975234108</v>
      </c>
      <c r="G120" s="81"/>
      <c r="H120" s="81"/>
      <c r="I120" s="81"/>
      <c r="J120" s="81"/>
      <c r="K120" s="81"/>
      <c r="L120" s="81"/>
      <c r="M120" s="81"/>
      <c r="N120" s="97"/>
    </row>
    <row r="121" spans="2:14" x14ac:dyDescent="0.2">
      <c r="B121" s="96"/>
      <c r="C121" s="529" t="s">
        <v>365</v>
      </c>
      <c r="D121" s="530"/>
      <c r="E121" s="533">
        <f ca="1">0.104*E116/1000000*Vit_max^2</f>
        <v>91.931994431638429</v>
      </c>
      <c r="F121" s="534">
        <f ca="1">E121/g</f>
        <v>9.3712532550090142</v>
      </c>
      <c r="G121" s="499"/>
      <c r="H121" s="499"/>
      <c r="I121" s="499"/>
      <c r="J121" s="499"/>
      <c r="K121" s="81"/>
      <c r="L121" s="81"/>
      <c r="M121" s="81"/>
      <c r="N121" s="97"/>
    </row>
    <row r="122" spans="2:14" ht="12.75" customHeight="1" x14ac:dyDescent="0.2">
      <c r="B122" s="96"/>
      <c r="C122" s="81"/>
      <c r="D122" s="81"/>
      <c r="E122" s="81"/>
      <c r="F122" s="81"/>
      <c r="G122" s="81"/>
      <c r="H122" s="499"/>
      <c r="I122" s="499"/>
      <c r="J122" s="499"/>
      <c r="K122" s="81"/>
      <c r="L122" s="81"/>
      <c r="M122" s="81"/>
      <c r="N122" s="97"/>
    </row>
    <row r="123" spans="2:14" ht="12.75" customHeight="1" x14ac:dyDescent="0.25">
      <c r="B123" s="96"/>
      <c r="C123" s="81"/>
      <c r="D123" s="81"/>
      <c r="E123" s="81"/>
      <c r="F123" s="81"/>
      <c r="G123" s="504"/>
      <c r="H123" s="504"/>
      <c r="I123" s="504"/>
      <c r="J123" s="499"/>
      <c r="K123" s="81"/>
      <c r="L123" s="81"/>
      <c r="M123" s="81"/>
      <c r="N123" s="97"/>
    </row>
    <row r="124" spans="2:14" ht="12.75" customHeight="1" x14ac:dyDescent="0.25">
      <c r="B124" s="96"/>
      <c r="C124" s="500"/>
      <c r="D124" s="504" t="s">
        <v>366</v>
      </c>
      <c r="E124" s="524"/>
      <c r="F124" s="81"/>
      <c r="G124" s="81"/>
      <c r="H124" s="81"/>
      <c r="I124" s="81"/>
      <c r="J124" s="499"/>
      <c r="K124" s="499"/>
      <c r="L124" s="81"/>
      <c r="M124" s="81"/>
      <c r="N124" s="97"/>
    </row>
    <row r="125" spans="2:14" x14ac:dyDescent="0.2">
      <c r="B125" s="96"/>
      <c r="C125" s="517" t="s">
        <v>367</v>
      </c>
      <c r="D125" s="509"/>
      <c r="E125" s="509"/>
      <c r="F125" s="509"/>
      <c r="G125" s="509"/>
      <c r="H125" s="81"/>
      <c r="I125" s="81"/>
      <c r="J125" s="499"/>
      <c r="K125" s="499"/>
      <c r="L125" s="81"/>
      <c r="M125" s="81"/>
      <c r="N125" s="97"/>
    </row>
    <row r="126" spans="2:14" x14ac:dyDescent="0.2">
      <c r="B126" s="96"/>
      <c r="C126" s="525" t="s">
        <v>368</v>
      </c>
      <c r="D126" s="526"/>
      <c r="E126" s="531">
        <v>4</v>
      </c>
      <c r="F126" s="509"/>
      <c r="G126" s="499"/>
      <c r="H126" s="81"/>
      <c r="I126" s="81"/>
      <c r="J126" s="499"/>
      <c r="K126" s="81"/>
      <c r="L126" s="81"/>
      <c r="M126" s="81"/>
      <c r="N126" s="97"/>
    </row>
    <row r="127" spans="2:14" x14ac:dyDescent="0.2">
      <c r="B127" s="96"/>
      <c r="C127" s="529" t="s">
        <v>369</v>
      </c>
      <c r="D127" s="530"/>
      <c r="E127" s="537">
        <f>S_para</f>
        <v>1.25</v>
      </c>
      <c r="F127" s="509"/>
      <c r="G127" s="499"/>
      <c r="H127" s="81"/>
      <c r="I127" s="81"/>
      <c r="J127" s="499"/>
      <c r="K127" s="81"/>
      <c r="L127" s="81"/>
      <c r="M127" s="81"/>
      <c r="N127" s="97"/>
    </row>
    <row r="128" spans="2:14" x14ac:dyDescent="0.2">
      <c r="B128" s="96"/>
      <c r="C128" s="883" t="s">
        <v>370</v>
      </c>
      <c r="D128" s="884"/>
      <c r="E128" s="532">
        <f ca="1">0.5*Rho_moyen*S_para*Vit_culmi^2</f>
        <v>609.55158192567615</v>
      </c>
      <c r="F128" s="738">
        <f ca="1">E128/g</f>
        <v>62.135737199355361</v>
      </c>
      <c r="G128" s="509"/>
      <c r="H128" s="499"/>
      <c r="I128" s="499"/>
      <c r="J128" s="499"/>
      <c r="K128" s="499"/>
      <c r="L128" s="81"/>
      <c r="M128" s="81"/>
      <c r="N128" s="97"/>
    </row>
    <row r="129" spans="2:14" x14ac:dyDescent="0.2">
      <c r="B129" s="96"/>
      <c r="C129" s="885" t="s">
        <v>371</v>
      </c>
      <c r="D129" s="886"/>
      <c r="E129" s="533">
        <f ca="1">E128/E126*2</f>
        <v>304.77579096283807</v>
      </c>
      <c r="F129" s="534">
        <f ca="1">E129/g</f>
        <v>31.067868599677681</v>
      </c>
      <c r="G129" s="509"/>
      <c r="H129" s="499"/>
      <c r="I129" s="499"/>
      <c r="J129" s="499"/>
      <c r="K129" s="499"/>
      <c r="L129" s="81"/>
      <c r="M129" s="81"/>
      <c r="N129" s="97"/>
    </row>
    <row r="130" spans="2:14" x14ac:dyDescent="0.2">
      <c r="B130" s="96"/>
      <c r="C130" s="514"/>
      <c r="D130" s="514"/>
      <c r="E130" s="515"/>
      <c r="F130" s="516"/>
      <c r="G130" s="509"/>
      <c r="H130" s="499"/>
      <c r="I130" s="499"/>
      <c r="J130" s="499"/>
      <c r="K130" s="499"/>
      <c r="L130" s="81"/>
      <c r="M130" s="81"/>
      <c r="N130" s="97"/>
    </row>
    <row r="131" spans="2:14" x14ac:dyDescent="0.2">
      <c r="B131" s="96"/>
      <c r="C131" s="517" t="s">
        <v>372</v>
      </c>
      <c r="D131" s="499"/>
      <c r="E131" s="499"/>
      <c r="F131" s="499"/>
      <c r="G131" s="499"/>
      <c r="H131" s="499"/>
      <c r="I131" s="499"/>
      <c r="J131" s="499"/>
      <c r="K131" s="499"/>
      <c r="L131" s="81"/>
      <c r="M131" s="81"/>
      <c r="N131" s="97"/>
    </row>
    <row r="132" spans="2:14" x14ac:dyDescent="0.2">
      <c r="B132" s="96"/>
      <c r="C132" s="883" t="s">
        <v>373</v>
      </c>
      <c r="D132" s="884"/>
      <c r="E132" s="535">
        <v>1</v>
      </c>
      <c r="F132" s="499"/>
      <c r="G132" s="499"/>
      <c r="H132" s="499"/>
      <c r="I132" s="499"/>
      <c r="J132" s="513"/>
      <c r="K132" s="499"/>
      <c r="L132" s="81"/>
      <c r="M132" s="81"/>
      <c r="N132" s="97"/>
    </row>
    <row r="133" spans="2:14" x14ac:dyDescent="0.2">
      <c r="B133" s="96"/>
      <c r="C133" s="881" t="s">
        <v>374</v>
      </c>
      <c r="D133" s="882"/>
      <c r="E133" s="536">
        <f ca="1">2*E132*Acc_max/g</f>
        <v>17.376629975234106</v>
      </c>
      <c r="F133" s="500"/>
      <c r="G133" s="500"/>
      <c r="H133" s="500"/>
      <c r="I133" s="500"/>
      <c r="J133" s="499"/>
      <c r="K133" s="499"/>
      <c r="L133" s="81"/>
      <c r="M133" s="81"/>
      <c r="N133" s="97"/>
    </row>
    <row r="134" spans="2:14" ht="13.5" thickBot="1" x14ac:dyDescent="0.25">
      <c r="B134" s="99"/>
      <c r="C134" s="542"/>
      <c r="D134" s="542"/>
      <c r="E134" s="542"/>
      <c r="F134" s="542"/>
      <c r="G134" s="542"/>
      <c r="H134" s="542"/>
      <c r="I134" s="542"/>
      <c r="J134" s="543"/>
      <c r="K134" s="543"/>
      <c r="L134" s="102"/>
      <c r="M134" s="102"/>
      <c r="N134" s="101"/>
    </row>
    <row r="135" spans="2:14" ht="13.5" thickBot="1" x14ac:dyDescent="0.25"/>
    <row r="136" spans="2:14" x14ac:dyDescent="0.2">
      <c r="B136" s="739"/>
      <c r="C136" s="740"/>
      <c r="D136" s="740"/>
      <c r="E136" s="740"/>
      <c r="F136" s="740"/>
      <c r="G136" s="740"/>
      <c r="H136" s="740"/>
      <c r="I136" s="740"/>
      <c r="J136" s="740"/>
      <c r="K136" s="740"/>
      <c r="L136" s="740"/>
      <c r="M136" s="740"/>
      <c r="N136" s="741"/>
    </row>
    <row r="137" spans="2:14" ht="15.75" x14ac:dyDescent="0.2">
      <c r="B137" s="96"/>
      <c r="C137" s="742" t="s">
        <v>599</v>
      </c>
      <c r="D137" s="81"/>
      <c r="E137" s="81"/>
      <c r="F137" s="81"/>
      <c r="G137" s="81"/>
      <c r="H137" s="81"/>
      <c r="I137" s="81"/>
      <c r="J137" s="81"/>
      <c r="K137" s="81"/>
      <c r="L137" s="81"/>
      <c r="M137" s="81"/>
      <c r="N137" s="743"/>
    </row>
    <row r="138" spans="2:14" x14ac:dyDescent="0.2">
      <c r="B138" s="96"/>
      <c r="C138" s="744"/>
      <c r="D138" s="81"/>
      <c r="E138" s="745">
        <f>IF([2]Controle!E5="Barasinga (Pro54-5G C)",893,1286)</f>
        <v>893</v>
      </c>
      <c r="F138" s="81"/>
      <c r="G138" s="81"/>
      <c r="H138" s="81"/>
      <c r="I138" s="81"/>
      <c r="J138" s="81"/>
      <c r="K138" s="81"/>
      <c r="L138" s="81"/>
      <c r="M138" s="81"/>
      <c r="N138" s="743"/>
    </row>
    <row r="139" spans="2:14" x14ac:dyDescent="0.2">
      <c r="B139" s="96"/>
      <c r="C139" s="746" t="s">
        <v>600</v>
      </c>
      <c r="D139" s="747"/>
      <c r="E139" s="748">
        <f>(E138*SIN(RADIANS(2))+0.5*1.3*1*(Long_tot*D_og/1000000+2*E116/1000000))/9.81</f>
        <v>3.1936195775059497</v>
      </c>
      <c r="F139" s="749" t="s">
        <v>228</v>
      </c>
      <c r="G139" s="81"/>
      <c r="H139" s="81"/>
      <c r="I139" s="81"/>
      <c r="J139" s="81"/>
      <c r="K139" s="81"/>
      <c r="L139" s="81"/>
      <c r="M139" s="81"/>
      <c r="N139" s="743"/>
    </row>
    <row r="140" spans="2:14" ht="13.5" thickBot="1" x14ac:dyDescent="0.25">
      <c r="B140" s="750"/>
      <c r="C140" s="751"/>
      <c r="D140" s="751"/>
      <c r="E140" s="751"/>
      <c r="F140" s="751"/>
      <c r="G140" s="751"/>
      <c r="H140" s="751"/>
      <c r="I140" s="751"/>
      <c r="J140" s="751"/>
      <c r="K140" s="751"/>
      <c r="L140" s="751"/>
      <c r="M140" s="751"/>
      <c r="N140" s="752"/>
    </row>
  </sheetData>
  <mergeCells count="22">
    <mergeCell ref="H11:I11"/>
    <mergeCell ref="H12:I12"/>
    <mergeCell ref="H13:I13"/>
    <mergeCell ref="H29:K29"/>
    <mergeCell ref="C29:C30"/>
    <mergeCell ref="D29:D30"/>
    <mergeCell ref="H17:I17"/>
    <mergeCell ref="H18:I18"/>
    <mergeCell ref="H19:I19"/>
    <mergeCell ref="E29:G30"/>
    <mergeCell ref="E31:G31"/>
    <mergeCell ref="M29:M30"/>
    <mergeCell ref="H30:I30"/>
    <mergeCell ref="L29:L30"/>
    <mergeCell ref="H31:I31"/>
    <mergeCell ref="C133:D133"/>
    <mergeCell ref="C128:D128"/>
    <mergeCell ref="C129:D129"/>
    <mergeCell ref="C132:D132"/>
    <mergeCell ref="H44:I44"/>
    <mergeCell ref="H45:I45"/>
    <mergeCell ref="H46:I46"/>
  </mergeCells>
  <phoneticPr fontId="8" type="noConversion"/>
  <conditionalFormatting sqref="I68:I73 I16">
    <cfRule type="expression" dxfId="2" priority="6" stopIfTrue="1">
      <formula>Nb_sat="0 satellite"</formula>
    </cfRule>
  </conditionalFormatting>
  <conditionalFormatting sqref="D18:E18">
    <cfRule type="expression" dxfId="1" priority="2" stopIfTrue="1">
      <formula>IF(Propu="Cariacou",0,1)</formula>
    </cfRule>
  </conditionalFormatting>
  <conditionalFormatting sqref="F18:I19">
    <cfRule type="expression" dxfId="0" priority="1" stopIfTrue="1">
      <formula>IF(Propu="Cariacou",1,0)</formula>
    </cfRule>
  </conditionalFormatting>
  <pageMargins left="0.39370078740157483" right="0.39370078740157483" top="0.39370078740157483" bottom="0.39370078740157483" header="0" footer="0"/>
  <pageSetup paperSize="9" scale="61" orientation="portrait" r:id="rId1"/>
  <ignoredErrors>
    <ignoredError sqref="H65 H63"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pageSetUpPr fitToPage="1"/>
  </sheetPr>
  <dimension ref="A1:J53"/>
  <sheetViews>
    <sheetView tabSelected="1" workbookViewId="0">
      <selection activeCell="D27" sqref="D27"/>
    </sheetView>
  </sheetViews>
  <sheetFormatPr baseColWidth="10" defaultRowHeight="15" x14ac:dyDescent="0.2"/>
  <cols>
    <col min="1" max="1" width="23.85546875" style="646" bestFit="1" customWidth="1"/>
    <col min="2" max="2" width="16.140625" style="646" bestFit="1" customWidth="1"/>
    <col min="3" max="3" width="12.42578125" style="646" bestFit="1" customWidth="1"/>
    <col min="4" max="4" width="13.28515625" style="646" customWidth="1"/>
    <col min="5" max="5" width="14" style="646" customWidth="1"/>
    <col min="6" max="6" width="21.5703125" style="646" customWidth="1"/>
    <col min="7" max="7" width="13.5703125" style="646" bestFit="1" customWidth="1"/>
    <col min="8" max="8" width="10.5703125" style="646" customWidth="1"/>
    <col min="9" max="9" width="8.42578125" style="646" customWidth="1"/>
    <col min="10" max="256" width="11.42578125" style="646"/>
    <col min="257" max="257" width="23.85546875" style="646" bestFit="1" customWidth="1"/>
    <col min="258" max="258" width="16.140625" style="646" bestFit="1" customWidth="1"/>
    <col min="259" max="259" width="12.42578125" style="646" bestFit="1" customWidth="1"/>
    <col min="260" max="260" width="13.28515625" style="646" customWidth="1"/>
    <col min="261" max="261" width="14" style="646" customWidth="1"/>
    <col min="262" max="262" width="21.5703125" style="646" customWidth="1"/>
    <col min="263" max="263" width="13.5703125" style="646" bestFit="1" customWidth="1"/>
    <col min="264" max="264" width="10.5703125" style="646" customWidth="1"/>
    <col min="265" max="265" width="8.42578125" style="646" customWidth="1"/>
    <col min="266" max="512" width="11.42578125" style="646"/>
    <col min="513" max="513" width="23.85546875" style="646" bestFit="1" customWidth="1"/>
    <col min="514" max="514" width="16.140625" style="646" bestFit="1" customWidth="1"/>
    <col min="515" max="515" width="12.42578125" style="646" bestFit="1" customWidth="1"/>
    <col min="516" max="516" width="13.28515625" style="646" customWidth="1"/>
    <col min="517" max="517" width="14" style="646" customWidth="1"/>
    <col min="518" max="518" width="21.5703125" style="646" customWidth="1"/>
    <col min="519" max="519" width="13.5703125" style="646" bestFit="1" customWidth="1"/>
    <col min="520" max="520" width="10.5703125" style="646" customWidth="1"/>
    <col min="521" max="521" width="8.42578125" style="646" customWidth="1"/>
    <col min="522" max="768" width="11.42578125" style="646"/>
    <col min="769" max="769" width="23.85546875" style="646" bestFit="1" customWidth="1"/>
    <col min="770" max="770" width="16.140625" style="646" bestFit="1" customWidth="1"/>
    <col min="771" max="771" width="12.42578125" style="646" bestFit="1" customWidth="1"/>
    <col min="772" max="772" width="13.28515625" style="646" customWidth="1"/>
    <col min="773" max="773" width="14" style="646" customWidth="1"/>
    <col min="774" max="774" width="21.5703125" style="646" customWidth="1"/>
    <col min="775" max="775" width="13.5703125" style="646" bestFit="1" customWidth="1"/>
    <col min="776" max="776" width="10.5703125" style="646" customWidth="1"/>
    <col min="777" max="777" width="8.42578125" style="646" customWidth="1"/>
    <col min="778" max="1024" width="11.42578125" style="646"/>
    <col min="1025" max="1025" width="23.85546875" style="646" bestFit="1" customWidth="1"/>
    <col min="1026" max="1026" width="16.140625" style="646" bestFit="1" customWidth="1"/>
    <col min="1027" max="1027" width="12.42578125" style="646" bestFit="1" customWidth="1"/>
    <col min="1028" max="1028" width="13.28515625" style="646" customWidth="1"/>
    <col min="1029" max="1029" width="14" style="646" customWidth="1"/>
    <col min="1030" max="1030" width="21.5703125" style="646" customWidth="1"/>
    <col min="1031" max="1031" width="13.5703125" style="646" bestFit="1" customWidth="1"/>
    <col min="1032" max="1032" width="10.5703125" style="646" customWidth="1"/>
    <col min="1033" max="1033" width="8.42578125" style="646" customWidth="1"/>
    <col min="1034" max="1280" width="11.42578125" style="646"/>
    <col min="1281" max="1281" width="23.85546875" style="646" bestFit="1" customWidth="1"/>
    <col min="1282" max="1282" width="16.140625" style="646" bestFit="1" customWidth="1"/>
    <col min="1283" max="1283" width="12.42578125" style="646" bestFit="1" customWidth="1"/>
    <col min="1284" max="1284" width="13.28515625" style="646" customWidth="1"/>
    <col min="1285" max="1285" width="14" style="646" customWidth="1"/>
    <col min="1286" max="1286" width="21.5703125" style="646" customWidth="1"/>
    <col min="1287" max="1287" width="13.5703125" style="646" bestFit="1" customWidth="1"/>
    <col min="1288" max="1288" width="10.5703125" style="646" customWidth="1"/>
    <col min="1289" max="1289" width="8.42578125" style="646" customWidth="1"/>
    <col min="1290" max="1536" width="11.42578125" style="646"/>
    <col min="1537" max="1537" width="23.85546875" style="646" bestFit="1" customWidth="1"/>
    <col min="1538" max="1538" width="16.140625" style="646" bestFit="1" customWidth="1"/>
    <col min="1539" max="1539" width="12.42578125" style="646" bestFit="1" customWidth="1"/>
    <col min="1540" max="1540" width="13.28515625" style="646" customWidth="1"/>
    <col min="1541" max="1541" width="14" style="646" customWidth="1"/>
    <col min="1542" max="1542" width="21.5703125" style="646" customWidth="1"/>
    <col min="1543" max="1543" width="13.5703125" style="646" bestFit="1" customWidth="1"/>
    <col min="1544" max="1544" width="10.5703125" style="646" customWidth="1"/>
    <col min="1545" max="1545" width="8.42578125" style="646" customWidth="1"/>
    <col min="1546" max="1792" width="11.42578125" style="646"/>
    <col min="1793" max="1793" width="23.85546875" style="646" bestFit="1" customWidth="1"/>
    <col min="1794" max="1794" width="16.140625" style="646" bestFit="1" customWidth="1"/>
    <col min="1795" max="1795" width="12.42578125" style="646" bestFit="1" customWidth="1"/>
    <col min="1796" max="1796" width="13.28515625" style="646" customWidth="1"/>
    <col min="1797" max="1797" width="14" style="646" customWidth="1"/>
    <col min="1798" max="1798" width="21.5703125" style="646" customWidth="1"/>
    <col min="1799" max="1799" width="13.5703125" style="646" bestFit="1" customWidth="1"/>
    <col min="1800" max="1800" width="10.5703125" style="646" customWidth="1"/>
    <col min="1801" max="1801" width="8.42578125" style="646" customWidth="1"/>
    <col min="1802" max="2048" width="11.42578125" style="646"/>
    <col min="2049" max="2049" width="23.85546875" style="646" bestFit="1" customWidth="1"/>
    <col min="2050" max="2050" width="16.140625" style="646" bestFit="1" customWidth="1"/>
    <col min="2051" max="2051" width="12.42578125" style="646" bestFit="1" customWidth="1"/>
    <col min="2052" max="2052" width="13.28515625" style="646" customWidth="1"/>
    <col min="2053" max="2053" width="14" style="646" customWidth="1"/>
    <col min="2054" max="2054" width="21.5703125" style="646" customWidth="1"/>
    <col min="2055" max="2055" width="13.5703125" style="646" bestFit="1" customWidth="1"/>
    <col min="2056" max="2056" width="10.5703125" style="646" customWidth="1"/>
    <col min="2057" max="2057" width="8.42578125" style="646" customWidth="1"/>
    <col min="2058" max="2304" width="11.42578125" style="646"/>
    <col min="2305" max="2305" width="23.85546875" style="646" bestFit="1" customWidth="1"/>
    <col min="2306" max="2306" width="16.140625" style="646" bestFit="1" customWidth="1"/>
    <col min="2307" max="2307" width="12.42578125" style="646" bestFit="1" customWidth="1"/>
    <col min="2308" max="2308" width="13.28515625" style="646" customWidth="1"/>
    <col min="2309" max="2309" width="14" style="646" customWidth="1"/>
    <col min="2310" max="2310" width="21.5703125" style="646" customWidth="1"/>
    <col min="2311" max="2311" width="13.5703125" style="646" bestFit="1" customWidth="1"/>
    <col min="2312" max="2312" width="10.5703125" style="646" customWidth="1"/>
    <col min="2313" max="2313" width="8.42578125" style="646" customWidth="1"/>
    <col min="2314" max="2560" width="11.42578125" style="646"/>
    <col min="2561" max="2561" width="23.85546875" style="646" bestFit="1" customWidth="1"/>
    <col min="2562" max="2562" width="16.140625" style="646" bestFit="1" customWidth="1"/>
    <col min="2563" max="2563" width="12.42578125" style="646" bestFit="1" customWidth="1"/>
    <col min="2564" max="2564" width="13.28515625" style="646" customWidth="1"/>
    <col min="2565" max="2565" width="14" style="646" customWidth="1"/>
    <col min="2566" max="2566" width="21.5703125" style="646" customWidth="1"/>
    <col min="2567" max="2567" width="13.5703125" style="646" bestFit="1" customWidth="1"/>
    <col min="2568" max="2568" width="10.5703125" style="646" customWidth="1"/>
    <col min="2569" max="2569" width="8.42578125" style="646" customWidth="1"/>
    <col min="2570" max="2816" width="11.42578125" style="646"/>
    <col min="2817" max="2817" width="23.85546875" style="646" bestFit="1" customWidth="1"/>
    <col min="2818" max="2818" width="16.140625" style="646" bestFit="1" customWidth="1"/>
    <col min="2819" max="2819" width="12.42578125" style="646" bestFit="1" customWidth="1"/>
    <col min="2820" max="2820" width="13.28515625" style="646" customWidth="1"/>
    <col min="2821" max="2821" width="14" style="646" customWidth="1"/>
    <col min="2822" max="2822" width="21.5703125" style="646" customWidth="1"/>
    <col min="2823" max="2823" width="13.5703125" style="646" bestFit="1" customWidth="1"/>
    <col min="2824" max="2824" width="10.5703125" style="646" customWidth="1"/>
    <col min="2825" max="2825" width="8.42578125" style="646" customWidth="1"/>
    <col min="2826" max="3072" width="11.42578125" style="646"/>
    <col min="3073" max="3073" width="23.85546875" style="646" bestFit="1" customWidth="1"/>
    <col min="3074" max="3074" width="16.140625" style="646" bestFit="1" customWidth="1"/>
    <col min="3075" max="3075" width="12.42578125" style="646" bestFit="1" customWidth="1"/>
    <col min="3076" max="3076" width="13.28515625" style="646" customWidth="1"/>
    <col min="3077" max="3077" width="14" style="646" customWidth="1"/>
    <col min="3078" max="3078" width="21.5703125" style="646" customWidth="1"/>
    <col min="3079" max="3079" width="13.5703125" style="646" bestFit="1" customWidth="1"/>
    <col min="3080" max="3080" width="10.5703125" style="646" customWidth="1"/>
    <col min="3081" max="3081" width="8.42578125" style="646" customWidth="1"/>
    <col min="3082" max="3328" width="11.42578125" style="646"/>
    <col min="3329" max="3329" width="23.85546875" style="646" bestFit="1" customWidth="1"/>
    <col min="3330" max="3330" width="16.140625" style="646" bestFit="1" customWidth="1"/>
    <col min="3331" max="3331" width="12.42578125" style="646" bestFit="1" customWidth="1"/>
    <col min="3332" max="3332" width="13.28515625" style="646" customWidth="1"/>
    <col min="3333" max="3333" width="14" style="646" customWidth="1"/>
    <col min="3334" max="3334" width="21.5703125" style="646" customWidth="1"/>
    <col min="3335" max="3335" width="13.5703125" style="646" bestFit="1" customWidth="1"/>
    <col min="3336" max="3336" width="10.5703125" style="646" customWidth="1"/>
    <col min="3337" max="3337" width="8.42578125" style="646" customWidth="1"/>
    <col min="3338" max="3584" width="11.42578125" style="646"/>
    <col min="3585" max="3585" width="23.85546875" style="646" bestFit="1" customWidth="1"/>
    <col min="3586" max="3586" width="16.140625" style="646" bestFit="1" customWidth="1"/>
    <col min="3587" max="3587" width="12.42578125" style="646" bestFit="1" customWidth="1"/>
    <col min="3588" max="3588" width="13.28515625" style="646" customWidth="1"/>
    <col min="3589" max="3589" width="14" style="646" customWidth="1"/>
    <col min="3590" max="3590" width="21.5703125" style="646" customWidth="1"/>
    <col min="3591" max="3591" width="13.5703125" style="646" bestFit="1" customWidth="1"/>
    <col min="3592" max="3592" width="10.5703125" style="646" customWidth="1"/>
    <col min="3593" max="3593" width="8.42578125" style="646" customWidth="1"/>
    <col min="3594" max="3840" width="11.42578125" style="646"/>
    <col min="3841" max="3841" width="23.85546875" style="646" bestFit="1" customWidth="1"/>
    <col min="3842" max="3842" width="16.140625" style="646" bestFit="1" customWidth="1"/>
    <col min="3843" max="3843" width="12.42578125" style="646" bestFit="1" customWidth="1"/>
    <col min="3844" max="3844" width="13.28515625" style="646" customWidth="1"/>
    <col min="3845" max="3845" width="14" style="646" customWidth="1"/>
    <col min="3846" max="3846" width="21.5703125" style="646" customWidth="1"/>
    <col min="3847" max="3847" width="13.5703125" style="646" bestFit="1" customWidth="1"/>
    <col min="3848" max="3848" width="10.5703125" style="646" customWidth="1"/>
    <col min="3849" max="3849" width="8.42578125" style="646" customWidth="1"/>
    <col min="3850" max="4096" width="11.42578125" style="646"/>
    <col min="4097" max="4097" width="23.85546875" style="646" bestFit="1" customWidth="1"/>
    <col min="4098" max="4098" width="16.140625" style="646" bestFit="1" customWidth="1"/>
    <col min="4099" max="4099" width="12.42578125" style="646" bestFit="1" customWidth="1"/>
    <col min="4100" max="4100" width="13.28515625" style="646" customWidth="1"/>
    <col min="4101" max="4101" width="14" style="646" customWidth="1"/>
    <col min="4102" max="4102" width="21.5703125" style="646" customWidth="1"/>
    <col min="4103" max="4103" width="13.5703125" style="646" bestFit="1" customWidth="1"/>
    <col min="4104" max="4104" width="10.5703125" style="646" customWidth="1"/>
    <col min="4105" max="4105" width="8.42578125" style="646" customWidth="1"/>
    <col min="4106" max="4352" width="11.42578125" style="646"/>
    <col min="4353" max="4353" width="23.85546875" style="646" bestFit="1" customWidth="1"/>
    <col min="4354" max="4354" width="16.140625" style="646" bestFit="1" customWidth="1"/>
    <col min="4355" max="4355" width="12.42578125" style="646" bestFit="1" customWidth="1"/>
    <col min="4356" max="4356" width="13.28515625" style="646" customWidth="1"/>
    <col min="4357" max="4357" width="14" style="646" customWidth="1"/>
    <col min="4358" max="4358" width="21.5703125" style="646" customWidth="1"/>
    <col min="4359" max="4359" width="13.5703125" style="646" bestFit="1" customWidth="1"/>
    <col min="4360" max="4360" width="10.5703125" style="646" customWidth="1"/>
    <col min="4361" max="4361" width="8.42578125" style="646" customWidth="1"/>
    <col min="4362" max="4608" width="11.42578125" style="646"/>
    <col min="4609" max="4609" width="23.85546875" style="646" bestFit="1" customWidth="1"/>
    <col min="4610" max="4610" width="16.140625" style="646" bestFit="1" customWidth="1"/>
    <col min="4611" max="4611" width="12.42578125" style="646" bestFit="1" customWidth="1"/>
    <col min="4612" max="4612" width="13.28515625" style="646" customWidth="1"/>
    <col min="4613" max="4613" width="14" style="646" customWidth="1"/>
    <col min="4614" max="4614" width="21.5703125" style="646" customWidth="1"/>
    <col min="4615" max="4615" width="13.5703125" style="646" bestFit="1" customWidth="1"/>
    <col min="4616" max="4616" width="10.5703125" style="646" customWidth="1"/>
    <col min="4617" max="4617" width="8.42578125" style="646" customWidth="1"/>
    <col min="4618" max="4864" width="11.42578125" style="646"/>
    <col min="4865" max="4865" width="23.85546875" style="646" bestFit="1" customWidth="1"/>
    <col min="4866" max="4866" width="16.140625" style="646" bestFit="1" customWidth="1"/>
    <col min="4867" max="4867" width="12.42578125" style="646" bestFit="1" customWidth="1"/>
    <col min="4868" max="4868" width="13.28515625" style="646" customWidth="1"/>
    <col min="4869" max="4869" width="14" style="646" customWidth="1"/>
    <col min="4870" max="4870" width="21.5703125" style="646" customWidth="1"/>
    <col min="4871" max="4871" width="13.5703125" style="646" bestFit="1" customWidth="1"/>
    <col min="4872" max="4872" width="10.5703125" style="646" customWidth="1"/>
    <col min="4873" max="4873" width="8.42578125" style="646" customWidth="1"/>
    <col min="4874" max="5120" width="11.42578125" style="646"/>
    <col min="5121" max="5121" width="23.85546875" style="646" bestFit="1" customWidth="1"/>
    <col min="5122" max="5122" width="16.140625" style="646" bestFit="1" customWidth="1"/>
    <col min="5123" max="5123" width="12.42578125" style="646" bestFit="1" customWidth="1"/>
    <col min="5124" max="5124" width="13.28515625" style="646" customWidth="1"/>
    <col min="5125" max="5125" width="14" style="646" customWidth="1"/>
    <col min="5126" max="5126" width="21.5703125" style="646" customWidth="1"/>
    <col min="5127" max="5127" width="13.5703125" style="646" bestFit="1" customWidth="1"/>
    <col min="5128" max="5128" width="10.5703125" style="646" customWidth="1"/>
    <col min="5129" max="5129" width="8.42578125" style="646" customWidth="1"/>
    <col min="5130" max="5376" width="11.42578125" style="646"/>
    <col min="5377" max="5377" width="23.85546875" style="646" bestFit="1" customWidth="1"/>
    <col min="5378" max="5378" width="16.140625" style="646" bestFit="1" customWidth="1"/>
    <col min="5379" max="5379" width="12.42578125" style="646" bestFit="1" customWidth="1"/>
    <col min="5380" max="5380" width="13.28515625" style="646" customWidth="1"/>
    <col min="5381" max="5381" width="14" style="646" customWidth="1"/>
    <col min="5382" max="5382" width="21.5703125" style="646" customWidth="1"/>
    <col min="5383" max="5383" width="13.5703125" style="646" bestFit="1" customWidth="1"/>
    <col min="5384" max="5384" width="10.5703125" style="646" customWidth="1"/>
    <col min="5385" max="5385" width="8.42578125" style="646" customWidth="1"/>
    <col min="5386" max="5632" width="11.42578125" style="646"/>
    <col min="5633" max="5633" width="23.85546875" style="646" bestFit="1" customWidth="1"/>
    <col min="5634" max="5634" width="16.140625" style="646" bestFit="1" customWidth="1"/>
    <col min="5635" max="5635" width="12.42578125" style="646" bestFit="1" customWidth="1"/>
    <col min="5636" max="5636" width="13.28515625" style="646" customWidth="1"/>
    <col min="5637" max="5637" width="14" style="646" customWidth="1"/>
    <col min="5638" max="5638" width="21.5703125" style="646" customWidth="1"/>
    <col min="5639" max="5639" width="13.5703125" style="646" bestFit="1" customWidth="1"/>
    <col min="5640" max="5640" width="10.5703125" style="646" customWidth="1"/>
    <col min="5641" max="5641" width="8.42578125" style="646" customWidth="1"/>
    <col min="5642" max="5888" width="11.42578125" style="646"/>
    <col min="5889" max="5889" width="23.85546875" style="646" bestFit="1" customWidth="1"/>
    <col min="5890" max="5890" width="16.140625" style="646" bestFit="1" customWidth="1"/>
    <col min="5891" max="5891" width="12.42578125" style="646" bestFit="1" customWidth="1"/>
    <col min="5892" max="5892" width="13.28515625" style="646" customWidth="1"/>
    <col min="5893" max="5893" width="14" style="646" customWidth="1"/>
    <col min="5894" max="5894" width="21.5703125" style="646" customWidth="1"/>
    <col min="5895" max="5895" width="13.5703125" style="646" bestFit="1" customWidth="1"/>
    <col min="5896" max="5896" width="10.5703125" style="646" customWidth="1"/>
    <col min="5897" max="5897" width="8.42578125" style="646" customWidth="1"/>
    <col min="5898" max="6144" width="11.42578125" style="646"/>
    <col min="6145" max="6145" width="23.85546875" style="646" bestFit="1" customWidth="1"/>
    <col min="6146" max="6146" width="16.140625" style="646" bestFit="1" customWidth="1"/>
    <col min="6147" max="6147" width="12.42578125" style="646" bestFit="1" customWidth="1"/>
    <col min="6148" max="6148" width="13.28515625" style="646" customWidth="1"/>
    <col min="6149" max="6149" width="14" style="646" customWidth="1"/>
    <col min="6150" max="6150" width="21.5703125" style="646" customWidth="1"/>
    <col min="6151" max="6151" width="13.5703125" style="646" bestFit="1" customWidth="1"/>
    <col min="6152" max="6152" width="10.5703125" style="646" customWidth="1"/>
    <col min="6153" max="6153" width="8.42578125" style="646" customWidth="1"/>
    <col min="6154" max="6400" width="11.42578125" style="646"/>
    <col min="6401" max="6401" width="23.85546875" style="646" bestFit="1" customWidth="1"/>
    <col min="6402" max="6402" width="16.140625" style="646" bestFit="1" customWidth="1"/>
    <col min="6403" max="6403" width="12.42578125" style="646" bestFit="1" customWidth="1"/>
    <col min="6404" max="6404" width="13.28515625" style="646" customWidth="1"/>
    <col min="6405" max="6405" width="14" style="646" customWidth="1"/>
    <col min="6406" max="6406" width="21.5703125" style="646" customWidth="1"/>
    <col min="6407" max="6407" width="13.5703125" style="646" bestFit="1" customWidth="1"/>
    <col min="6408" max="6408" width="10.5703125" style="646" customWidth="1"/>
    <col min="6409" max="6409" width="8.42578125" style="646" customWidth="1"/>
    <col min="6410" max="6656" width="11.42578125" style="646"/>
    <col min="6657" max="6657" width="23.85546875" style="646" bestFit="1" customWidth="1"/>
    <col min="6658" max="6658" width="16.140625" style="646" bestFit="1" customWidth="1"/>
    <col min="6659" max="6659" width="12.42578125" style="646" bestFit="1" customWidth="1"/>
    <col min="6660" max="6660" width="13.28515625" style="646" customWidth="1"/>
    <col min="6661" max="6661" width="14" style="646" customWidth="1"/>
    <col min="6662" max="6662" width="21.5703125" style="646" customWidth="1"/>
    <col min="6663" max="6663" width="13.5703125" style="646" bestFit="1" customWidth="1"/>
    <col min="6664" max="6664" width="10.5703125" style="646" customWidth="1"/>
    <col min="6665" max="6665" width="8.42578125" style="646" customWidth="1"/>
    <col min="6666" max="6912" width="11.42578125" style="646"/>
    <col min="6913" max="6913" width="23.85546875" style="646" bestFit="1" customWidth="1"/>
    <col min="6914" max="6914" width="16.140625" style="646" bestFit="1" customWidth="1"/>
    <col min="6915" max="6915" width="12.42578125" style="646" bestFit="1" customWidth="1"/>
    <col min="6916" max="6916" width="13.28515625" style="646" customWidth="1"/>
    <col min="6917" max="6917" width="14" style="646" customWidth="1"/>
    <col min="6918" max="6918" width="21.5703125" style="646" customWidth="1"/>
    <col min="6919" max="6919" width="13.5703125" style="646" bestFit="1" customWidth="1"/>
    <col min="6920" max="6920" width="10.5703125" style="646" customWidth="1"/>
    <col min="6921" max="6921" width="8.42578125" style="646" customWidth="1"/>
    <col min="6922" max="7168" width="11.42578125" style="646"/>
    <col min="7169" max="7169" width="23.85546875" style="646" bestFit="1" customWidth="1"/>
    <col min="7170" max="7170" width="16.140625" style="646" bestFit="1" customWidth="1"/>
    <col min="7171" max="7171" width="12.42578125" style="646" bestFit="1" customWidth="1"/>
    <col min="7172" max="7172" width="13.28515625" style="646" customWidth="1"/>
    <col min="7173" max="7173" width="14" style="646" customWidth="1"/>
    <col min="7174" max="7174" width="21.5703125" style="646" customWidth="1"/>
    <col min="7175" max="7175" width="13.5703125" style="646" bestFit="1" customWidth="1"/>
    <col min="7176" max="7176" width="10.5703125" style="646" customWidth="1"/>
    <col min="7177" max="7177" width="8.42578125" style="646" customWidth="1"/>
    <col min="7178" max="7424" width="11.42578125" style="646"/>
    <col min="7425" max="7425" width="23.85546875" style="646" bestFit="1" customWidth="1"/>
    <col min="7426" max="7426" width="16.140625" style="646" bestFit="1" customWidth="1"/>
    <col min="7427" max="7427" width="12.42578125" style="646" bestFit="1" customWidth="1"/>
    <col min="7428" max="7428" width="13.28515625" style="646" customWidth="1"/>
    <col min="7429" max="7429" width="14" style="646" customWidth="1"/>
    <col min="7430" max="7430" width="21.5703125" style="646" customWidth="1"/>
    <col min="7431" max="7431" width="13.5703125" style="646" bestFit="1" customWidth="1"/>
    <col min="7432" max="7432" width="10.5703125" style="646" customWidth="1"/>
    <col min="7433" max="7433" width="8.42578125" style="646" customWidth="1"/>
    <col min="7434" max="7680" width="11.42578125" style="646"/>
    <col min="7681" max="7681" width="23.85546875" style="646" bestFit="1" customWidth="1"/>
    <col min="7682" max="7682" width="16.140625" style="646" bestFit="1" customWidth="1"/>
    <col min="7683" max="7683" width="12.42578125" style="646" bestFit="1" customWidth="1"/>
    <col min="7684" max="7684" width="13.28515625" style="646" customWidth="1"/>
    <col min="7685" max="7685" width="14" style="646" customWidth="1"/>
    <col min="7686" max="7686" width="21.5703125" style="646" customWidth="1"/>
    <col min="7687" max="7687" width="13.5703125" style="646" bestFit="1" customWidth="1"/>
    <col min="7688" max="7688" width="10.5703125" style="646" customWidth="1"/>
    <col min="7689" max="7689" width="8.42578125" style="646" customWidth="1"/>
    <col min="7690" max="7936" width="11.42578125" style="646"/>
    <col min="7937" max="7937" width="23.85546875" style="646" bestFit="1" customWidth="1"/>
    <col min="7938" max="7938" width="16.140625" style="646" bestFit="1" customWidth="1"/>
    <col min="7939" max="7939" width="12.42578125" style="646" bestFit="1" customWidth="1"/>
    <col min="7940" max="7940" width="13.28515625" style="646" customWidth="1"/>
    <col min="7941" max="7941" width="14" style="646" customWidth="1"/>
    <col min="7942" max="7942" width="21.5703125" style="646" customWidth="1"/>
    <col min="7943" max="7943" width="13.5703125" style="646" bestFit="1" customWidth="1"/>
    <col min="7944" max="7944" width="10.5703125" style="646" customWidth="1"/>
    <col min="7945" max="7945" width="8.42578125" style="646" customWidth="1"/>
    <col min="7946" max="8192" width="11.42578125" style="646"/>
    <col min="8193" max="8193" width="23.85546875" style="646" bestFit="1" customWidth="1"/>
    <col min="8194" max="8194" width="16.140625" style="646" bestFit="1" customWidth="1"/>
    <col min="8195" max="8195" width="12.42578125" style="646" bestFit="1" customWidth="1"/>
    <col min="8196" max="8196" width="13.28515625" style="646" customWidth="1"/>
    <col min="8197" max="8197" width="14" style="646" customWidth="1"/>
    <col min="8198" max="8198" width="21.5703125" style="646" customWidth="1"/>
    <col min="8199" max="8199" width="13.5703125" style="646" bestFit="1" customWidth="1"/>
    <col min="8200" max="8200" width="10.5703125" style="646" customWidth="1"/>
    <col min="8201" max="8201" width="8.42578125" style="646" customWidth="1"/>
    <col min="8202" max="8448" width="11.42578125" style="646"/>
    <col min="8449" max="8449" width="23.85546875" style="646" bestFit="1" customWidth="1"/>
    <col min="8450" max="8450" width="16.140625" style="646" bestFit="1" customWidth="1"/>
    <col min="8451" max="8451" width="12.42578125" style="646" bestFit="1" customWidth="1"/>
    <col min="8452" max="8452" width="13.28515625" style="646" customWidth="1"/>
    <col min="8453" max="8453" width="14" style="646" customWidth="1"/>
    <col min="8454" max="8454" width="21.5703125" style="646" customWidth="1"/>
    <col min="8455" max="8455" width="13.5703125" style="646" bestFit="1" customWidth="1"/>
    <col min="8456" max="8456" width="10.5703125" style="646" customWidth="1"/>
    <col min="8457" max="8457" width="8.42578125" style="646" customWidth="1"/>
    <col min="8458" max="8704" width="11.42578125" style="646"/>
    <col min="8705" max="8705" width="23.85546875" style="646" bestFit="1" customWidth="1"/>
    <col min="8706" max="8706" width="16.140625" style="646" bestFit="1" customWidth="1"/>
    <col min="8707" max="8707" width="12.42578125" style="646" bestFit="1" customWidth="1"/>
    <col min="8708" max="8708" width="13.28515625" style="646" customWidth="1"/>
    <col min="8709" max="8709" width="14" style="646" customWidth="1"/>
    <col min="8710" max="8710" width="21.5703125" style="646" customWidth="1"/>
    <col min="8711" max="8711" width="13.5703125" style="646" bestFit="1" customWidth="1"/>
    <col min="8712" max="8712" width="10.5703125" style="646" customWidth="1"/>
    <col min="8713" max="8713" width="8.42578125" style="646" customWidth="1"/>
    <col min="8714" max="8960" width="11.42578125" style="646"/>
    <col min="8961" max="8961" width="23.85546875" style="646" bestFit="1" customWidth="1"/>
    <col min="8962" max="8962" width="16.140625" style="646" bestFit="1" customWidth="1"/>
    <col min="8963" max="8963" width="12.42578125" style="646" bestFit="1" customWidth="1"/>
    <col min="8964" max="8964" width="13.28515625" style="646" customWidth="1"/>
    <col min="8965" max="8965" width="14" style="646" customWidth="1"/>
    <col min="8966" max="8966" width="21.5703125" style="646" customWidth="1"/>
    <col min="8967" max="8967" width="13.5703125" style="646" bestFit="1" customWidth="1"/>
    <col min="8968" max="8968" width="10.5703125" style="646" customWidth="1"/>
    <col min="8969" max="8969" width="8.42578125" style="646" customWidth="1"/>
    <col min="8970" max="9216" width="11.42578125" style="646"/>
    <col min="9217" max="9217" width="23.85546875" style="646" bestFit="1" customWidth="1"/>
    <col min="9218" max="9218" width="16.140625" style="646" bestFit="1" customWidth="1"/>
    <col min="9219" max="9219" width="12.42578125" style="646" bestFit="1" customWidth="1"/>
    <col min="9220" max="9220" width="13.28515625" style="646" customWidth="1"/>
    <col min="9221" max="9221" width="14" style="646" customWidth="1"/>
    <col min="9222" max="9222" width="21.5703125" style="646" customWidth="1"/>
    <col min="9223" max="9223" width="13.5703125" style="646" bestFit="1" customWidth="1"/>
    <col min="9224" max="9224" width="10.5703125" style="646" customWidth="1"/>
    <col min="9225" max="9225" width="8.42578125" style="646" customWidth="1"/>
    <col min="9226" max="9472" width="11.42578125" style="646"/>
    <col min="9473" max="9473" width="23.85546875" style="646" bestFit="1" customWidth="1"/>
    <col min="9474" max="9474" width="16.140625" style="646" bestFit="1" customWidth="1"/>
    <col min="9475" max="9475" width="12.42578125" style="646" bestFit="1" customWidth="1"/>
    <col min="9476" max="9476" width="13.28515625" style="646" customWidth="1"/>
    <col min="9477" max="9477" width="14" style="646" customWidth="1"/>
    <col min="9478" max="9478" width="21.5703125" style="646" customWidth="1"/>
    <col min="9479" max="9479" width="13.5703125" style="646" bestFit="1" customWidth="1"/>
    <col min="9480" max="9480" width="10.5703125" style="646" customWidth="1"/>
    <col min="9481" max="9481" width="8.42578125" style="646" customWidth="1"/>
    <col min="9482" max="9728" width="11.42578125" style="646"/>
    <col min="9729" max="9729" width="23.85546875" style="646" bestFit="1" customWidth="1"/>
    <col min="9730" max="9730" width="16.140625" style="646" bestFit="1" customWidth="1"/>
    <col min="9731" max="9731" width="12.42578125" style="646" bestFit="1" customWidth="1"/>
    <col min="9732" max="9732" width="13.28515625" style="646" customWidth="1"/>
    <col min="9733" max="9733" width="14" style="646" customWidth="1"/>
    <col min="9734" max="9734" width="21.5703125" style="646" customWidth="1"/>
    <col min="9735" max="9735" width="13.5703125" style="646" bestFit="1" customWidth="1"/>
    <col min="9736" max="9736" width="10.5703125" style="646" customWidth="1"/>
    <col min="9737" max="9737" width="8.42578125" style="646" customWidth="1"/>
    <col min="9738" max="9984" width="11.42578125" style="646"/>
    <col min="9985" max="9985" width="23.85546875" style="646" bestFit="1" customWidth="1"/>
    <col min="9986" max="9986" width="16.140625" style="646" bestFit="1" customWidth="1"/>
    <col min="9987" max="9987" width="12.42578125" style="646" bestFit="1" customWidth="1"/>
    <col min="9988" max="9988" width="13.28515625" style="646" customWidth="1"/>
    <col min="9989" max="9989" width="14" style="646" customWidth="1"/>
    <col min="9990" max="9990" width="21.5703125" style="646" customWidth="1"/>
    <col min="9991" max="9991" width="13.5703125" style="646" bestFit="1" customWidth="1"/>
    <col min="9992" max="9992" width="10.5703125" style="646" customWidth="1"/>
    <col min="9993" max="9993" width="8.42578125" style="646" customWidth="1"/>
    <col min="9994" max="10240" width="11.42578125" style="646"/>
    <col min="10241" max="10241" width="23.85546875" style="646" bestFit="1" customWidth="1"/>
    <col min="10242" max="10242" width="16.140625" style="646" bestFit="1" customWidth="1"/>
    <col min="10243" max="10243" width="12.42578125" style="646" bestFit="1" customWidth="1"/>
    <col min="10244" max="10244" width="13.28515625" style="646" customWidth="1"/>
    <col min="10245" max="10245" width="14" style="646" customWidth="1"/>
    <col min="10246" max="10246" width="21.5703125" style="646" customWidth="1"/>
    <col min="10247" max="10247" width="13.5703125" style="646" bestFit="1" customWidth="1"/>
    <col min="10248" max="10248" width="10.5703125" style="646" customWidth="1"/>
    <col min="10249" max="10249" width="8.42578125" style="646" customWidth="1"/>
    <col min="10250" max="10496" width="11.42578125" style="646"/>
    <col min="10497" max="10497" width="23.85546875" style="646" bestFit="1" customWidth="1"/>
    <col min="10498" max="10498" width="16.140625" style="646" bestFit="1" customWidth="1"/>
    <col min="10499" max="10499" width="12.42578125" style="646" bestFit="1" customWidth="1"/>
    <col min="10500" max="10500" width="13.28515625" style="646" customWidth="1"/>
    <col min="10501" max="10501" width="14" style="646" customWidth="1"/>
    <col min="10502" max="10502" width="21.5703125" style="646" customWidth="1"/>
    <col min="10503" max="10503" width="13.5703125" style="646" bestFit="1" customWidth="1"/>
    <col min="10504" max="10504" width="10.5703125" style="646" customWidth="1"/>
    <col min="10505" max="10505" width="8.42578125" style="646" customWidth="1"/>
    <col min="10506" max="10752" width="11.42578125" style="646"/>
    <col min="10753" max="10753" width="23.85546875" style="646" bestFit="1" customWidth="1"/>
    <col min="10754" max="10754" width="16.140625" style="646" bestFit="1" customWidth="1"/>
    <col min="10755" max="10755" width="12.42578125" style="646" bestFit="1" customWidth="1"/>
    <col min="10756" max="10756" width="13.28515625" style="646" customWidth="1"/>
    <col min="10757" max="10757" width="14" style="646" customWidth="1"/>
    <col min="10758" max="10758" width="21.5703125" style="646" customWidth="1"/>
    <col min="10759" max="10759" width="13.5703125" style="646" bestFit="1" customWidth="1"/>
    <col min="10760" max="10760" width="10.5703125" style="646" customWidth="1"/>
    <col min="10761" max="10761" width="8.42578125" style="646" customWidth="1"/>
    <col min="10762" max="11008" width="11.42578125" style="646"/>
    <col min="11009" max="11009" width="23.85546875" style="646" bestFit="1" customWidth="1"/>
    <col min="11010" max="11010" width="16.140625" style="646" bestFit="1" customWidth="1"/>
    <col min="11011" max="11011" width="12.42578125" style="646" bestFit="1" customWidth="1"/>
    <col min="11012" max="11012" width="13.28515625" style="646" customWidth="1"/>
    <col min="11013" max="11013" width="14" style="646" customWidth="1"/>
    <col min="11014" max="11014" width="21.5703125" style="646" customWidth="1"/>
    <col min="11015" max="11015" width="13.5703125" style="646" bestFit="1" customWidth="1"/>
    <col min="11016" max="11016" width="10.5703125" style="646" customWidth="1"/>
    <col min="11017" max="11017" width="8.42578125" style="646" customWidth="1"/>
    <col min="11018" max="11264" width="11.42578125" style="646"/>
    <col min="11265" max="11265" width="23.85546875" style="646" bestFit="1" customWidth="1"/>
    <col min="11266" max="11266" width="16.140625" style="646" bestFit="1" customWidth="1"/>
    <col min="11267" max="11267" width="12.42578125" style="646" bestFit="1" customWidth="1"/>
    <col min="11268" max="11268" width="13.28515625" style="646" customWidth="1"/>
    <col min="11269" max="11269" width="14" style="646" customWidth="1"/>
    <col min="11270" max="11270" width="21.5703125" style="646" customWidth="1"/>
    <col min="11271" max="11271" width="13.5703125" style="646" bestFit="1" customWidth="1"/>
    <col min="11272" max="11272" width="10.5703125" style="646" customWidth="1"/>
    <col min="11273" max="11273" width="8.42578125" style="646" customWidth="1"/>
    <col min="11274" max="11520" width="11.42578125" style="646"/>
    <col min="11521" max="11521" width="23.85546875" style="646" bestFit="1" customWidth="1"/>
    <col min="11522" max="11522" width="16.140625" style="646" bestFit="1" customWidth="1"/>
    <col min="11523" max="11523" width="12.42578125" style="646" bestFit="1" customWidth="1"/>
    <col min="11524" max="11524" width="13.28515625" style="646" customWidth="1"/>
    <col min="11525" max="11525" width="14" style="646" customWidth="1"/>
    <col min="11526" max="11526" width="21.5703125" style="646" customWidth="1"/>
    <col min="11527" max="11527" width="13.5703125" style="646" bestFit="1" customWidth="1"/>
    <col min="11528" max="11528" width="10.5703125" style="646" customWidth="1"/>
    <col min="11529" max="11529" width="8.42578125" style="646" customWidth="1"/>
    <col min="11530" max="11776" width="11.42578125" style="646"/>
    <col min="11777" max="11777" width="23.85546875" style="646" bestFit="1" customWidth="1"/>
    <col min="11778" max="11778" width="16.140625" style="646" bestFit="1" customWidth="1"/>
    <col min="11779" max="11779" width="12.42578125" style="646" bestFit="1" customWidth="1"/>
    <col min="11780" max="11780" width="13.28515625" style="646" customWidth="1"/>
    <col min="11781" max="11781" width="14" style="646" customWidth="1"/>
    <col min="11782" max="11782" width="21.5703125" style="646" customWidth="1"/>
    <col min="11783" max="11783" width="13.5703125" style="646" bestFit="1" customWidth="1"/>
    <col min="11784" max="11784" width="10.5703125" style="646" customWidth="1"/>
    <col min="11785" max="11785" width="8.42578125" style="646" customWidth="1"/>
    <col min="11786" max="12032" width="11.42578125" style="646"/>
    <col min="12033" max="12033" width="23.85546875" style="646" bestFit="1" customWidth="1"/>
    <col min="12034" max="12034" width="16.140625" style="646" bestFit="1" customWidth="1"/>
    <col min="12035" max="12035" width="12.42578125" style="646" bestFit="1" customWidth="1"/>
    <col min="12036" max="12036" width="13.28515625" style="646" customWidth="1"/>
    <col min="12037" max="12037" width="14" style="646" customWidth="1"/>
    <col min="12038" max="12038" width="21.5703125" style="646" customWidth="1"/>
    <col min="12039" max="12039" width="13.5703125" style="646" bestFit="1" customWidth="1"/>
    <col min="12040" max="12040" width="10.5703125" style="646" customWidth="1"/>
    <col min="12041" max="12041" width="8.42578125" style="646" customWidth="1"/>
    <col min="12042" max="12288" width="11.42578125" style="646"/>
    <col min="12289" max="12289" width="23.85546875" style="646" bestFit="1" customWidth="1"/>
    <col min="12290" max="12290" width="16.140625" style="646" bestFit="1" customWidth="1"/>
    <col min="12291" max="12291" width="12.42578125" style="646" bestFit="1" customWidth="1"/>
    <col min="12292" max="12292" width="13.28515625" style="646" customWidth="1"/>
    <col min="12293" max="12293" width="14" style="646" customWidth="1"/>
    <col min="12294" max="12294" width="21.5703125" style="646" customWidth="1"/>
    <col min="12295" max="12295" width="13.5703125" style="646" bestFit="1" customWidth="1"/>
    <col min="12296" max="12296" width="10.5703125" style="646" customWidth="1"/>
    <col min="12297" max="12297" width="8.42578125" style="646" customWidth="1"/>
    <col min="12298" max="12544" width="11.42578125" style="646"/>
    <col min="12545" max="12545" width="23.85546875" style="646" bestFit="1" customWidth="1"/>
    <col min="12546" max="12546" width="16.140625" style="646" bestFit="1" customWidth="1"/>
    <col min="12547" max="12547" width="12.42578125" style="646" bestFit="1" customWidth="1"/>
    <col min="12548" max="12548" width="13.28515625" style="646" customWidth="1"/>
    <col min="12549" max="12549" width="14" style="646" customWidth="1"/>
    <col min="12550" max="12550" width="21.5703125" style="646" customWidth="1"/>
    <col min="12551" max="12551" width="13.5703125" style="646" bestFit="1" customWidth="1"/>
    <col min="12552" max="12552" width="10.5703125" style="646" customWidth="1"/>
    <col min="12553" max="12553" width="8.42578125" style="646" customWidth="1"/>
    <col min="12554" max="12800" width="11.42578125" style="646"/>
    <col min="12801" max="12801" width="23.85546875" style="646" bestFit="1" customWidth="1"/>
    <col min="12802" max="12802" width="16.140625" style="646" bestFit="1" customWidth="1"/>
    <col min="12803" max="12803" width="12.42578125" style="646" bestFit="1" customWidth="1"/>
    <col min="12804" max="12804" width="13.28515625" style="646" customWidth="1"/>
    <col min="12805" max="12805" width="14" style="646" customWidth="1"/>
    <col min="12806" max="12806" width="21.5703125" style="646" customWidth="1"/>
    <col min="12807" max="12807" width="13.5703125" style="646" bestFit="1" customWidth="1"/>
    <col min="12808" max="12808" width="10.5703125" style="646" customWidth="1"/>
    <col min="12809" max="12809" width="8.42578125" style="646" customWidth="1"/>
    <col min="12810" max="13056" width="11.42578125" style="646"/>
    <col min="13057" max="13057" width="23.85546875" style="646" bestFit="1" customWidth="1"/>
    <col min="13058" max="13058" width="16.140625" style="646" bestFit="1" customWidth="1"/>
    <col min="13059" max="13059" width="12.42578125" style="646" bestFit="1" customWidth="1"/>
    <col min="13060" max="13060" width="13.28515625" style="646" customWidth="1"/>
    <col min="13061" max="13061" width="14" style="646" customWidth="1"/>
    <col min="13062" max="13062" width="21.5703125" style="646" customWidth="1"/>
    <col min="13063" max="13063" width="13.5703125" style="646" bestFit="1" customWidth="1"/>
    <col min="13064" max="13064" width="10.5703125" style="646" customWidth="1"/>
    <col min="13065" max="13065" width="8.42578125" style="646" customWidth="1"/>
    <col min="13066" max="13312" width="11.42578125" style="646"/>
    <col min="13313" max="13313" width="23.85546875" style="646" bestFit="1" customWidth="1"/>
    <col min="13314" max="13314" width="16.140625" style="646" bestFit="1" customWidth="1"/>
    <col min="13315" max="13315" width="12.42578125" style="646" bestFit="1" customWidth="1"/>
    <col min="13316" max="13316" width="13.28515625" style="646" customWidth="1"/>
    <col min="13317" max="13317" width="14" style="646" customWidth="1"/>
    <col min="13318" max="13318" width="21.5703125" style="646" customWidth="1"/>
    <col min="13319" max="13319" width="13.5703125" style="646" bestFit="1" customWidth="1"/>
    <col min="13320" max="13320" width="10.5703125" style="646" customWidth="1"/>
    <col min="13321" max="13321" width="8.42578125" style="646" customWidth="1"/>
    <col min="13322" max="13568" width="11.42578125" style="646"/>
    <col min="13569" max="13569" width="23.85546875" style="646" bestFit="1" customWidth="1"/>
    <col min="13570" max="13570" width="16.140625" style="646" bestFit="1" customWidth="1"/>
    <col min="13571" max="13571" width="12.42578125" style="646" bestFit="1" customWidth="1"/>
    <col min="13572" max="13572" width="13.28515625" style="646" customWidth="1"/>
    <col min="13573" max="13573" width="14" style="646" customWidth="1"/>
    <col min="13574" max="13574" width="21.5703125" style="646" customWidth="1"/>
    <col min="13575" max="13575" width="13.5703125" style="646" bestFit="1" customWidth="1"/>
    <col min="13576" max="13576" width="10.5703125" style="646" customWidth="1"/>
    <col min="13577" max="13577" width="8.42578125" style="646" customWidth="1"/>
    <col min="13578" max="13824" width="11.42578125" style="646"/>
    <col min="13825" max="13825" width="23.85546875" style="646" bestFit="1" customWidth="1"/>
    <col min="13826" max="13826" width="16.140625" style="646" bestFit="1" customWidth="1"/>
    <col min="13827" max="13827" width="12.42578125" style="646" bestFit="1" customWidth="1"/>
    <col min="13828" max="13828" width="13.28515625" style="646" customWidth="1"/>
    <col min="13829" max="13829" width="14" style="646" customWidth="1"/>
    <col min="13830" max="13830" width="21.5703125" style="646" customWidth="1"/>
    <col min="13831" max="13831" width="13.5703125" style="646" bestFit="1" customWidth="1"/>
    <col min="13832" max="13832" width="10.5703125" style="646" customWidth="1"/>
    <col min="13833" max="13833" width="8.42578125" style="646" customWidth="1"/>
    <col min="13834" max="14080" width="11.42578125" style="646"/>
    <col min="14081" max="14081" width="23.85546875" style="646" bestFit="1" customWidth="1"/>
    <col min="14082" max="14082" width="16.140625" style="646" bestFit="1" customWidth="1"/>
    <col min="14083" max="14083" width="12.42578125" style="646" bestFit="1" customWidth="1"/>
    <col min="14084" max="14084" width="13.28515625" style="646" customWidth="1"/>
    <col min="14085" max="14085" width="14" style="646" customWidth="1"/>
    <col min="14086" max="14086" width="21.5703125" style="646" customWidth="1"/>
    <col min="14087" max="14087" width="13.5703125" style="646" bestFit="1" customWidth="1"/>
    <col min="14088" max="14088" width="10.5703125" style="646" customWidth="1"/>
    <col min="14089" max="14089" width="8.42578125" style="646" customWidth="1"/>
    <col min="14090" max="14336" width="11.42578125" style="646"/>
    <col min="14337" max="14337" width="23.85546875" style="646" bestFit="1" customWidth="1"/>
    <col min="14338" max="14338" width="16.140625" style="646" bestFit="1" customWidth="1"/>
    <col min="14339" max="14339" width="12.42578125" style="646" bestFit="1" customWidth="1"/>
    <col min="14340" max="14340" width="13.28515625" style="646" customWidth="1"/>
    <col min="14341" max="14341" width="14" style="646" customWidth="1"/>
    <col min="14342" max="14342" width="21.5703125" style="646" customWidth="1"/>
    <col min="14343" max="14343" width="13.5703125" style="646" bestFit="1" customWidth="1"/>
    <col min="14344" max="14344" width="10.5703125" style="646" customWidth="1"/>
    <col min="14345" max="14345" width="8.42578125" style="646" customWidth="1"/>
    <col min="14346" max="14592" width="11.42578125" style="646"/>
    <col min="14593" max="14593" width="23.85546875" style="646" bestFit="1" customWidth="1"/>
    <col min="14594" max="14594" width="16.140625" style="646" bestFit="1" customWidth="1"/>
    <col min="14595" max="14595" width="12.42578125" style="646" bestFit="1" customWidth="1"/>
    <col min="14596" max="14596" width="13.28515625" style="646" customWidth="1"/>
    <col min="14597" max="14597" width="14" style="646" customWidth="1"/>
    <col min="14598" max="14598" width="21.5703125" style="646" customWidth="1"/>
    <col min="14599" max="14599" width="13.5703125" style="646" bestFit="1" customWidth="1"/>
    <col min="14600" max="14600" width="10.5703125" style="646" customWidth="1"/>
    <col min="14601" max="14601" width="8.42578125" style="646" customWidth="1"/>
    <col min="14602" max="14848" width="11.42578125" style="646"/>
    <col min="14849" max="14849" width="23.85546875" style="646" bestFit="1" customWidth="1"/>
    <col min="14850" max="14850" width="16.140625" style="646" bestFit="1" customWidth="1"/>
    <col min="14851" max="14851" width="12.42578125" style="646" bestFit="1" customWidth="1"/>
    <col min="14852" max="14852" width="13.28515625" style="646" customWidth="1"/>
    <col min="14853" max="14853" width="14" style="646" customWidth="1"/>
    <col min="14854" max="14854" width="21.5703125" style="646" customWidth="1"/>
    <col min="14855" max="14855" width="13.5703125" style="646" bestFit="1" customWidth="1"/>
    <col min="14856" max="14856" width="10.5703125" style="646" customWidth="1"/>
    <col min="14857" max="14857" width="8.42578125" style="646" customWidth="1"/>
    <col min="14858" max="15104" width="11.42578125" style="646"/>
    <col min="15105" max="15105" width="23.85546875" style="646" bestFit="1" customWidth="1"/>
    <col min="15106" max="15106" width="16.140625" style="646" bestFit="1" customWidth="1"/>
    <col min="15107" max="15107" width="12.42578125" style="646" bestFit="1" customWidth="1"/>
    <col min="15108" max="15108" width="13.28515625" style="646" customWidth="1"/>
    <col min="15109" max="15109" width="14" style="646" customWidth="1"/>
    <col min="15110" max="15110" width="21.5703125" style="646" customWidth="1"/>
    <col min="15111" max="15111" width="13.5703125" style="646" bestFit="1" customWidth="1"/>
    <col min="15112" max="15112" width="10.5703125" style="646" customWidth="1"/>
    <col min="15113" max="15113" width="8.42578125" style="646" customWidth="1"/>
    <col min="15114" max="15360" width="11.42578125" style="646"/>
    <col min="15361" max="15361" width="23.85546875" style="646" bestFit="1" customWidth="1"/>
    <col min="15362" max="15362" width="16.140625" style="646" bestFit="1" customWidth="1"/>
    <col min="15363" max="15363" width="12.42578125" style="646" bestFit="1" customWidth="1"/>
    <col min="15364" max="15364" width="13.28515625" style="646" customWidth="1"/>
    <col min="15365" max="15365" width="14" style="646" customWidth="1"/>
    <col min="15366" max="15366" width="21.5703125" style="646" customWidth="1"/>
    <col min="15367" max="15367" width="13.5703125" style="646" bestFit="1" customWidth="1"/>
    <col min="15368" max="15368" width="10.5703125" style="646" customWidth="1"/>
    <col min="15369" max="15369" width="8.42578125" style="646" customWidth="1"/>
    <col min="15370" max="15616" width="11.42578125" style="646"/>
    <col min="15617" max="15617" width="23.85546875" style="646" bestFit="1" customWidth="1"/>
    <col min="15618" max="15618" width="16.140625" style="646" bestFit="1" customWidth="1"/>
    <col min="15619" max="15619" width="12.42578125" style="646" bestFit="1" customWidth="1"/>
    <col min="15620" max="15620" width="13.28515625" style="646" customWidth="1"/>
    <col min="15621" max="15621" width="14" style="646" customWidth="1"/>
    <col min="15622" max="15622" width="21.5703125" style="646" customWidth="1"/>
    <col min="15623" max="15623" width="13.5703125" style="646" bestFit="1" customWidth="1"/>
    <col min="15624" max="15624" width="10.5703125" style="646" customWidth="1"/>
    <col min="15625" max="15625" width="8.42578125" style="646" customWidth="1"/>
    <col min="15626" max="15872" width="11.42578125" style="646"/>
    <col min="15873" max="15873" width="23.85546875" style="646" bestFit="1" customWidth="1"/>
    <col min="15874" max="15874" width="16.140625" style="646" bestFit="1" customWidth="1"/>
    <col min="15875" max="15875" width="12.42578125" style="646" bestFit="1" customWidth="1"/>
    <col min="15876" max="15876" width="13.28515625" style="646" customWidth="1"/>
    <col min="15877" max="15877" width="14" style="646" customWidth="1"/>
    <col min="15878" max="15878" width="21.5703125" style="646" customWidth="1"/>
    <col min="15879" max="15879" width="13.5703125" style="646" bestFit="1" customWidth="1"/>
    <col min="15880" max="15880" width="10.5703125" style="646" customWidth="1"/>
    <col min="15881" max="15881" width="8.42578125" style="646" customWidth="1"/>
    <col min="15882" max="16128" width="11.42578125" style="646"/>
    <col min="16129" max="16129" width="23.85546875" style="646" bestFit="1" customWidth="1"/>
    <col min="16130" max="16130" width="16.140625" style="646" bestFit="1" customWidth="1"/>
    <col min="16131" max="16131" width="12.42578125" style="646" bestFit="1" customWidth="1"/>
    <col min="16132" max="16132" width="13.28515625" style="646" customWidth="1"/>
    <col min="16133" max="16133" width="14" style="646" customWidth="1"/>
    <col min="16134" max="16134" width="21.5703125" style="646" customWidth="1"/>
    <col min="16135" max="16135" width="13.5703125" style="646" bestFit="1" customWidth="1"/>
    <col min="16136" max="16136" width="10.5703125" style="646" customWidth="1"/>
    <col min="16137" max="16137" width="8.42578125" style="646" customWidth="1"/>
    <col min="16138" max="16384" width="11.42578125" style="646"/>
  </cols>
  <sheetData>
    <row r="1" spans="1:10" ht="23.25" x14ac:dyDescent="0.35">
      <c r="A1" s="645"/>
      <c r="B1" s="645"/>
      <c r="C1" s="914" t="s">
        <v>555</v>
      </c>
      <c r="D1" s="914"/>
      <c r="E1" s="914"/>
      <c r="F1" s="645"/>
      <c r="G1" s="645"/>
      <c r="H1" s="645"/>
      <c r="I1" s="645"/>
    </row>
    <row r="2" spans="1:10" ht="19.5" customHeight="1" x14ac:dyDescent="0.35">
      <c r="A2" s="647"/>
      <c r="B2" s="647"/>
      <c r="C2" s="648"/>
      <c r="D2" s="649" t="s">
        <v>336</v>
      </c>
      <c r="E2" s="650"/>
      <c r="F2" s="647"/>
      <c r="G2" s="645"/>
      <c r="H2" s="645"/>
      <c r="I2" s="645"/>
    </row>
    <row r="3" spans="1:10" ht="19.5" customHeight="1" thickBot="1" x14ac:dyDescent="0.25">
      <c r="A3" s="651"/>
      <c r="B3" s="651"/>
      <c r="C3" s="651"/>
      <c r="D3" s="651"/>
      <c r="E3" s="651"/>
      <c r="F3" s="652"/>
      <c r="G3" s="645"/>
      <c r="H3" s="645"/>
      <c r="I3" s="645"/>
    </row>
    <row r="4" spans="1:10" ht="15.75" customHeight="1" thickBot="1" x14ac:dyDescent="0.25">
      <c r="A4" s="653" t="s">
        <v>556</v>
      </c>
      <c r="B4" s="915" t="str">
        <f>Stabilito!C9</f>
        <v>AcelSpace</v>
      </c>
      <c r="C4" s="916"/>
      <c r="D4" s="654"/>
      <c r="E4" s="654"/>
      <c r="F4" s="653" t="s">
        <v>557</v>
      </c>
      <c r="G4" s="917" t="str">
        <f>Stabilito!C8</f>
        <v>Karlvagnen</v>
      </c>
      <c r="H4" s="918"/>
      <c r="I4" s="645"/>
    </row>
    <row r="5" spans="1:10" ht="9.75" customHeight="1" thickBot="1" x14ac:dyDescent="0.3">
      <c r="A5" s="654"/>
      <c r="B5" s="655"/>
      <c r="C5" s="655"/>
      <c r="D5" s="655"/>
      <c r="E5" s="655"/>
      <c r="F5" s="655"/>
      <c r="G5" s="655"/>
      <c r="H5" s="655"/>
      <c r="I5" s="645"/>
    </row>
    <row r="6" spans="1:10" ht="15.75" thickBot="1" x14ac:dyDescent="0.25">
      <c r="A6" s="656" t="s">
        <v>558</v>
      </c>
      <c r="B6" s="917" t="str">
        <f>Stabilito!C17</f>
        <v>Barasinga (Pro54-5G C)</v>
      </c>
      <c r="C6" s="918"/>
      <c r="D6" s="657"/>
      <c r="E6" s="654"/>
      <c r="F6" s="919"/>
      <c r="G6" s="919"/>
      <c r="H6" s="658"/>
      <c r="I6" s="645"/>
    </row>
    <row r="7" spans="1:10" ht="15.75" thickBot="1" x14ac:dyDescent="0.25">
      <c r="A7" s="659"/>
      <c r="B7" s="658"/>
      <c r="C7" s="658"/>
      <c r="D7" s="657"/>
      <c r="E7" s="654"/>
      <c r="F7" s="657"/>
      <c r="G7" s="517" t="s">
        <v>559</v>
      </c>
      <c r="H7" s="660"/>
      <c r="I7" s="661"/>
    </row>
    <row r="8" spans="1:10" ht="28.5" customHeight="1" x14ac:dyDescent="0.2">
      <c r="A8" s="903" t="s">
        <v>560</v>
      </c>
      <c r="B8" s="906" t="s">
        <v>605</v>
      </c>
      <c r="C8" s="906"/>
      <c r="D8" s="906"/>
      <c r="E8" s="907"/>
      <c r="F8" s="662"/>
      <c r="G8" s="663" t="s">
        <v>65</v>
      </c>
      <c r="H8" s="910">
        <f>Stabilito!H27</f>
        <v>21.95</v>
      </c>
      <c r="I8" s="911"/>
      <c r="J8" s="645"/>
    </row>
    <row r="9" spans="1:10" ht="23.25" customHeight="1" x14ac:dyDescent="0.2">
      <c r="A9" s="904"/>
      <c r="B9" s="908"/>
      <c r="C9" s="908"/>
      <c r="D9" s="908"/>
      <c r="E9" s="909"/>
      <c r="F9" s="662"/>
      <c r="G9" s="664" t="s">
        <v>561</v>
      </c>
      <c r="H9" s="912">
        <f>Stabilito!H28</f>
        <v>18.283976369656074</v>
      </c>
      <c r="I9" s="913"/>
      <c r="J9" s="645"/>
    </row>
    <row r="10" spans="1:10" ht="18.75" thickBot="1" x14ac:dyDescent="0.25">
      <c r="A10" s="905"/>
      <c r="B10" s="908"/>
      <c r="C10" s="908"/>
      <c r="D10" s="908"/>
      <c r="E10" s="909"/>
      <c r="F10" s="662"/>
      <c r="G10" s="665" t="s">
        <v>562</v>
      </c>
      <c r="H10" s="666">
        <v>2.2999999999999998</v>
      </c>
      <c r="I10" s="667">
        <v>3.4</v>
      </c>
      <c r="J10" s="645"/>
    </row>
    <row r="11" spans="1:10" ht="18" x14ac:dyDescent="0.2">
      <c r="A11" s="903" t="s">
        <v>563</v>
      </c>
      <c r="B11" s="922" t="s">
        <v>606</v>
      </c>
      <c r="C11" s="923"/>
      <c r="D11" s="923"/>
      <c r="E11" s="924"/>
      <c r="F11" s="662"/>
      <c r="G11" s="665" t="s">
        <v>564</v>
      </c>
      <c r="H11" s="666">
        <v>42</v>
      </c>
      <c r="I11" s="667">
        <v>66</v>
      </c>
      <c r="J11" s="645"/>
    </row>
    <row r="12" spans="1:10" ht="18.75" thickBot="1" x14ac:dyDescent="0.25">
      <c r="A12" s="905"/>
      <c r="B12" s="925"/>
      <c r="C12" s="925"/>
      <c r="D12" s="925"/>
      <c r="E12" s="926"/>
      <c r="F12" s="662"/>
      <c r="G12" s="668" t="s">
        <v>565</v>
      </c>
      <c r="H12" s="927" t="str">
        <f ca="1">Stabilito!H33</f>
        <v>STABLE</v>
      </c>
      <c r="I12" s="928"/>
      <c r="J12" s="645"/>
    </row>
    <row r="13" spans="1:10" x14ac:dyDescent="0.2">
      <c r="A13" s="903" t="s">
        <v>566</v>
      </c>
      <c r="B13" s="906" t="s">
        <v>14</v>
      </c>
      <c r="C13" s="906"/>
      <c r="D13" s="906"/>
      <c r="E13" s="907"/>
      <c r="F13" s="645"/>
    </row>
    <row r="14" spans="1:10" ht="15.75" thickBot="1" x14ac:dyDescent="0.25">
      <c r="A14" s="905"/>
      <c r="B14" s="929"/>
      <c r="C14" s="929"/>
      <c r="D14" s="929"/>
      <c r="E14" s="930"/>
      <c r="F14" s="645"/>
      <c r="G14" s="657"/>
      <c r="H14" s="658"/>
      <c r="I14" s="645"/>
    </row>
    <row r="15" spans="1:10" ht="15.75" thickBot="1" x14ac:dyDescent="0.25">
      <c r="A15" s="669"/>
      <c r="B15" s="660"/>
      <c r="C15" s="660"/>
      <c r="D15" s="660"/>
      <c r="E15" s="660"/>
      <c r="F15" s="645"/>
      <c r="G15" s="657"/>
      <c r="H15" s="658"/>
    </row>
    <row r="16" spans="1:10" ht="36.75" thickBot="1" x14ac:dyDescent="0.3">
      <c r="A16" s="670" t="s">
        <v>568</v>
      </c>
      <c r="B16" s="940" t="s">
        <v>609</v>
      </c>
      <c r="C16" s="941"/>
      <c r="D16" s="941"/>
      <c r="E16" s="942"/>
      <c r="F16" s="645"/>
      <c r="G16" s="657"/>
      <c r="H16" s="658"/>
      <c r="I16" s="645"/>
    </row>
    <row r="17" spans="1:9" x14ac:dyDescent="0.2">
      <c r="A17" s="659"/>
      <c r="B17" s="658"/>
      <c r="C17" s="658"/>
      <c r="D17" s="657"/>
      <c r="E17" s="654"/>
      <c r="F17" s="645"/>
      <c r="G17" s="657"/>
      <c r="H17" s="658"/>
      <c r="I17" s="645"/>
    </row>
    <row r="18" spans="1:9" ht="20.25" x14ac:dyDescent="0.3">
      <c r="A18" s="671"/>
      <c r="B18" s="671"/>
      <c r="C18" s="671"/>
      <c r="D18" s="672" t="s">
        <v>569</v>
      </c>
      <c r="E18" s="671"/>
      <c r="F18" s="671"/>
      <c r="G18" s="673"/>
      <c r="H18" s="674"/>
      <c r="I18" s="671"/>
    </row>
    <row r="19" spans="1:9" ht="10.5" customHeight="1" thickBot="1" x14ac:dyDescent="0.35">
      <c r="A19" s="645"/>
      <c r="B19" s="645"/>
      <c r="C19" s="645"/>
      <c r="D19" s="675"/>
      <c r="E19" s="645"/>
      <c r="F19" s="645"/>
      <c r="G19" s="657"/>
      <c r="H19" s="658"/>
      <c r="I19" s="645"/>
    </row>
    <row r="20" spans="1:9" ht="15.75" thickBot="1" x14ac:dyDescent="0.25">
      <c r="A20" s="931" t="s">
        <v>570</v>
      </c>
      <c r="B20" s="932"/>
      <c r="C20" s="933"/>
      <c r="D20" s="676">
        <f>Controle!E55</f>
        <v>2195</v>
      </c>
      <c r="E20" s="677"/>
      <c r="F20" s="645"/>
      <c r="G20" s="657"/>
      <c r="H20" s="658"/>
      <c r="I20" s="645"/>
    </row>
    <row r="21" spans="1:9" ht="15.75" thickBot="1" x14ac:dyDescent="0.25">
      <c r="A21" s="931" t="s">
        <v>571</v>
      </c>
      <c r="B21" s="932"/>
      <c r="C21" s="933"/>
      <c r="D21" s="676">
        <f>Controle!E56</f>
        <v>100</v>
      </c>
      <c r="E21" s="677"/>
      <c r="F21" s="660"/>
      <c r="H21" s="678"/>
      <c r="I21" s="645"/>
    </row>
    <row r="22" spans="1:9" ht="15.75" thickBot="1" x14ac:dyDescent="0.25">
      <c r="A22" s="931" t="s">
        <v>572</v>
      </c>
      <c r="B22" s="932"/>
      <c r="C22" s="933"/>
      <c r="D22" s="676">
        <f>Controle!E57</f>
        <v>350</v>
      </c>
      <c r="E22" s="659"/>
      <c r="F22" s="651"/>
      <c r="G22" s="657"/>
      <c r="H22" s="658"/>
      <c r="I22" s="645"/>
    </row>
    <row r="23" spans="1:9" ht="15.75" thickBot="1" x14ac:dyDescent="0.25">
      <c r="A23" s="654"/>
      <c r="B23" s="654"/>
      <c r="C23" s="654"/>
      <c r="D23" s="654"/>
      <c r="E23" s="654"/>
      <c r="F23" s="657"/>
      <c r="G23" s="657"/>
      <c r="H23" s="658"/>
      <c r="I23" s="645"/>
    </row>
    <row r="24" spans="1:9" ht="16.5" thickBot="1" x14ac:dyDescent="0.3">
      <c r="A24" s="679" t="s">
        <v>573</v>
      </c>
      <c r="B24" s="679"/>
      <c r="C24" s="679"/>
      <c r="D24" s="679"/>
      <c r="E24" s="680"/>
      <c r="F24" s="680"/>
      <c r="G24" s="680"/>
      <c r="H24" s="645"/>
      <c r="I24" s="645"/>
    </row>
    <row r="25" spans="1:9" ht="15.75" thickBot="1" x14ac:dyDescent="0.25">
      <c r="A25" s="681" t="s">
        <v>574</v>
      </c>
      <c r="B25" s="681" t="s">
        <v>575</v>
      </c>
      <c r="C25" s="681" t="s">
        <v>576</v>
      </c>
      <c r="D25" s="681" t="s">
        <v>577</v>
      </c>
      <c r="E25" s="682"/>
      <c r="F25" s="682"/>
      <c r="G25" s="682"/>
      <c r="H25" s="645"/>
      <c r="I25" s="645"/>
    </row>
    <row r="26" spans="1:9" ht="15.75" thickBot="1" x14ac:dyDescent="0.25">
      <c r="A26" s="683" t="s">
        <v>567</v>
      </c>
      <c r="B26" s="683"/>
      <c r="C26" s="683" t="s">
        <v>3</v>
      </c>
      <c r="D26" s="684" t="s">
        <v>3</v>
      </c>
      <c r="E26" s="685"/>
      <c r="F26" s="685"/>
      <c r="G26" s="685"/>
      <c r="H26" s="645"/>
      <c r="I26" s="645"/>
    </row>
    <row r="27" spans="1:9" ht="27.75" customHeight="1" x14ac:dyDescent="0.2">
      <c r="A27" s="685"/>
      <c r="B27" s="685"/>
      <c r="C27" s="685"/>
      <c r="D27" s="685"/>
      <c r="E27" s="685"/>
      <c r="F27" s="685"/>
      <c r="G27" s="685"/>
      <c r="H27" s="645"/>
      <c r="I27" s="645"/>
    </row>
    <row r="28" spans="1:9" ht="20.25" x14ac:dyDescent="0.3">
      <c r="A28" s="671"/>
      <c r="B28" s="671"/>
      <c r="C28" s="671"/>
      <c r="D28" s="672" t="s">
        <v>578</v>
      </c>
      <c r="E28" s="671"/>
      <c r="F28" s="686"/>
      <c r="G28" s="686"/>
      <c r="H28" s="671"/>
      <c r="I28" s="671"/>
    </row>
    <row r="29" spans="1:9" ht="12" customHeight="1" thickBot="1" x14ac:dyDescent="0.35">
      <c r="A29" s="645"/>
      <c r="B29" s="645"/>
      <c r="C29" s="645"/>
      <c r="D29" s="675"/>
      <c r="E29" s="645"/>
      <c r="F29" s="659"/>
      <c r="G29" s="659"/>
      <c r="H29" s="645"/>
      <c r="I29" s="645"/>
    </row>
    <row r="30" spans="1:9" ht="30.75" thickBot="1" x14ac:dyDescent="0.25">
      <c r="A30" s="687" t="s">
        <v>567</v>
      </c>
      <c r="B30" s="688" t="s">
        <v>579</v>
      </c>
      <c r="C30" s="689" t="s">
        <v>580</v>
      </c>
      <c r="D30" s="690" t="s">
        <v>581</v>
      </c>
      <c r="E30" s="654"/>
      <c r="F30" s="654"/>
      <c r="G30" s="654"/>
      <c r="H30" s="645"/>
      <c r="I30" s="645"/>
    </row>
    <row r="31" spans="1:9" x14ac:dyDescent="0.2">
      <c r="A31" s="691" t="s">
        <v>582</v>
      </c>
      <c r="B31" s="692" t="s">
        <v>607</v>
      </c>
      <c r="C31" s="693" t="s">
        <v>567</v>
      </c>
      <c r="D31" s="694" t="s">
        <v>567</v>
      </c>
      <c r="E31" s="654"/>
      <c r="H31" s="645"/>
      <c r="I31" s="645"/>
    </row>
    <row r="32" spans="1:9" x14ac:dyDescent="0.2">
      <c r="A32" s="695" t="s">
        <v>583</v>
      </c>
      <c r="B32" s="696" t="s">
        <v>607</v>
      </c>
      <c r="C32" s="697" t="s">
        <v>567</v>
      </c>
      <c r="D32" s="698" t="s">
        <v>567</v>
      </c>
      <c r="E32" s="654"/>
      <c r="H32" s="645"/>
      <c r="I32" s="645"/>
    </row>
    <row r="33" spans="1:9" ht="15.75" thickBot="1" x14ac:dyDescent="0.25">
      <c r="A33" s="699" t="s">
        <v>584</v>
      </c>
      <c r="B33" s="700" t="s">
        <v>608</v>
      </c>
      <c r="C33" s="701" t="s">
        <v>567</v>
      </c>
      <c r="D33" s="702" t="s">
        <v>567</v>
      </c>
      <c r="E33" s="654"/>
      <c r="H33" s="645"/>
      <c r="I33" s="645"/>
    </row>
    <row r="34" spans="1:9" x14ac:dyDescent="0.2">
      <c r="A34" s="703"/>
      <c r="B34" s="659"/>
      <c r="C34" s="659"/>
      <c r="D34" s="659"/>
      <c r="E34" s="654"/>
      <c r="H34" s="645"/>
      <c r="I34" s="645"/>
    </row>
    <row r="35" spans="1:9" ht="17.25" customHeight="1" x14ac:dyDescent="0.3">
      <c r="A35" s="671"/>
      <c r="B35" s="671"/>
      <c r="C35" s="934" t="s">
        <v>585</v>
      </c>
      <c r="D35" s="934"/>
      <c r="E35" s="934"/>
      <c r="F35" s="704"/>
      <c r="G35" s="705"/>
      <c r="H35" s="705"/>
      <c r="I35" s="671"/>
    </row>
    <row r="36" spans="1:9" ht="15.75" thickBot="1" x14ac:dyDescent="0.25">
      <c r="A36" s="935"/>
      <c r="B36" s="935"/>
      <c r="C36" s="706"/>
      <c r="D36" s="707"/>
      <c r="E36" s="708"/>
      <c r="F36" s="709" t="s">
        <v>358</v>
      </c>
      <c r="G36" s="660"/>
      <c r="H36" s="660"/>
      <c r="I36" s="645"/>
    </row>
    <row r="37" spans="1:9" ht="15.75" thickBot="1" x14ac:dyDescent="0.25">
      <c r="A37" s="660"/>
      <c r="B37" s="660"/>
      <c r="C37" s="710" t="s">
        <v>425</v>
      </c>
      <c r="D37" s="710" t="s">
        <v>355</v>
      </c>
      <c r="E37" s="708"/>
      <c r="F37" s="711" t="s">
        <v>586</v>
      </c>
      <c r="G37" s="712">
        <v>80</v>
      </c>
      <c r="H37" s="712">
        <v>45</v>
      </c>
      <c r="I37" s="645"/>
    </row>
    <row r="38" spans="1:9" x14ac:dyDescent="0.2">
      <c r="A38" s="920" t="s">
        <v>353</v>
      </c>
      <c r="B38" s="921"/>
      <c r="C38" s="713">
        <f>MasseSans</f>
        <v>7.73</v>
      </c>
      <c r="D38" s="713">
        <f ca="1">MassePlein</f>
        <v>9.4150000000000009</v>
      </c>
      <c r="E38" s="708"/>
      <c r="F38" s="714" t="s">
        <v>587</v>
      </c>
      <c r="G38" s="715">
        <f>Controle!I112</f>
        <v>16.899999999999928</v>
      </c>
      <c r="H38" s="715">
        <f>Controle!J112</f>
        <v>11.299999999999933</v>
      </c>
      <c r="I38" s="645"/>
    </row>
    <row r="39" spans="1:9" ht="15.75" thickBot="1" x14ac:dyDescent="0.25">
      <c r="A39" s="936" t="s">
        <v>588</v>
      </c>
      <c r="B39" s="937"/>
      <c r="C39" s="716">
        <f>XcgSans</f>
        <v>1180</v>
      </c>
      <c r="D39" s="716">
        <f ca="1">XcgPlein</f>
        <v>1320.6702071163038</v>
      </c>
      <c r="E39" s="708"/>
      <c r="F39" s="717" t="s">
        <v>589</v>
      </c>
      <c r="G39" s="718">
        <f>Controle!I113</f>
        <v>1390.4230491725832</v>
      </c>
      <c r="H39" s="718">
        <f>Controle!J113</f>
        <v>585.04440852040068</v>
      </c>
      <c r="I39" s="645"/>
    </row>
    <row r="40" spans="1:9" ht="15.75" thickBot="1" x14ac:dyDescent="0.25">
      <c r="A40" s="661"/>
      <c r="B40" s="661"/>
      <c r="C40" s="661"/>
      <c r="D40" s="661"/>
      <c r="E40" s="708"/>
      <c r="F40" s="717" t="s">
        <v>590</v>
      </c>
      <c r="G40" s="719">
        <f>Controle!I114</f>
        <v>28.216112506228573</v>
      </c>
      <c r="H40" s="719">
        <f>Controle!J114</f>
        <v>107.58261003080452</v>
      </c>
      <c r="I40" s="645"/>
    </row>
    <row r="41" spans="1:9" ht="15.75" thickBot="1" x14ac:dyDescent="0.25">
      <c r="A41" s="938" t="s">
        <v>357</v>
      </c>
      <c r="B41" s="939"/>
      <c r="C41" s="720">
        <f ca="1">MasseVide</f>
        <v>8.3819999999999997</v>
      </c>
      <c r="D41" s="661"/>
      <c r="E41" s="708"/>
      <c r="F41" s="721" t="s">
        <v>591</v>
      </c>
      <c r="G41" s="718">
        <f>Controle!I115</f>
        <v>953.1802660510491</v>
      </c>
      <c r="H41" s="718">
        <f>Controle!J115</f>
        <v>2379.9719496596031</v>
      </c>
      <c r="I41" s="645"/>
    </row>
    <row r="42" spans="1:9" ht="15.75" thickBot="1" x14ac:dyDescent="0.25">
      <c r="A42" s="706"/>
      <c r="B42" s="722" t="s">
        <v>439</v>
      </c>
      <c r="C42" s="644" t="s">
        <v>592</v>
      </c>
      <c r="D42" s="707"/>
      <c r="E42" s="708"/>
      <c r="F42" s="721" t="s">
        <v>593</v>
      </c>
      <c r="G42" s="719">
        <f>Controle!I116</f>
        <v>179.2876292360306</v>
      </c>
      <c r="H42" s="719">
        <f>Controle!J116</f>
        <v>189.40508877162571</v>
      </c>
      <c r="I42" s="645"/>
    </row>
    <row r="43" spans="1:9" ht="14.25" customHeight="1" x14ac:dyDescent="0.2">
      <c r="A43" s="723" t="s">
        <v>594</v>
      </c>
      <c r="B43" s="724">
        <f ca="1">V_para</f>
        <v>10.363352699955428</v>
      </c>
      <c r="C43" s="725" t="s">
        <v>567</v>
      </c>
      <c r="D43" s="726"/>
      <c r="E43" s="708"/>
      <c r="F43" s="717" t="s">
        <v>595</v>
      </c>
      <c r="G43" s="727">
        <f>Controle!I117</f>
        <v>85.232370028523292</v>
      </c>
      <c r="H43" s="727">
        <f>Controle!J117</f>
        <v>87.956434262298529</v>
      </c>
      <c r="I43" s="645"/>
    </row>
    <row r="44" spans="1:9" ht="15.75" thickBot="1" x14ac:dyDescent="0.25">
      <c r="A44" s="728" t="s">
        <v>596</v>
      </c>
      <c r="B44" s="729">
        <f ca="1">Dt_para</f>
        <v>94.347694858692805</v>
      </c>
      <c r="C44" s="730" t="s">
        <v>567</v>
      </c>
      <c r="D44" s="708"/>
      <c r="E44" s="708"/>
      <c r="F44" s="731" t="s">
        <v>597</v>
      </c>
      <c r="G44" s="732">
        <f>Controle!I118</f>
        <v>0.6</v>
      </c>
      <c r="H44" s="733"/>
      <c r="I44" s="645"/>
    </row>
    <row r="45" spans="1:9" x14ac:dyDescent="0.2">
      <c r="A45" s="935"/>
      <c r="B45" s="935"/>
      <c r="C45" s="734"/>
      <c r="D45" s="708"/>
      <c r="E45" s="708"/>
      <c r="I45" s="645"/>
    </row>
    <row r="46" spans="1:9" x14ac:dyDescent="0.2">
      <c r="A46" s="935"/>
      <c r="B46" s="935"/>
      <c r="C46" s="734"/>
      <c r="D46" s="708"/>
      <c r="E46" s="708"/>
      <c r="I46" s="645"/>
    </row>
    <row r="47" spans="1:9" x14ac:dyDescent="0.2">
      <c r="A47" s="935"/>
      <c r="B47" s="935"/>
      <c r="C47" s="734"/>
      <c r="D47" s="708"/>
      <c r="E47" s="708"/>
      <c r="I47" s="645"/>
    </row>
    <row r="48" spans="1:9" x14ac:dyDescent="0.2">
      <c r="A48" s="935"/>
      <c r="B48" s="935"/>
      <c r="C48" s="734"/>
      <c r="D48" s="708"/>
      <c r="E48" s="708"/>
      <c r="I48" s="645"/>
    </row>
    <row r="49" spans="1:9" x14ac:dyDescent="0.2">
      <c r="A49" s="935"/>
      <c r="B49" s="935"/>
      <c r="C49" s="734"/>
      <c r="D49" s="708"/>
      <c r="E49" s="708"/>
      <c r="I49" s="645"/>
    </row>
    <row r="50" spans="1:9" x14ac:dyDescent="0.2">
      <c r="G50" s="661"/>
      <c r="H50" s="661"/>
      <c r="I50" s="645"/>
    </row>
    <row r="51" spans="1:9" x14ac:dyDescent="0.2">
      <c r="G51" s="661"/>
      <c r="H51" s="661"/>
      <c r="I51" s="645"/>
    </row>
    <row r="52" spans="1:9" x14ac:dyDescent="0.2">
      <c r="A52" s="645"/>
      <c r="B52" s="645"/>
      <c r="C52" s="645"/>
      <c r="D52" s="645"/>
      <c r="E52" s="645"/>
      <c r="F52" s="645"/>
      <c r="G52" s="645"/>
      <c r="H52" s="645"/>
      <c r="I52" s="645"/>
    </row>
    <row r="53" spans="1:9" x14ac:dyDescent="0.2">
      <c r="A53" s="645"/>
      <c r="B53" s="645"/>
      <c r="C53" s="645"/>
      <c r="D53" s="645"/>
      <c r="E53" s="645"/>
      <c r="F53" s="645"/>
      <c r="G53" s="645"/>
      <c r="H53" s="645"/>
      <c r="I53" s="645"/>
    </row>
  </sheetData>
  <mergeCells count="28">
    <mergeCell ref="A49:B49"/>
    <mergeCell ref="A39:B39"/>
    <mergeCell ref="A41:B41"/>
    <mergeCell ref="A45:B45"/>
    <mergeCell ref="A46:B46"/>
    <mergeCell ref="A47:B47"/>
    <mergeCell ref="A48:B48"/>
    <mergeCell ref="A38:B38"/>
    <mergeCell ref="A11:A12"/>
    <mergeCell ref="B11:E12"/>
    <mergeCell ref="H12:I12"/>
    <mergeCell ref="A13:A14"/>
    <mergeCell ref="B13:E14"/>
    <mergeCell ref="B16:E16"/>
    <mergeCell ref="A20:C20"/>
    <mergeCell ref="A21:C21"/>
    <mergeCell ref="A22:C22"/>
    <mergeCell ref="C35:E35"/>
    <mergeCell ref="A36:B36"/>
    <mergeCell ref="A8:A10"/>
    <mergeCell ref="B8:E10"/>
    <mergeCell ref="H8:I8"/>
    <mergeCell ref="H9:I9"/>
    <mergeCell ref="C1:E1"/>
    <mergeCell ref="B4:C4"/>
    <mergeCell ref="G4:H4"/>
    <mergeCell ref="B6:C6"/>
    <mergeCell ref="F6:G6"/>
  </mergeCells>
  <printOptions horizontalCentered="1"/>
  <pageMargins left="0.70866141732283472" right="0.70866141732283472" top="0.74803149606299213" bottom="0.74803149606299213" header="0.31496062992125984" footer="0.31496062992125984"/>
  <pageSetup paperSize="9" scale="61"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216</vt:i4>
      </vt:variant>
    </vt:vector>
  </HeadingPairs>
  <TitlesOfParts>
    <vt:vector size="225" baseType="lpstr">
      <vt:lpstr>Stabilito</vt:lpstr>
      <vt:lpstr>Trajecto</vt:lpstr>
      <vt:lpstr>Courbes</vt:lpstr>
      <vt:lpstr>Propu</vt:lpstr>
      <vt:lpstr>Calculs</vt:lpstr>
      <vt:lpstr>Abaco</vt:lpstr>
      <vt:lpstr>Info</vt:lpstr>
      <vt:lpstr>Controle</vt:lpstr>
      <vt:lpstr>Fiche de vol</vt:lpstr>
      <vt:lpstr>a_prop</vt:lpstr>
      <vt:lpstr>Acc_max</vt:lpstr>
      <vt:lpstr>acc_x</vt:lpstr>
      <vt:lpstr>acc_xz</vt:lpstr>
      <vt:lpstr>acc_z</vt:lpstr>
      <vt:lpstr>Alt_para</vt:lpstr>
      <vt:lpstr>alt_prop</vt:lpstr>
      <vt:lpstr>Alt_rampe</vt:lpstr>
      <vt:lpstr>Alt_sat</vt:lpstr>
      <vt:lpstr>Altitude_culmi</vt:lpstr>
      <vt:lpstr>b_bal</vt:lpstr>
      <vt:lpstr>b_prop</vt:lpstr>
      <vt:lpstr>Beta</vt:lpstr>
      <vt:lpstr>Beta_rampe</vt:lpstr>
      <vt:lpstr>BetaD</vt:lpstr>
      <vt:lpstr>CdP</vt:lpstr>
      <vt:lpstr>CdP_P</vt:lpstr>
      <vt:lpstr>CdP_t</vt:lpstr>
      <vt:lpstr>Club</vt:lpstr>
      <vt:lpstr>Cn</vt:lpstr>
      <vt:lpstr>Cn0</vt:lpstr>
      <vt:lpstr>Stabilito!Cnai</vt:lpstr>
      <vt:lpstr>Cnai0</vt:lpstr>
      <vt:lpstr>Stabilito!Cnail</vt:lpstr>
      <vt:lpstr>Stabilito!Cnc</vt:lpstr>
      <vt:lpstr>Stabilito!Cni</vt:lpstr>
      <vt:lpstr>Cni0</vt:lpstr>
      <vt:lpstr>Stabilito!Cnj</vt:lpstr>
      <vt:lpstr>Stabilito!Cno</vt:lpstr>
      <vt:lpstr>Stabilito!Cnr</vt:lpstr>
      <vt:lpstr>Combustion</vt:lpstr>
      <vt:lpstr>Stabilito!CritCnmax</vt:lpstr>
      <vt:lpstr>Stabilito!CritCnmin</vt:lpstr>
      <vt:lpstr>Stabilito!CritFinessemax</vt:lpstr>
      <vt:lpstr>Stabilito!CritFinessemin</vt:lpstr>
      <vt:lpstr>Stabilito!CritMsCnmax</vt:lpstr>
      <vt:lpstr>Stabilito!CritMsCnmin</vt:lpstr>
      <vt:lpstr>Stabilito!CritMsmax</vt:lpstr>
      <vt:lpstr>Stabilito!CritMsmin</vt:lpstr>
      <vt:lpstr>Cx</vt:lpstr>
      <vt:lpstr>Cx_para</vt:lpstr>
      <vt:lpstr>Cx_satellite</vt:lpstr>
      <vt:lpstr>D_ail</vt:lpstr>
      <vt:lpstr>Stabilito!D_can</vt:lpstr>
      <vt:lpstr>Stabilito!D_int</vt:lpstr>
      <vt:lpstr>D_og</vt:lpstr>
      <vt:lpstr>D_ref</vt:lpstr>
      <vt:lpstr>D_var</vt:lpstr>
      <vt:lpstr>D1j</vt:lpstr>
      <vt:lpstr>D1r</vt:lpstr>
      <vt:lpstr>'Fiche de vol'!D2j</vt:lpstr>
      <vt:lpstr>D2j</vt:lpstr>
      <vt:lpstr>'Fiche de vol'!D2r</vt:lpstr>
      <vt:lpstr>D2r</vt:lpstr>
      <vt:lpstr>Débit</vt:lpstr>
      <vt:lpstr>Depotage</vt:lpstr>
      <vt:lpstr>Diam_propu</vt:lpstr>
      <vt:lpstr>Dt_para</vt:lpstr>
      <vt:lpstr>Dt_satellite</vt:lpstr>
      <vt:lpstr>Dx_para</vt:lpstr>
      <vt:lpstr>Dx_sat</vt:lpstr>
      <vt:lpstr>E_ail</vt:lpstr>
      <vt:lpstr>E_can</vt:lpstr>
      <vt:lpstr>Stabilito!E_int</vt:lpstr>
      <vt:lpstr>ep_ail</vt:lpstr>
      <vt:lpstr>ep_can</vt:lpstr>
      <vt:lpstr>Stabilito!ep_int</vt:lpstr>
      <vt:lpstr>Event</vt:lpstr>
      <vt:lpstr>Event_para</vt:lpstr>
      <vt:lpstr>Event_sat</vt:lpstr>
      <vt:lpstr>Stabilito!f_ail</vt:lpstr>
      <vt:lpstr>Stabilito!f_can</vt:lpstr>
      <vt:lpstr>Stabilito!f_int</vt:lpstr>
      <vt:lpstr>Finesse</vt:lpstr>
      <vt:lpstr>Forme_ogive</vt:lpstr>
      <vt:lpstr>g</vt:lpstr>
      <vt:lpstr>i_P</vt:lpstr>
      <vt:lpstr>I_total</vt:lpstr>
      <vt:lpstr>ISP</vt:lpstr>
      <vt:lpstr>l_j</vt:lpstr>
      <vt:lpstr>l_r</vt:lpstr>
      <vt:lpstr>L_rampe</vt:lpstr>
      <vt:lpstr>Lang</vt:lpstr>
      <vt:lpstr>Liste_µfu</vt:lpstr>
      <vt:lpstr>Liste_fusex</vt:lpstr>
      <vt:lpstr>Liste_H2O</vt:lpstr>
      <vt:lpstr>Liste_minif</vt:lpstr>
      <vt:lpstr>Liste_minifT</vt:lpstr>
      <vt:lpstr>Liste_propu</vt:lpstr>
      <vt:lpstr>Liste_RC</vt:lpstr>
      <vt:lpstr>Long_ogive</vt:lpstr>
      <vt:lpstr>Long_propu</vt:lpstr>
      <vt:lpstr>Long_tot</vt:lpstr>
      <vt:lpstr>m</vt:lpstr>
      <vt:lpstr>m_ail</vt:lpstr>
      <vt:lpstr>m_bal</vt:lpstr>
      <vt:lpstr>m_can</vt:lpstr>
      <vt:lpstr>Stabilito!m_int</vt:lpstr>
      <vt:lpstr>m_poudre</vt:lpstr>
      <vt:lpstr>m_prop</vt:lpstr>
      <vt:lpstr>m_satellite</vt:lpstr>
      <vt:lpstr>m_tot</vt:lpstr>
      <vt:lpstr>m_var</vt:lpstr>
      <vt:lpstr>m_vide</vt:lpstr>
      <vt:lpstr>Masse_ail</vt:lpstr>
      <vt:lpstr>MassePlein</vt:lpstr>
      <vt:lpstr>MasseSans</vt:lpstr>
      <vt:lpstr>MasseVide</vt:lpstr>
      <vt:lpstr>Menu_Empennage</vt:lpstr>
      <vt:lpstr>Menu_Lang</vt:lpstr>
      <vt:lpstr>Menu_Ogive</vt:lpstr>
      <vt:lpstr>Menu_sat</vt:lpstr>
      <vt:lpstr>Menu_Transitions</vt:lpstr>
      <vt:lpstr>Menu_Type</vt:lpstr>
      <vt:lpstr>Menu_with_motor</vt:lpstr>
      <vt:lpstr>MpropuPlein</vt:lpstr>
      <vt:lpstr>MpropuVide</vt:lpstr>
      <vt:lpstr>MS_Cn_max</vt:lpstr>
      <vt:lpstr>MS_Cn_min</vt:lpstr>
      <vt:lpstr>MS_max</vt:lpstr>
      <vt:lpstr>MS_min</vt:lpstr>
      <vt:lpstr>n_ail</vt:lpstr>
      <vt:lpstr>n_can</vt:lpstr>
      <vt:lpstr>Stabilito!n_int</vt:lpstr>
      <vt:lpstr>Nb_diam</vt:lpstr>
      <vt:lpstr>Nb_sat</vt:lpstr>
      <vt:lpstr>Nom</vt:lpstr>
      <vt:lpstr>p_ail</vt:lpstr>
      <vt:lpstr>p_can</vt:lpstr>
      <vt:lpstr>Stabilito!p_int</vt:lpstr>
      <vt:lpstr>pas</vt:lpstr>
      <vt:lpstr>Poids</vt:lpstr>
      <vt:lpstr>Portee_balistique</vt:lpstr>
      <vt:lpstr>pos_x</vt:lpstr>
      <vt:lpstr>pos_xz</vt:lpstr>
      <vt:lpstr>pos_z</vt:lpstr>
      <vt:lpstr>pos_z_montant</vt:lpstr>
      <vt:lpstr>Poussee</vt:lpstr>
      <vt:lpstr>Propu</vt:lpstr>
      <vt:lpstr>Q_ail</vt:lpstr>
      <vt:lpstr>Q_can</vt:lpstr>
      <vt:lpstr>Stabilito!Q_int</vt:lpstr>
      <vt:lpstr>Q_var</vt:lpstr>
      <vt:lpstr>R_rampe</vt:lpstr>
      <vt:lpstr>Rho</vt:lpstr>
      <vt:lpstr>Rho_moyen</vt:lpstr>
      <vt:lpstr>S_ail</vt:lpstr>
      <vt:lpstr>S_para</vt:lpstr>
      <vt:lpstr>S_para_croix</vt:lpstr>
      <vt:lpstr>S_para_rond</vt:lpstr>
      <vt:lpstr>S_satellite</vt:lpstr>
      <vt:lpstr>Sref</vt:lpstr>
      <vt:lpstr>sS</vt:lpstr>
      <vt:lpstr>t</vt:lpstr>
      <vt:lpstr>T_balistique</vt:lpstr>
      <vt:lpstr>T_ini</vt:lpstr>
      <vt:lpstr>T_para</vt:lpstr>
      <vt:lpstr>T_satellite</vt:lpstr>
      <vt:lpstr>Temps_culmi</vt:lpstr>
      <vt:lpstr>Temps_fin_propu</vt:lpstr>
      <vt:lpstr>Trainee</vt:lpstr>
      <vt:lpstr>tT_fus</vt:lpstr>
      <vt:lpstr>tT_sat</vt:lpstr>
      <vt:lpstr>Type_fusee</vt:lpstr>
      <vt:lpstr>Abaco!Type_masquage</vt:lpstr>
      <vt:lpstr>Stabilito!Type_masquage</vt:lpstr>
      <vt:lpstr>Type_propu</vt:lpstr>
      <vt:lpstr>V_ini</vt:lpstr>
      <vt:lpstr>V_ouv_sat</vt:lpstr>
      <vt:lpstr>V_ouverture</vt:lpstr>
      <vt:lpstr>V_para</vt:lpstr>
      <vt:lpstr>V_prop</vt:lpstr>
      <vt:lpstr>V_satellite</vt:lpstr>
      <vt:lpstr>V_vent</vt:lpstr>
      <vt:lpstr>V_vent_sat</vt:lpstr>
      <vt:lpstr>Stabilito!Version</vt:lpstr>
      <vt:lpstr>Trajecto!Version</vt:lpstr>
      <vt:lpstr>Vit_culmi</vt:lpstr>
      <vt:lpstr>Vit_max</vt:lpstr>
      <vt:lpstr>vit_x</vt:lpstr>
      <vt:lpstr>vit_xz</vt:lpstr>
      <vt:lpstr>vit_z</vt:lpstr>
      <vt:lpstr>Vsortie_de_rampe</vt:lpstr>
      <vt:lpstr>X_ail</vt:lpstr>
      <vt:lpstr>X_can</vt:lpstr>
      <vt:lpstr>X_culmi</vt:lpstr>
      <vt:lpstr>X_ini</vt:lpstr>
      <vt:lpstr>Stabilito!X_int</vt:lpstr>
      <vt:lpstr>X_j</vt:lpstr>
      <vt:lpstr>X_para</vt:lpstr>
      <vt:lpstr>X_r</vt:lpstr>
      <vt:lpstr>X_satellite</vt:lpstr>
      <vt:lpstr>XcgPlein</vt:lpstr>
      <vt:lpstr>XcgSans</vt:lpstr>
      <vt:lpstr>XcgVide</vt:lpstr>
      <vt:lpstr>Stabilito!XCp</vt:lpstr>
      <vt:lpstr>XCp0</vt:lpstr>
      <vt:lpstr>Stabilito!XCpa</vt:lpstr>
      <vt:lpstr>Stabilito!XCpai</vt:lpstr>
      <vt:lpstr>XCpai0</vt:lpstr>
      <vt:lpstr>Stabilito!XCpc</vt:lpstr>
      <vt:lpstr>Stabilito!XCpi</vt:lpstr>
      <vt:lpstr>XCpi0</vt:lpstr>
      <vt:lpstr>Stabilito!XCpj</vt:lpstr>
      <vt:lpstr>Stabilito!XCpo</vt:lpstr>
      <vt:lpstr>Stabilito!XCpr</vt:lpstr>
      <vt:lpstr>XpropuPlein</vt:lpstr>
      <vt:lpstr>XpropuRef</vt:lpstr>
      <vt:lpstr>XpropuVide</vt:lpstr>
      <vt:lpstr>Z_ini</vt:lpstr>
      <vt:lpstr>Abaco!Zone_d_impression</vt:lpstr>
      <vt:lpstr>Courbes!Zone_d_impression</vt:lpstr>
      <vt:lpstr>Stabilito!Zone_d_impression</vt:lpstr>
      <vt:lpstr>Trajecto!Zone_d_impression</vt:lpstr>
      <vt:lpstr>zZ_fus</vt:lpstr>
      <vt:lpstr>zZ_sat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StabTraj</dc:title>
  <dc:creator>plasci</dc:creator>
  <cp:lastModifiedBy>plasci</cp:lastModifiedBy>
  <cp:lastPrinted>2023-07-19T12:53:33Z</cp:lastPrinted>
  <dcterms:created xsi:type="dcterms:W3CDTF">2008-11-03T20:48:06Z</dcterms:created>
  <dcterms:modified xsi:type="dcterms:W3CDTF">2023-07-19T12:53:46Z</dcterms:modified>
</cp:coreProperties>
</file>